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OAL\Summary Sheet\Q1-FY25\"/>
    </mc:Choice>
  </mc:AlternateContent>
  <bookViews>
    <workbookView xWindow="0" yWindow="0" windowWidth="20490" windowHeight="7020"/>
  </bookViews>
  <sheets>
    <sheet name="Summary sheet- CONSOLIDATED" sheetId="7" r:id="rId1"/>
    <sheet name="ES" sheetId="10" state="hidden" r:id="rId2"/>
    <sheet name="Forex Gain Loss" sheetId="8" state="hidden" r:id="rId3"/>
    <sheet name="Import Export" sheetId="9" state="hidden" r:id="rId4"/>
  </sheets>
  <definedNames>
    <definedName name="_xlnm.Print_Area" localSheetId="0">'Summary sheet- CONSOLIDATED'!$A$1:$U$73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0" i="7" l="1"/>
  <c r="Y57" i="7"/>
  <c r="N29" i="7"/>
  <c r="N28" i="7"/>
  <c r="N25" i="7"/>
  <c r="N24" i="7"/>
  <c r="N23" i="7"/>
  <c r="N22" i="7"/>
  <c r="N21" i="7"/>
  <c r="N16" i="7"/>
  <c r="N13" i="7"/>
  <c r="N7" i="7"/>
  <c r="K53" i="7" l="1"/>
  <c r="M55" i="7"/>
  <c r="X73" i="7" l="1"/>
  <c r="W73" i="7"/>
  <c r="X60" i="7"/>
  <c r="X13" i="7"/>
  <c r="W13" i="7"/>
  <c r="M6" i="7" l="1"/>
  <c r="W60" i="7" l="1"/>
  <c r="X57" i="7"/>
  <c r="W57" i="7"/>
  <c r="W42" i="7"/>
  <c r="W18" i="7"/>
  <c r="X42" i="7"/>
  <c r="X29" i="7"/>
  <c r="X68" i="7" l="1"/>
  <c r="X67" i="7"/>
  <c r="W67" i="7"/>
  <c r="W65" i="7"/>
  <c r="L55" i="7"/>
  <c r="L54" i="7"/>
  <c r="L56" i="7" s="1"/>
  <c r="L53" i="7"/>
  <c r="L48" i="7"/>
  <c r="W75" i="7" s="1"/>
  <c r="M47" i="7"/>
  <c r="L47" i="7"/>
  <c r="M46" i="7"/>
  <c r="M48" i="7" s="1"/>
  <c r="X75" i="7" s="1"/>
  <c r="L46" i="7"/>
  <c r="L42" i="7"/>
  <c r="W37" i="7"/>
  <c r="W52" i="7"/>
  <c r="W14" i="7" s="1"/>
  <c r="W29" i="7"/>
  <c r="X12" i="7"/>
  <c r="W12" i="7"/>
  <c r="X7" i="7"/>
  <c r="X58" i="7" s="1"/>
  <c r="X61" i="7" s="1"/>
  <c r="W7" i="7"/>
  <c r="W58" i="7" s="1"/>
  <c r="W61" i="7" s="1"/>
  <c r="M33" i="7"/>
  <c r="L33" i="7"/>
  <c r="W46" i="7" l="1"/>
  <c r="M54" i="7"/>
  <c r="M56" i="7" s="1"/>
  <c r="X65" i="7"/>
  <c r="W66" i="7"/>
  <c r="X66" i="7"/>
  <c r="X39" i="7" l="1"/>
  <c r="X37" i="7"/>
  <c r="X46" i="7" s="1"/>
  <c r="X72" i="7" s="1"/>
  <c r="X52" i="7"/>
  <c r="X14" i="7" s="1"/>
  <c r="M42" i="7"/>
  <c r="M43" i="7" s="1"/>
  <c r="M7" i="7"/>
  <c r="X70" i="7" l="1"/>
  <c r="M13" i="7"/>
  <c r="M21" i="7" s="1"/>
  <c r="M23" i="7" s="1"/>
  <c r="X53" i="7"/>
  <c r="AA52" i="7" s="1"/>
  <c r="L9" i="7"/>
  <c r="L8" i="7"/>
  <c r="L4" i="7"/>
  <c r="L6" i="7" l="1"/>
  <c r="M5" i="7"/>
  <c r="X64" i="7"/>
  <c r="M16" i="7"/>
  <c r="X62" i="7"/>
  <c r="M24" i="7"/>
  <c r="X74" i="7" s="1"/>
  <c r="H12" i="10"/>
  <c r="F12" i="10"/>
  <c r="E12" i="10"/>
  <c r="D12" i="10"/>
  <c r="H11" i="10"/>
  <c r="H10" i="10"/>
  <c r="F4" i="8"/>
  <c r="F3" i="8"/>
  <c r="B5" i="8"/>
  <c r="B13" i="8"/>
  <c r="H16" i="9"/>
  <c r="B15" i="9"/>
  <c r="F15" i="9"/>
  <c r="U8" i="9"/>
  <c r="M25" i="7" l="1"/>
  <c r="X63" i="7"/>
  <c r="M29" i="7"/>
  <c r="H15" i="9"/>
  <c r="H13" i="10"/>
  <c r="W39" i="7"/>
  <c r="X69" i="7" s="1"/>
  <c r="X71" i="7" s="1"/>
  <c r="H6" i="10" l="1"/>
  <c r="L7" i="7" l="1"/>
  <c r="F20" i="10" l="1"/>
  <c r="E20" i="10"/>
  <c r="D20" i="10"/>
  <c r="C20" i="10"/>
  <c r="F11" i="10"/>
  <c r="E11" i="10"/>
  <c r="D11" i="10"/>
  <c r="C11" i="10"/>
  <c r="F10" i="10"/>
  <c r="E10" i="10"/>
  <c r="D10" i="10"/>
  <c r="C10" i="10"/>
  <c r="H7" i="10"/>
  <c r="H4" i="10"/>
  <c r="F4" i="10"/>
  <c r="E4" i="10"/>
  <c r="D4" i="10"/>
  <c r="C4" i="10"/>
  <c r="H3" i="10"/>
  <c r="F3" i="10"/>
  <c r="E3" i="10"/>
  <c r="D3" i="10"/>
  <c r="C3" i="10"/>
  <c r="F13" i="10" l="1"/>
  <c r="D13" i="10"/>
  <c r="F14" i="10"/>
  <c r="E5" i="10"/>
  <c r="E13" i="10"/>
  <c r="F5" i="10"/>
  <c r="D14" i="10"/>
  <c r="C5" i="10"/>
  <c r="D5" i="10"/>
  <c r="H5" i="10"/>
  <c r="H8" i="10" s="1"/>
  <c r="E14" i="10"/>
  <c r="E13" i="8" l="1"/>
  <c r="F13" i="8"/>
  <c r="D13" i="8"/>
  <c r="G13" i="8"/>
  <c r="C13" i="8"/>
  <c r="A21" i="9" l="1"/>
  <c r="N36" i="9" l="1"/>
  <c r="O36" i="9" s="1"/>
  <c r="L36" i="9"/>
  <c r="J36" i="9"/>
  <c r="F36" i="9"/>
  <c r="B36" i="9"/>
  <c r="P36" i="9"/>
  <c r="Q35" i="9" s="1"/>
  <c r="M36" i="9"/>
  <c r="K36" i="9"/>
  <c r="H36" i="9"/>
  <c r="I34" i="9" s="1"/>
  <c r="E36" i="9"/>
  <c r="N26" i="9"/>
  <c r="M26" i="9"/>
  <c r="L26" i="9"/>
  <c r="J26" i="9"/>
  <c r="K26" i="9" s="1"/>
  <c r="F26" i="9"/>
  <c r="G26" i="9" s="1"/>
  <c r="E26" i="9"/>
  <c r="D26" i="9"/>
  <c r="B26" i="9"/>
  <c r="P26" i="9"/>
  <c r="Q25" i="9" s="1"/>
  <c r="H26" i="9"/>
  <c r="I25" i="9" s="1"/>
  <c r="C26" i="9"/>
  <c r="N17" i="9"/>
  <c r="L17" i="9"/>
  <c r="J17" i="9"/>
  <c r="B17" i="9"/>
  <c r="P17" i="9"/>
  <c r="Q15" i="9" s="1"/>
  <c r="M17" i="9"/>
  <c r="N8" i="9"/>
  <c r="M8" i="9"/>
  <c r="K8" i="9"/>
  <c r="J8" i="9"/>
  <c r="E16" i="9" l="1"/>
  <c r="E15" i="9"/>
  <c r="G7" i="9"/>
  <c r="G6" i="9"/>
  <c r="C7" i="9"/>
  <c r="C6" i="9"/>
  <c r="I35" i="9"/>
  <c r="O8" i="9"/>
  <c r="Q16" i="9"/>
  <c r="Q17" i="9" s="1"/>
  <c r="H17" i="9"/>
  <c r="I16" i="9" s="1"/>
  <c r="O26" i="9"/>
  <c r="I36" i="9"/>
  <c r="I24" i="9"/>
  <c r="I26" i="9" s="1"/>
  <c r="Q34" i="9"/>
  <c r="Q36" i="9" s="1"/>
  <c r="K17" i="9"/>
  <c r="F17" i="9"/>
  <c r="H6" i="9"/>
  <c r="H7" i="9"/>
  <c r="D8" i="9"/>
  <c r="L8" i="9"/>
  <c r="P8" i="9"/>
  <c r="Q6" i="9" s="1"/>
  <c r="Q8" i="9" s="1"/>
  <c r="O17" i="9"/>
  <c r="Q24" i="9"/>
  <c r="Q26" i="9" s="1"/>
  <c r="G36" i="9"/>
  <c r="E5" i="8"/>
  <c r="D5" i="8"/>
  <c r="C5" i="8"/>
  <c r="F5" i="8"/>
  <c r="G16" i="9" l="1"/>
  <c r="G15" i="9"/>
  <c r="E7" i="9"/>
  <c r="E6" i="9"/>
  <c r="I15" i="9"/>
  <c r="I17" i="9" s="1"/>
  <c r="Q7" i="9"/>
  <c r="H8" i="9"/>
  <c r="V8" i="9" s="1"/>
  <c r="K33" i="7"/>
  <c r="I6" i="9" l="1"/>
  <c r="I7" i="9"/>
  <c r="J46" i="7"/>
  <c r="I46" i="7"/>
  <c r="H46" i="7"/>
  <c r="G46" i="7"/>
  <c r="F46" i="7"/>
  <c r="E46" i="7"/>
  <c r="D46" i="7"/>
  <c r="L37" i="7"/>
  <c r="L45" i="7" s="1"/>
  <c r="H22" i="10" l="1"/>
  <c r="I8" i="9"/>
  <c r="H17" i="10"/>
  <c r="W53" i="7"/>
  <c r="L13" i="7"/>
  <c r="V59" i="7"/>
  <c r="L16" i="7" l="1"/>
  <c r="W62" i="7"/>
  <c r="M14" i="7"/>
  <c r="H16" i="10"/>
  <c r="H23" i="10" s="1"/>
  <c r="L21" i="7"/>
  <c r="V67" i="7"/>
  <c r="U67" i="7"/>
  <c r="V9" i="7"/>
  <c r="G10" i="10" s="1"/>
  <c r="V10" i="7"/>
  <c r="G11" i="10" s="1"/>
  <c r="V45" i="7"/>
  <c r="V43" i="7"/>
  <c r="V42" i="7"/>
  <c r="V41" i="7"/>
  <c r="V40" i="7"/>
  <c r="V50" i="7"/>
  <c r="V49" i="7"/>
  <c r="V48" i="7"/>
  <c r="V36" i="7"/>
  <c r="V35" i="7"/>
  <c r="V34" i="7"/>
  <c r="V33" i="7"/>
  <c r="G12" i="10" s="1"/>
  <c r="V32" i="7"/>
  <c r="W68" i="7" s="1"/>
  <c r="V30" i="7"/>
  <c r="W70" i="7" s="1"/>
  <c r="V27" i="7"/>
  <c r="V26" i="7"/>
  <c r="V25" i="7"/>
  <c r="V19" i="7"/>
  <c r="V18" i="7"/>
  <c r="V17" i="7"/>
  <c r="V16" i="7"/>
  <c r="V6" i="7"/>
  <c r="K41" i="7"/>
  <c r="K40" i="7"/>
  <c r="K39" i="7"/>
  <c r="K46" i="7" s="1"/>
  <c r="K47" i="7"/>
  <c r="L24" i="7" l="1"/>
  <c r="W74" i="7" s="1"/>
  <c r="L23" i="7"/>
  <c r="G13" i="10"/>
  <c r="G4" i="10"/>
  <c r="G3" i="10"/>
  <c r="H20" i="10"/>
  <c r="H14" i="10"/>
  <c r="G14" i="10"/>
  <c r="H18" i="10"/>
  <c r="H19" i="10"/>
  <c r="V39" i="7"/>
  <c r="W69" i="7" s="1"/>
  <c r="W71" i="7" s="1"/>
  <c r="K28" i="7"/>
  <c r="K22" i="7"/>
  <c r="K20" i="7"/>
  <c r="K18" i="7"/>
  <c r="K17" i="7"/>
  <c r="G20" i="10" s="1"/>
  <c r="K12" i="7"/>
  <c r="K11" i="7"/>
  <c r="K10" i="7"/>
  <c r="K9" i="7"/>
  <c r="K8" i="7"/>
  <c r="K4" i="7"/>
  <c r="L5" i="7" s="1"/>
  <c r="L29" i="7" l="1"/>
  <c r="H15" i="10"/>
  <c r="M30" i="7"/>
  <c r="L25" i="7"/>
  <c r="W63" i="7"/>
  <c r="G6" i="10"/>
  <c r="G7" i="10" s="1"/>
  <c r="K5" i="7"/>
  <c r="G5" i="10"/>
  <c r="V68" i="7"/>
  <c r="V60" i="7"/>
  <c r="V57" i="7"/>
  <c r="V37" i="7"/>
  <c r="V29" i="7"/>
  <c r="V52" i="7" s="1"/>
  <c r="V12" i="7"/>
  <c r="G22" i="10" s="1"/>
  <c r="V7" i="7"/>
  <c r="V13" i="7" s="1"/>
  <c r="W64" i="7" s="1"/>
  <c r="K55" i="7"/>
  <c r="K42" i="7"/>
  <c r="K6" i="7"/>
  <c r="K7" i="7"/>
  <c r="K13" i="7" s="1"/>
  <c r="L14" i="7" s="1"/>
  <c r="V14" i="7" l="1"/>
  <c r="G8" i="10"/>
  <c r="H9" i="10" s="1"/>
  <c r="G16" i="10"/>
  <c r="G23" i="10" s="1"/>
  <c r="V65" i="7"/>
  <c r="V73" i="7"/>
  <c r="K54" i="7"/>
  <c r="K56" i="7" s="1"/>
  <c r="V62" i="7" s="1"/>
  <c r="K21" i="7"/>
  <c r="K24" i="7" s="1"/>
  <c r="V53" i="7"/>
  <c r="V58" i="7"/>
  <c r="V61" i="7" s="1"/>
  <c r="V70" i="7"/>
  <c r="V66" i="7"/>
  <c r="G17" i="10" s="1"/>
  <c r="V46" i="7"/>
  <c r="W72" i="7" s="1"/>
  <c r="K16" i="7"/>
  <c r="T12" i="7"/>
  <c r="E22" i="10" s="1"/>
  <c r="G18" i="10" l="1"/>
  <c r="G19" i="10"/>
  <c r="G15" i="10"/>
  <c r="V63" i="7"/>
  <c r="V74" i="7"/>
  <c r="K23" i="7"/>
  <c r="K48" i="7"/>
  <c r="V75" i="7" s="1"/>
  <c r="K25" i="7"/>
  <c r="K29" i="7"/>
  <c r="L30" i="7" s="1"/>
  <c r="S12" i="7"/>
  <c r="D22" i="10" l="1"/>
  <c r="R12" i="7"/>
  <c r="R7" i="7"/>
  <c r="R13" i="7" s="1"/>
  <c r="D5" i="7" l="1"/>
  <c r="U68" i="7"/>
  <c r="T68" i="7"/>
  <c r="U60" i="7"/>
  <c r="J53" i="7"/>
  <c r="J55" i="7" l="1"/>
  <c r="J47" i="7"/>
  <c r="H38" i="7"/>
  <c r="I38" i="7"/>
  <c r="U39" i="7" l="1"/>
  <c r="F6" i="10" s="1"/>
  <c r="F7" i="10" s="1"/>
  <c r="F8" i="10" s="1"/>
  <c r="J33" i="7"/>
  <c r="J6" i="7"/>
  <c r="J5" i="7"/>
  <c r="G9" i="10" l="1"/>
  <c r="V69" i="7"/>
  <c r="V71" i="7" s="1"/>
  <c r="J7" i="7"/>
  <c r="I33" i="7"/>
  <c r="I7" i="7"/>
  <c r="I13" i="7" s="1"/>
  <c r="H7" i="7"/>
  <c r="H13" i="7" s="1"/>
  <c r="J13" i="7" l="1"/>
  <c r="U70" i="7"/>
  <c r="I14" i="7"/>
  <c r="I21" i="7"/>
  <c r="I23" i="7" s="1"/>
  <c r="I16" i="7"/>
  <c r="U57" i="7"/>
  <c r="F16" i="10" l="1"/>
  <c r="K14" i="7"/>
  <c r="J21" i="7"/>
  <c r="J24" i="7" s="1"/>
  <c r="J16" i="7"/>
  <c r="I24" i="7"/>
  <c r="I29" i="7" s="1"/>
  <c r="F42" i="7"/>
  <c r="E42" i="7"/>
  <c r="J23" i="7" l="1"/>
  <c r="F15" i="10"/>
  <c r="F19" i="10"/>
  <c r="U74" i="7"/>
  <c r="J29" i="7"/>
  <c r="M31" i="7" s="1"/>
  <c r="J25" i="7"/>
  <c r="I25" i="7"/>
  <c r="J42" i="7"/>
  <c r="U29" i="7"/>
  <c r="U37" i="7"/>
  <c r="U12" i="7"/>
  <c r="U7" i="7"/>
  <c r="U13" i="7" s="1"/>
  <c r="H33" i="7"/>
  <c r="H28" i="7"/>
  <c r="H16" i="7"/>
  <c r="K30" i="7" l="1"/>
  <c r="F18" i="10"/>
  <c r="F22" i="10"/>
  <c r="F23" i="10" s="1"/>
  <c r="U58" i="7"/>
  <c r="U61" i="7" s="1"/>
  <c r="V64" i="7"/>
  <c r="U73" i="7"/>
  <c r="J54" i="7"/>
  <c r="J56" i="7" s="1"/>
  <c r="U62" i="7" s="1"/>
  <c r="U63" i="7"/>
  <c r="U53" i="7"/>
  <c r="U46" i="7"/>
  <c r="V72" i="7" s="1"/>
  <c r="H21" i="7"/>
  <c r="H23" i="7" s="1"/>
  <c r="J48" i="7"/>
  <c r="U75" i="7" s="1"/>
  <c r="U65" i="7"/>
  <c r="U66" i="7"/>
  <c r="F17" i="10" s="1"/>
  <c r="U52" i="7"/>
  <c r="U14" i="7" s="1"/>
  <c r="H24" i="7" l="1"/>
  <c r="H25" i="7" s="1"/>
  <c r="G28" i="7"/>
  <c r="G7" i="7"/>
  <c r="G13" i="7" s="1"/>
  <c r="M15" i="7" s="1"/>
  <c r="H29" i="7" l="1"/>
  <c r="G16" i="7"/>
  <c r="H14" i="7"/>
  <c r="G21" i="7"/>
  <c r="I30" i="7" l="1"/>
  <c r="G24" i="7"/>
  <c r="G29" i="7" s="1"/>
  <c r="G23" i="7"/>
  <c r="T67" i="7"/>
  <c r="G25" i="7" l="1"/>
  <c r="H30" i="7"/>
  <c r="F6" i="7"/>
  <c r="S68" i="7"/>
  <c r="R68" i="7"/>
  <c r="Q68" i="7"/>
  <c r="S67" i="7"/>
  <c r="R67" i="7"/>
  <c r="Q67" i="7"/>
  <c r="F55" i="7"/>
  <c r="E55" i="7"/>
  <c r="C55" i="7"/>
  <c r="F53" i="7"/>
  <c r="E53" i="7"/>
  <c r="D53" i="7"/>
  <c r="C53" i="7"/>
  <c r="T57" i="7"/>
  <c r="T60" i="7" s="1"/>
  <c r="S57" i="7"/>
  <c r="S60" i="7" s="1"/>
  <c r="R57" i="7"/>
  <c r="R60" i="7" s="1"/>
  <c r="Q57" i="7"/>
  <c r="Q60" i="7" s="1"/>
  <c r="T55" i="7"/>
  <c r="F47" i="7"/>
  <c r="E47" i="7"/>
  <c r="D47" i="7"/>
  <c r="F45" i="7"/>
  <c r="D42" i="7"/>
  <c r="D43" i="7" s="1"/>
  <c r="T39" i="7"/>
  <c r="E6" i="10" s="1"/>
  <c r="E7" i="10" s="1"/>
  <c r="E8" i="10" s="1"/>
  <c r="S39" i="7"/>
  <c r="D6" i="10" s="1"/>
  <c r="D7" i="10" s="1"/>
  <c r="D8" i="10" s="1"/>
  <c r="R39" i="7"/>
  <c r="C6" i="10" s="1"/>
  <c r="C7" i="10" s="1"/>
  <c r="C8" i="10" s="1"/>
  <c r="T37" i="7"/>
  <c r="S37" i="7"/>
  <c r="R37" i="7"/>
  <c r="Q37" i="7"/>
  <c r="R33" i="7"/>
  <c r="F33" i="7"/>
  <c r="E33" i="7"/>
  <c r="D33" i="7"/>
  <c r="T29" i="7"/>
  <c r="T52" i="7" s="1"/>
  <c r="S29" i="7"/>
  <c r="S46" i="7" s="1"/>
  <c r="Q29" i="7"/>
  <c r="Q52" i="7" s="1"/>
  <c r="E28" i="7"/>
  <c r="E22" i="7"/>
  <c r="D22" i="7"/>
  <c r="T73" i="7"/>
  <c r="S73" i="7"/>
  <c r="R73" i="7"/>
  <c r="Q12" i="7"/>
  <c r="Q73" i="7" s="1"/>
  <c r="T7" i="7"/>
  <c r="T13" i="7" s="1"/>
  <c r="S7" i="7"/>
  <c r="S13" i="7" s="1"/>
  <c r="R58" i="7"/>
  <c r="R61" i="7" s="1"/>
  <c r="Q7" i="7"/>
  <c r="Q13" i="7" s="1"/>
  <c r="F7" i="7"/>
  <c r="T70" i="7" s="1"/>
  <c r="E7" i="7"/>
  <c r="S70" i="7" s="1"/>
  <c r="D7" i="7"/>
  <c r="R70" i="7" s="1"/>
  <c r="C7" i="7"/>
  <c r="C13" i="7" s="1"/>
  <c r="E6" i="7"/>
  <c r="F5" i="7"/>
  <c r="E5" i="7"/>
  <c r="E38" i="7" l="1"/>
  <c r="E43" i="7" s="1"/>
  <c r="T14" i="7"/>
  <c r="D55" i="7"/>
  <c r="C12" i="10"/>
  <c r="C13" i="10" s="1"/>
  <c r="C22" i="10" s="1"/>
  <c r="D9" i="10"/>
  <c r="E9" i="10"/>
  <c r="F9" i="10"/>
  <c r="U69" i="7"/>
  <c r="U71" i="7" s="1"/>
  <c r="T58" i="7"/>
  <c r="T61" i="7" s="1"/>
  <c r="S58" i="7"/>
  <c r="S61" i="7" s="1"/>
  <c r="T53" i="7"/>
  <c r="F48" i="7"/>
  <c r="T75" i="7" s="1"/>
  <c r="R29" i="7"/>
  <c r="R52" i="7" s="1"/>
  <c r="R14" i="7" s="1"/>
  <c r="Q14" i="7"/>
  <c r="T46" i="7"/>
  <c r="R53" i="7"/>
  <c r="S53" i="7"/>
  <c r="Q46" i="7"/>
  <c r="F54" i="7"/>
  <c r="F56" i="7" s="1"/>
  <c r="Q64" i="7"/>
  <c r="C21" i="7"/>
  <c r="C16" i="7"/>
  <c r="S52" i="7"/>
  <c r="S14" i="7" s="1"/>
  <c r="D13" i="7"/>
  <c r="Q53" i="7"/>
  <c r="Q58" i="7"/>
  <c r="Q61" i="7" s="1"/>
  <c r="C54" i="7"/>
  <c r="C56" i="7" s="1"/>
  <c r="Q62" i="7" s="1"/>
  <c r="Q65" i="7"/>
  <c r="Q66" i="7"/>
  <c r="Q69" i="7"/>
  <c r="Q70" i="7"/>
  <c r="E13" i="7"/>
  <c r="D54" i="7"/>
  <c r="D56" i="7" s="1"/>
  <c r="R65" i="7"/>
  <c r="R66" i="7"/>
  <c r="C17" i="10" s="1"/>
  <c r="R69" i="7"/>
  <c r="R71" i="7" s="1"/>
  <c r="F13" i="7"/>
  <c r="U64" i="7"/>
  <c r="E54" i="7"/>
  <c r="E56" i="7" s="1"/>
  <c r="S65" i="7"/>
  <c r="S66" i="7"/>
  <c r="D17" i="10" s="1"/>
  <c r="S69" i="7"/>
  <c r="S71" i="7" s="1"/>
  <c r="T65" i="7"/>
  <c r="T66" i="7"/>
  <c r="E17" i="10" s="1"/>
  <c r="T69" i="7"/>
  <c r="T71" i="7" s="1"/>
  <c r="F38" i="7" l="1"/>
  <c r="F43" i="7" s="1"/>
  <c r="D16" i="10"/>
  <c r="E14" i="7"/>
  <c r="C16" i="10"/>
  <c r="C18" i="10" s="1"/>
  <c r="D14" i="7"/>
  <c r="E16" i="10"/>
  <c r="E23" i="10" s="1"/>
  <c r="F14" i="7"/>
  <c r="L15" i="7"/>
  <c r="J14" i="7"/>
  <c r="D18" i="10"/>
  <c r="D23" i="10"/>
  <c r="C23" i="10"/>
  <c r="K15" i="7"/>
  <c r="J15" i="7"/>
  <c r="T64" i="7"/>
  <c r="T72" i="7"/>
  <c r="U72" i="7"/>
  <c r="R46" i="7"/>
  <c r="S72" i="7" s="1"/>
  <c r="S62" i="7"/>
  <c r="F15" i="7"/>
  <c r="G14" i="7"/>
  <c r="R62" i="7"/>
  <c r="Q72" i="7"/>
  <c r="F21" i="7"/>
  <c r="F16" i="7"/>
  <c r="Q71" i="7"/>
  <c r="R64" i="7"/>
  <c r="D21" i="7"/>
  <c r="D16" i="7"/>
  <c r="C23" i="7"/>
  <c r="C24" i="7"/>
  <c r="T62" i="7"/>
  <c r="S64" i="7"/>
  <c r="E21" i="7"/>
  <c r="E16" i="7"/>
  <c r="E15" i="7"/>
  <c r="G38" i="7" l="1"/>
  <c r="J38" i="7"/>
  <c r="J43" i="7" s="1"/>
  <c r="K38" i="7" s="1"/>
  <c r="K43" i="7" s="1"/>
  <c r="E18" i="10"/>
  <c r="R72" i="7"/>
  <c r="D24" i="7"/>
  <c r="D48" i="7"/>
  <c r="R75" i="7" s="1"/>
  <c r="D23" i="7"/>
  <c r="C29" i="7"/>
  <c r="Q63" i="7"/>
  <c r="C25" i="7"/>
  <c r="E24" i="7"/>
  <c r="E48" i="7"/>
  <c r="S75" i="7" s="1"/>
  <c r="E23" i="7"/>
  <c r="F23" i="7"/>
  <c r="F24" i="7"/>
  <c r="L38" i="7" l="1"/>
  <c r="L43" i="7" s="1"/>
  <c r="D19" i="10"/>
  <c r="D15" i="10"/>
  <c r="E15" i="10"/>
  <c r="E19" i="10"/>
  <c r="C19" i="10"/>
  <c r="C15" i="10"/>
  <c r="R74" i="7"/>
  <c r="T74" i="7"/>
  <c r="S74" i="7"/>
  <c r="D29" i="7"/>
  <c r="R63" i="7"/>
  <c r="D25" i="7"/>
  <c r="T63" i="7"/>
  <c r="F25" i="7"/>
  <c r="F29" i="7"/>
  <c r="L31" i="7" s="1"/>
  <c r="S63" i="7"/>
  <c r="E25" i="7"/>
  <c r="E29" i="7"/>
  <c r="K31" i="7" s="1"/>
  <c r="J30" i="7" l="1"/>
  <c r="D30" i="7"/>
  <c r="J31" i="7"/>
  <c r="F31" i="7"/>
  <c r="G30" i="7"/>
  <c r="E30" i="7"/>
  <c r="E31" i="7"/>
  <c r="F30" i="7"/>
</calcChain>
</file>

<file path=xl/sharedStrings.xml><?xml version="1.0" encoding="utf-8"?>
<sst xmlns="http://schemas.openxmlformats.org/spreadsheetml/2006/main" count="337" uniqueCount="196">
  <si>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</si>
  <si>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</si>
  <si>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</si>
  <si>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</si>
  <si>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</si>
  <si>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</si>
  <si>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</si>
  <si>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</si>
  <si>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</si>
  <si>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</si>
  <si>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</si>
  <si>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</si>
  <si>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</si>
  <si>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</si>
  <si>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</si>
  <si>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</si>
  <si>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</si>
  <si>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</si>
  <si>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</si>
  <si>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</si>
  <si>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</si>
  <si>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FY17</t>
  </si>
  <si>
    <t>Networth/Shareholders Fund/ Book Value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</si>
  <si>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</si>
  <si>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</si>
  <si>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</si>
  <si>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</si>
  <si>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</si>
  <si>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</si>
  <si>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</si>
  <si>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</si>
  <si>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</si>
  <si>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</si>
  <si>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</si>
  <si>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</si>
  <si>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</si>
  <si>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</si>
  <si>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</si>
  <si>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</si>
  <si>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</si>
  <si>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</si>
  <si>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</si>
  <si>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</si>
  <si>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</si>
  <si>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</si>
  <si>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</si>
  <si>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</si>
  <si>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</si>
  <si>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</si>
  <si>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</si>
  <si>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</si>
  <si>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</si>
  <si>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</si>
  <si>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</si>
  <si>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</si>
  <si>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</si>
  <si>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</si>
  <si>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</si>
  <si>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</si>
  <si>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</si>
  <si>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</si>
  <si>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</si>
  <si>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Balance Sheet</t>
  </si>
  <si>
    <t>Income Statement</t>
  </si>
  <si>
    <t>FY19</t>
  </si>
  <si>
    <t>Revenue from Operations</t>
  </si>
  <si>
    <t>Equity Share Capital</t>
  </si>
  <si>
    <t>Other Equity</t>
  </si>
  <si>
    <t>Changes in inventory of FG WIP &amp; SIT</t>
  </si>
  <si>
    <t>Capital WIP</t>
  </si>
  <si>
    <t>Financial Assets</t>
  </si>
  <si>
    <t>Depreciation and amortisation cost</t>
  </si>
  <si>
    <t>Finance Cost</t>
  </si>
  <si>
    <t>b) Other financial assets</t>
  </si>
  <si>
    <t>Excp Item</t>
  </si>
  <si>
    <t>Other Non-Current assets</t>
  </si>
  <si>
    <t>Share of Profit of associates</t>
  </si>
  <si>
    <t>PAT After MI (Total Comprehensive Income)</t>
  </si>
  <si>
    <t>Current Financial Liabilities</t>
  </si>
  <si>
    <t>a) Trade Payables</t>
  </si>
  <si>
    <t>b) Other Financial liabilities</t>
  </si>
  <si>
    <t>Current Tax Liability (Net)</t>
  </si>
  <si>
    <t>Deferred Tax Liability (Net)</t>
  </si>
  <si>
    <t>Other Financial Liabilities</t>
  </si>
  <si>
    <t>Manufacturing and Operating Cost</t>
  </si>
  <si>
    <t>Intangible Assets</t>
  </si>
  <si>
    <t>Goodwill</t>
  </si>
  <si>
    <t>Deferred Tax Assets</t>
  </si>
  <si>
    <t>a) Investment in Subsidaries</t>
  </si>
  <si>
    <t>a) Trade and other Recievable</t>
  </si>
  <si>
    <t>Provision</t>
  </si>
  <si>
    <t>b) Loans</t>
  </si>
  <si>
    <t>Non current asset classified for sale</t>
  </si>
  <si>
    <t>b) Cash &amp; Cash Equivalents</t>
  </si>
  <si>
    <t>i. Total outstanding dues of micro enterprises and small enterprises</t>
  </si>
  <si>
    <t>ii. Total outstanding dues of creditors other than micro enterprises and small enterprises</t>
  </si>
  <si>
    <t>Current Tax Assets (Net)</t>
  </si>
  <si>
    <t>c) Bank Bal other than above</t>
  </si>
  <si>
    <t>d) Other Current Financial Assets</t>
  </si>
  <si>
    <t>Property, Plant and Equipment</t>
  </si>
  <si>
    <t>FY 19</t>
  </si>
  <si>
    <t>Right to Use</t>
  </si>
  <si>
    <t>FY20</t>
  </si>
  <si>
    <t>Provisions</t>
  </si>
  <si>
    <t>Current Maturities of Long Term Debt</t>
  </si>
  <si>
    <t>CAGR (%) - 3 Years</t>
  </si>
  <si>
    <t>CAGR (%) - 2 Years</t>
  </si>
  <si>
    <t>Q1- FY21</t>
  </si>
  <si>
    <t>Q2-FY21</t>
  </si>
  <si>
    <t>Q3-FY21</t>
  </si>
  <si>
    <t>FY21</t>
  </si>
  <si>
    <t>FY22</t>
  </si>
  <si>
    <t>FCF (Cash flow from operation+Investment in capital assets)</t>
  </si>
  <si>
    <t>BVPS (Rs) (Equity Capital+Other Equity)</t>
  </si>
  <si>
    <t>Forex Gain - Other Income</t>
  </si>
  <si>
    <t>Forex Gain - Loss in Fianace cost</t>
  </si>
  <si>
    <t>Particulas</t>
  </si>
  <si>
    <t>Q1</t>
  </si>
  <si>
    <t>Q2</t>
  </si>
  <si>
    <t>Q3</t>
  </si>
  <si>
    <t>Total</t>
  </si>
  <si>
    <t>OAL - FY 23</t>
  </si>
  <si>
    <t>Net Gain/(Loss)</t>
  </si>
  <si>
    <t>Standalone Basis</t>
  </si>
  <si>
    <t>Rs in Lakhs</t>
  </si>
  <si>
    <t>Particulars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</si>
  <si>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</si>
  <si>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</si>
  <si>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</si>
  <si>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</si>
  <si>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</si>
  <si>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</si>
  <si>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</si>
  <si>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Purchases of Raw Material</t>
  </si>
  <si>
    <t>Chemical</t>
  </si>
  <si>
    <t>% of Purchases</t>
  </si>
  <si>
    <t>Import</t>
  </si>
  <si>
    <t>9M FY22</t>
  </si>
  <si>
    <t>9M-FY22</t>
  </si>
  <si>
    <t>FY 23Q3</t>
  </si>
  <si>
    <t>FY 22Q3</t>
  </si>
  <si>
    <t>Working Capital Borrowings</t>
  </si>
  <si>
    <t>31.12.22</t>
  </si>
  <si>
    <t>31.12.21</t>
  </si>
  <si>
    <t>31.03.22</t>
  </si>
  <si>
    <t>Total Borrowings</t>
  </si>
  <si>
    <t>30.09.22</t>
  </si>
  <si>
    <t>Borrowings</t>
  </si>
  <si>
    <t>30.06.22</t>
  </si>
  <si>
    <t>Inventory</t>
  </si>
  <si>
    <t>Trade Payable</t>
  </si>
  <si>
    <t>Debtors</t>
  </si>
  <si>
    <t>FY17-18</t>
  </si>
  <si>
    <t>18-19</t>
  </si>
  <si>
    <t>19-20</t>
  </si>
  <si>
    <t>20-21</t>
  </si>
  <si>
    <t>21-22</t>
  </si>
  <si>
    <t>Debotrs</t>
  </si>
  <si>
    <t>Total (A)</t>
  </si>
  <si>
    <t>Trade Payables</t>
  </si>
  <si>
    <t>Total (B)</t>
  </si>
  <si>
    <t>Net Working Capital (A-B)</t>
  </si>
  <si>
    <t>Net Addition in CWIP &amp; FA</t>
  </si>
  <si>
    <t>Increase/(Decrease) in Working Capital</t>
  </si>
  <si>
    <t>Short Term Borrwings</t>
  </si>
  <si>
    <t>Increase/(Decrease) in Short Term Borrowings</t>
  </si>
  <si>
    <t>Working Capital Days (Average Current Assets/Turnover)</t>
  </si>
  <si>
    <t>Cash Profit (PAT+Depreciation)</t>
  </si>
  <si>
    <t>Net Debt to Equity Ratio</t>
  </si>
  <si>
    <t>Total Debt/EBITDA (Annualised)</t>
  </si>
  <si>
    <t>If TL taken in those year</t>
  </si>
  <si>
    <t>FY23</t>
  </si>
  <si>
    <t>Minority interest</t>
  </si>
  <si>
    <t>DSCR (PAT+Dep+Finance Cost)/(Interest+Current Maturity Long term Loan)</t>
  </si>
  <si>
    <t>Debtor Days (Average Debtors/Turnover)</t>
  </si>
  <si>
    <t>Creditor Days (Average Payable/Turnover)</t>
  </si>
  <si>
    <t>Inventory Days (Average Inventory/Turnover)</t>
  </si>
  <si>
    <t>22-23</t>
  </si>
  <si>
    <t xml:space="preserve"> FY 23</t>
  </si>
  <si>
    <t>FY 23</t>
  </si>
  <si>
    <t>RM Consumption</t>
  </si>
  <si>
    <t>Rs in Cr</t>
  </si>
  <si>
    <t>% of Conumption</t>
  </si>
  <si>
    <t>Q4</t>
  </si>
  <si>
    <t>31.03.23</t>
  </si>
  <si>
    <t>Term Loan</t>
  </si>
  <si>
    <t>Cash &amp; Bank Balance</t>
  </si>
  <si>
    <t>Total Net Borrowings</t>
  </si>
  <si>
    <t>Total Net Debt/EBITDA (Annualised)</t>
  </si>
  <si>
    <t>Oriental Aromatics Ltd. (Consolidated)</t>
  </si>
  <si>
    <t>Instrument entirely nature of equity</t>
  </si>
  <si>
    <t>Cost of materials consumed</t>
  </si>
  <si>
    <t>FY24</t>
  </si>
  <si>
    <t>Q1-FY25</t>
  </si>
  <si>
    <t>NA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</si>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</sst>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(* #,##0_);_(* \(#,##0\);_(* &quot;-&quot;??_);_(@_)"/>
    <numFmt numFmtId="170" formatCode="_(* #,##0.00000_);_(* \(#,##0.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168" fontId="3" fillId="0" borderId="1" xfId="2" applyNumberFormat="1" applyFont="1" applyBorder="1"/>
    <xf numFmtId="168" fontId="3" fillId="0" borderId="1" xfId="2" applyNumberFormat="1" applyFont="1" applyFill="1" applyBorder="1"/>
    <xf numFmtId="0" fontId="4" fillId="0" borderId="1" xfId="0" applyFont="1" applyBorder="1"/>
    <xf numFmtId="168" fontId="4" fillId="0" borderId="1" xfId="2" applyNumberFormat="1" applyFont="1" applyBorder="1"/>
    <xf numFmtId="0" fontId="6" fillId="4" borderId="1" xfId="0" applyFont="1" applyFill="1" applyBorder="1"/>
    <xf numFmtId="10" fontId="6" fillId="4" borderId="1" xfId="0" applyNumberFormat="1" applyFont="1" applyFill="1" applyBorder="1"/>
    <xf numFmtId="168" fontId="3" fillId="4" borderId="1" xfId="2" applyNumberFormat="1" applyFont="1" applyFill="1" applyBorder="1"/>
    <xf numFmtId="43" fontId="4" fillId="0" borderId="0" xfId="0" applyNumberFormat="1" applyFont="1"/>
    <xf numFmtId="0" fontId="3" fillId="4" borderId="1" xfId="0" applyFont="1" applyFill="1" applyBorder="1"/>
    <xf numFmtId="168" fontId="4" fillId="0" borderId="1" xfId="2" applyNumberFormat="1" applyFont="1" applyFill="1" applyBorder="1"/>
    <xf numFmtId="165" fontId="4" fillId="0" borderId="0" xfId="0" applyNumberFormat="1" applyFont="1"/>
    <xf numFmtId="167" fontId="4" fillId="0" borderId="1" xfId="2" applyNumberFormat="1" applyFont="1" applyBorder="1" applyAlignment="1">
      <alignment horizontal="left" indent="5"/>
    </xf>
    <xf numFmtId="10" fontId="3" fillId="4" borderId="1" xfId="0" applyNumberFormat="1" applyFont="1" applyFill="1" applyBorder="1"/>
    <xf numFmtId="10" fontId="3" fillId="4" borderId="1" xfId="1" applyNumberFormat="1" applyFont="1" applyFill="1" applyBorder="1"/>
    <xf numFmtId="165" fontId="4" fillId="0" borderId="1" xfId="0" applyNumberFormat="1" applyFont="1" applyBorder="1"/>
    <xf numFmtId="165" fontId="3" fillId="4" borderId="1" xfId="0" applyNumberFormat="1" applyFont="1" applyFill="1" applyBorder="1"/>
    <xf numFmtId="43" fontId="3" fillId="0" borderId="1" xfId="2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8" fontId="8" fillId="0" borderId="1" xfId="2" applyNumberFormat="1" applyFont="1" applyFill="1" applyBorder="1"/>
    <xf numFmtId="168" fontId="9" fillId="0" borderId="1" xfId="2" applyNumberFormat="1" applyFont="1" applyBorder="1"/>
    <xf numFmtId="2" fontId="4" fillId="0" borderId="1" xfId="0" applyNumberFormat="1" applyFont="1" applyBorder="1"/>
    <xf numFmtId="168" fontId="8" fillId="0" borderId="1" xfId="2" applyNumberFormat="1" applyFont="1" applyBorder="1"/>
    <xf numFmtId="0" fontId="9" fillId="0" borderId="0" xfId="0" applyFont="1"/>
    <xf numFmtId="165" fontId="9" fillId="0" borderId="0" xfId="0" applyNumberFormat="1" applyFont="1"/>
    <xf numFmtId="43" fontId="3" fillId="0" borderId="1" xfId="2" applyFont="1" applyBorder="1"/>
    <xf numFmtId="168" fontId="4" fillId="0" borderId="0" xfId="0" applyNumberFormat="1" applyFont="1"/>
    <xf numFmtId="43" fontId="4" fillId="0" borderId="1" xfId="0" applyNumberFormat="1" applyFont="1" applyBorder="1"/>
    <xf numFmtId="43" fontId="4" fillId="0" borderId="1" xfId="2" applyFont="1" applyBorder="1"/>
    <xf numFmtId="0" fontId="4" fillId="0" borderId="0" xfId="0" applyFont="1" applyAlignment="1">
      <alignment horizontal="center" vertical="center"/>
    </xf>
    <xf numFmtId="168" fontId="3" fillId="0" borderId="0" xfId="2" applyNumberFormat="1" applyFont="1" applyFill="1" applyBorder="1"/>
    <xf numFmtId="168" fontId="4" fillId="0" borderId="0" xfId="2" applyNumberFormat="1" applyFont="1" applyFill="1" applyBorder="1"/>
    <xf numFmtId="3" fontId="4" fillId="0" borderId="0" xfId="0" applyNumberFormat="1" applyFont="1"/>
    <xf numFmtId="166" fontId="3" fillId="4" borderId="1" xfId="1" applyNumberFormat="1" applyFont="1" applyFill="1" applyBorder="1"/>
    <xf numFmtId="0" fontId="3" fillId="4" borderId="1" xfId="2" applyNumberFormat="1" applyFont="1" applyFill="1" applyBorder="1"/>
    <xf numFmtId="3" fontId="6" fillId="4" borderId="1" xfId="0" applyNumberFormat="1" applyFont="1" applyFill="1" applyBorder="1"/>
    <xf numFmtId="3" fontId="3" fillId="4" borderId="1" xfId="2" applyNumberFormat="1" applyFont="1" applyFill="1" applyBorder="1"/>
    <xf numFmtId="3" fontId="4" fillId="0" borderId="1" xfId="2" applyNumberFormat="1" applyFont="1" applyFill="1" applyBorder="1"/>
    <xf numFmtId="0" fontId="3" fillId="0" borderId="4" xfId="0" applyFont="1" applyBorder="1"/>
    <xf numFmtId="0" fontId="4" fillId="0" borderId="5" xfId="0" applyFont="1" applyBorder="1"/>
    <xf numFmtId="0" fontId="3" fillId="4" borderId="5" xfId="0" applyFont="1" applyFill="1" applyBorder="1"/>
    <xf numFmtId="0" fontId="3" fillId="0" borderId="5" xfId="0" applyFont="1" applyBorder="1"/>
    <xf numFmtId="0" fontId="3" fillId="4" borderId="6" xfId="0" applyFont="1" applyFill="1" applyBorder="1"/>
    <xf numFmtId="168" fontId="3" fillId="4" borderId="7" xfId="2" applyNumberFormat="1" applyFont="1" applyFill="1" applyBorder="1"/>
    <xf numFmtId="3" fontId="3" fillId="0" borderId="1" xfId="0" applyNumberFormat="1" applyFont="1" applyBorder="1" applyAlignment="1">
      <alignment horizontal="center"/>
    </xf>
    <xf numFmtId="0" fontId="12" fillId="0" borderId="0" xfId="4"/>
    <xf numFmtId="0" fontId="6" fillId="4" borderId="5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166" fontId="4" fillId="4" borderId="7" xfId="0" applyNumberFormat="1" applyFont="1" applyFill="1" applyBorder="1"/>
    <xf numFmtId="10" fontId="6" fillId="4" borderId="7" xfId="0" applyNumberFormat="1" applyFont="1" applyFill="1" applyBorder="1"/>
    <xf numFmtId="10" fontId="7" fillId="4" borderId="7" xfId="0" applyNumberFormat="1" applyFont="1" applyFill="1" applyBorder="1"/>
    <xf numFmtId="10" fontId="4" fillId="4" borderId="7" xfId="0" applyNumberFormat="1" applyFont="1" applyFill="1" applyBorder="1"/>
    <xf numFmtId="0" fontId="3" fillId="0" borderId="7" xfId="0" applyFont="1" applyBorder="1"/>
    <xf numFmtId="168" fontId="8" fillId="4" borderId="7" xfId="2" applyNumberFormat="1" applyFont="1" applyFill="1" applyBorder="1"/>
    <xf numFmtId="0" fontId="3" fillId="3" borderId="9" xfId="0" applyFont="1" applyFill="1" applyBorder="1"/>
    <xf numFmtId="0" fontId="3" fillId="0" borderId="9" xfId="0" applyFont="1" applyBorder="1" applyAlignment="1">
      <alignment horizontal="center"/>
    </xf>
    <xf numFmtId="0" fontId="3" fillId="4" borderId="7" xfId="0" applyFont="1" applyFill="1" applyBorder="1"/>
    <xf numFmtId="168" fontId="3" fillId="0" borderId="7" xfId="2" applyNumberFormat="1" applyFont="1" applyFill="1" applyBorder="1"/>
    <xf numFmtId="0" fontId="4" fillId="0" borderId="8" xfId="0" applyFont="1" applyBorder="1"/>
    <xf numFmtId="0" fontId="4" fillId="0" borderId="9" xfId="0" applyFont="1" applyBorder="1"/>
    <xf numFmtId="3" fontId="4" fillId="0" borderId="9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3" fontId="3" fillId="0" borderId="11" xfId="0" applyNumberFormat="1" applyFont="1" applyBorder="1" applyAlignment="1">
      <alignment horizontal="center"/>
    </xf>
    <xf numFmtId="3" fontId="6" fillId="4" borderId="11" xfId="0" applyNumberFormat="1" applyFont="1" applyFill="1" applyBorder="1"/>
    <xf numFmtId="3" fontId="3" fillId="4" borderId="11" xfId="2" applyNumberFormat="1" applyFont="1" applyFill="1" applyBorder="1"/>
    <xf numFmtId="3" fontId="4" fillId="0" borderId="11" xfId="2" applyNumberFormat="1" applyFont="1" applyFill="1" applyBorder="1"/>
    <xf numFmtId="10" fontId="6" fillId="4" borderId="11" xfId="0" applyNumberFormat="1" applyFont="1" applyFill="1" applyBorder="1"/>
    <xf numFmtId="168" fontId="3" fillId="4" borderId="11" xfId="2" applyNumberFormat="1" applyFont="1" applyFill="1" applyBorder="1"/>
    <xf numFmtId="168" fontId="4" fillId="0" borderId="11" xfId="2" applyNumberFormat="1" applyFont="1" applyFill="1" applyBorder="1"/>
    <xf numFmtId="165" fontId="4" fillId="0" borderId="11" xfId="0" applyNumberFormat="1" applyFont="1" applyBorder="1"/>
    <xf numFmtId="43" fontId="3" fillId="0" borderId="11" xfId="2" applyFont="1" applyFill="1" applyBorder="1"/>
    <xf numFmtId="10" fontId="4" fillId="4" borderId="12" xfId="0" applyNumberFormat="1" applyFont="1" applyFill="1" applyBorder="1"/>
    <xf numFmtId="0" fontId="4" fillId="0" borderId="14" xfId="0" applyFont="1" applyBorder="1"/>
    <xf numFmtId="0" fontId="4" fillId="0" borderId="13" xfId="0" applyFont="1" applyBorder="1"/>
    <xf numFmtId="0" fontId="9" fillId="0" borderId="13" xfId="0" applyFont="1" applyBorder="1"/>
    <xf numFmtId="168" fontId="4" fillId="0" borderId="14" xfId="2" applyNumberFormat="1" applyFont="1" applyFill="1" applyBorder="1"/>
    <xf numFmtId="0" fontId="3" fillId="0" borderId="9" xfId="0" applyFont="1" applyBorder="1"/>
    <xf numFmtId="0" fontId="3" fillId="0" borderId="15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3" fontId="4" fillId="0" borderId="15" xfId="0" applyNumberFormat="1" applyFont="1" applyBorder="1"/>
    <xf numFmtId="168" fontId="3" fillId="0" borderId="12" xfId="2" applyNumberFormat="1" applyFont="1" applyFill="1" applyBorder="1"/>
    <xf numFmtId="0" fontId="4" fillId="0" borderId="11" xfId="0" applyFont="1" applyBorder="1"/>
    <xf numFmtId="43" fontId="4" fillId="0" borderId="11" xfId="0" applyNumberFormat="1" applyFont="1" applyBorder="1"/>
    <xf numFmtId="165" fontId="4" fillId="0" borderId="5" xfId="0" applyNumberFormat="1" applyFont="1" applyBorder="1"/>
    <xf numFmtId="43" fontId="4" fillId="0" borderId="1" xfId="2" applyFont="1" applyFill="1" applyBorder="1"/>
    <xf numFmtId="43" fontId="4" fillId="0" borderId="11" xfId="2" applyFont="1" applyFill="1" applyBorder="1"/>
    <xf numFmtId="165" fontId="10" fillId="0" borderId="1" xfId="0" applyNumberFormat="1" applyFont="1" applyBorder="1"/>
    <xf numFmtId="166" fontId="4" fillId="0" borderId="5" xfId="0" applyNumberFormat="1" applyFont="1" applyBorder="1"/>
    <xf numFmtId="10" fontId="4" fillId="0" borderId="1" xfId="0" applyNumberFormat="1" applyFont="1" applyBorder="1"/>
    <xf numFmtId="10" fontId="4" fillId="0" borderId="11" xfId="0" applyNumberFormat="1" applyFont="1" applyBorder="1"/>
    <xf numFmtId="2" fontId="4" fillId="0" borderId="11" xfId="0" applyNumberFormat="1" applyFont="1" applyBorder="1"/>
    <xf numFmtId="10" fontId="4" fillId="0" borderId="1" xfId="1" applyNumberFormat="1" applyFont="1" applyFill="1" applyBorder="1"/>
    <xf numFmtId="10" fontId="4" fillId="0" borderId="11" xfId="1" applyNumberFormat="1" applyFont="1" applyFill="1" applyBorder="1"/>
    <xf numFmtId="1" fontId="4" fillId="0" borderId="1" xfId="0" applyNumberFormat="1" applyFont="1" applyBorder="1"/>
    <xf numFmtId="1" fontId="4" fillId="0" borderId="11" xfId="0" applyNumberFormat="1" applyFont="1" applyBorder="1"/>
    <xf numFmtId="0" fontId="4" fillId="0" borderId="18" xfId="0" applyFont="1" applyBorder="1"/>
    <xf numFmtId="10" fontId="4" fillId="0" borderId="19" xfId="1" applyNumberFormat="1" applyFont="1" applyFill="1" applyBorder="1"/>
    <xf numFmtId="10" fontId="4" fillId="0" borderId="22" xfId="1" applyNumberFormat="1" applyFont="1" applyFill="1" applyBorder="1"/>
    <xf numFmtId="164" fontId="4" fillId="0" borderId="1" xfId="0" applyNumberFormat="1" applyFont="1" applyBorder="1"/>
    <xf numFmtId="164" fontId="4" fillId="0" borderId="11" xfId="0" applyNumberFormat="1" applyFont="1" applyBorder="1"/>
    <xf numFmtId="0" fontId="9" fillId="0" borderId="1" xfId="0" applyFont="1" applyBorder="1"/>
    <xf numFmtId="0" fontId="0" fillId="0" borderId="1" xfId="0" applyBorder="1"/>
    <xf numFmtId="0" fontId="14" fillId="0" borderId="1" xfId="0" applyFont="1" applyBorder="1"/>
    <xf numFmtId="0" fontId="14" fillId="0" borderId="0" xfId="0" applyFont="1"/>
    <xf numFmtId="43" fontId="0" fillId="0" borderId="1" xfId="2" applyFont="1" applyBorder="1"/>
    <xf numFmtId="43" fontId="14" fillId="0" borderId="1" xfId="2" applyFont="1" applyBorder="1"/>
    <xf numFmtId="43" fontId="14" fillId="0" borderId="0" xfId="2" applyFont="1" applyBorder="1" applyAlignment="1">
      <alignment wrapText="1"/>
    </xf>
    <xf numFmtId="169" fontId="0" fillId="0" borderId="0" xfId="0" applyNumberFormat="1"/>
    <xf numFmtId="164" fontId="0" fillId="0" borderId="0" xfId="0" applyNumberFormat="1"/>
    <xf numFmtId="169" fontId="14" fillId="0" borderId="1" xfId="2" applyNumberFormat="1" applyFont="1" applyBorder="1" applyAlignment="1">
      <alignment wrapText="1"/>
    </xf>
    <xf numFmtId="169" fontId="14" fillId="5" borderId="1" xfId="2" applyNumberFormat="1" applyFont="1" applyFill="1" applyBorder="1" applyAlignment="1">
      <alignment wrapText="1"/>
    </xf>
    <xf numFmtId="169" fontId="0" fillId="0" borderId="1" xfId="2" applyNumberFormat="1" applyFont="1" applyBorder="1" applyAlignment="1">
      <alignment wrapText="1"/>
    </xf>
    <xf numFmtId="9" fontId="0" fillId="0" borderId="1" xfId="1" applyFont="1" applyBorder="1"/>
    <xf numFmtId="9" fontId="0" fillId="5" borderId="1" xfId="1" applyFont="1" applyFill="1" applyBorder="1" applyAlignment="1">
      <alignment wrapText="1"/>
    </xf>
    <xf numFmtId="9" fontId="0" fillId="5" borderId="1" xfId="1" applyFont="1" applyFill="1" applyBorder="1"/>
    <xf numFmtId="9" fontId="14" fillId="5" borderId="1" xfId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5" borderId="1" xfId="0" applyFont="1" applyFill="1" applyBorder="1" applyAlignment="1">
      <alignment wrapText="1"/>
    </xf>
    <xf numFmtId="9" fontId="14" fillId="5" borderId="1" xfId="2" applyNumberFormat="1" applyFont="1" applyFill="1" applyBorder="1" applyAlignment="1">
      <alignment wrapText="1"/>
    </xf>
    <xf numFmtId="43" fontId="0" fillId="0" borderId="0" xfId="0" applyNumberFormat="1"/>
    <xf numFmtId="167" fontId="0" fillId="0" borderId="1" xfId="2" applyNumberFormat="1" applyFont="1" applyBorder="1"/>
    <xf numFmtId="167" fontId="0" fillId="0" borderId="3" xfId="2" applyNumberFormat="1" applyFont="1" applyBorder="1"/>
    <xf numFmtId="167" fontId="0" fillId="0" borderId="19" xfId="2" applyNumberFormat="1" applyFont="1" applyBorder="1"/>
    <xf numFmtId="167" fontId="14" fillId="0" borderId="1" xfId="2" applyNumberFormat="1" applyFont="1" applyBorder="1"/>
    <xf numFmtId="9" fontId="0" fillId="0" borderId="0" xfId="1" applyFont="1"/>
    <xf numFmtId="0" fontId="10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8" fillId="0" borderId="1" xfId="0" applyFont="1" applyBorder="1"/>
    <xf numFmtId="0" fontId="4" fillId="0" borderId="1" xfId="0" applyFont="1" applyBorder="1" applyAlignment="1">
      <alignment vertical="top"/>
    </xf>
    <xf numFmtId="43" fontId="3" fillId="0" borderId="1" xfId="2" applyFont="1" applyBorder="1" applyAlignment="1">
      <alignment vertical="top"/>
    </xf>
    <xf numFmtId="0" fontId="15" fillId="0" borderId="1" xfId="0" applyFont="1" applyBorder="1" applyAlignment="1">
      <alignment vertical="top"/>
    </xf>
    <xf numFmtId="167" fontId="10" fillId="0" borderId="1" xfId="2" applyNumberFormat="1" applyFont="1" applyBorder="1" applyAlignment="1">
      <alignment vertical="top"/>
    </xf>
    <xf numFmtId="167" fontId="15" fillId="0" borderId="1" xfId="2" applyNumberFormat="1" applyFont="1" applyBorder="1" applyAlignment="1">
      <alignment vertical="top"/>
    </xf>
    <xf numFmtId="167" fontId="4" fillId="0" borderId="1" xfId="2" applyNumberFormat="1" applyFont="1" applyBorder="1" applyAlignment="1">
      <alignment vertical="top"/>
    </xf>
    <xf numFmtId="167" fontId="3" fillId="0" borderId="1" xfId="2" applyNumberFormat="1" applyFont="1" applyBorder="1" applyAlignment="1">
      <alignment vertical="top"/>
    </xf>
    <xf numFmtId="167" fontId="4" fillId="0" borderId="0" xfId="0" applyNumberFormat="1" applyFont="1"/>
    <xf numFmtId="167" fontId="3" fillId="0" borderId="0" xfId="2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4" fillId="0" borderId="5" xfId="0" applyNumberFormat="1" applyFont="1" applyBorder="1" applyAlignment="1">
      <alignment wrapText="1"/>
    </xf>
    <xf numFmtId="167" fontId="3" fillId="4" borderId="1" xfId="2" applyNumberFormat="1" applyFont="1" applyFill="1" applyBorder="1" applyAlignment="1">
      <alignment vertical="top"/>
    </xf>
    <xf numFmtId="167" fontId="3" fillId="0" borderId="1" xfId="2" applyNumberFormat="1" applyFont="1" applyBorder="1"/>
    <xf numFmtId="167" fontId="4" fillId="0" borderId="1" xfId="2" applyNumberFormat="1" applyFont="1" applyBorder="1"/>
    <xf numFmtId="0" fontId="0" fillId="0" borderId="19" xfId="0" applyBorder="1"/>
    <xf numFmtId="167" fontId="0" fillId="0" borderId="0" xfId="0" applyNumberFormat="1"/>
    <xf numFmtId="0" fontId="0" fillId="0" borderId="0" xfId="1" applyNumberFormat="1" applyFont="1"/>
    <xf numFmtId="2" fontId="3" fillId="4" borderId="1" xfId="0" applyNumberFormat="1" applyFont="1" applyFill="1" applyBorder="1"/>
    <xf numFmtId="0" fontId="3" fillId="0" borderId="10" xfId="0" applyFont="1" applyBorder="1" applyAlignment="1">
      <alignment horizontal="center"/>
    </xf>
    <xf numFmtId="0" fontId="9" fillId="0" borderId="7" xfId="0" applyFont="1" applyBorder="1"/>
    <xf numFmtId="168" fontId="9" fillId="0" borderId="7" xfId="0" applyNumberFormat="1" applyFont="1" applyBorder="1"/>
    <xf numFmtId="165" fontId="3" fillId="0" borderId="9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4" fillId="0" borderId="0" xfId="0" applyNumberFormat="1" applyFont="1"/>
    <xf numFmtId="170" fontId="4" fillId="0" borderId="0" xfId="0" applyNumberFormat="1" applyFont="1"/>
    <xf numFmtId="168" fontId="4" fillId="0" borderId="7" xfId="0" applyNumberFormat="1" applyFont="1" applyBorder="1"/>
    <xf numFmtId="168" fontId="4" fillId="0" borderId="12" xfId="0" applyNumberFormat="1" applyFont="1" applyBorder="1"/>
    <xf numFmtId="2" fontId="4" fillId="0" borderId="0" xfId="0" applyNumberFormat="1" applyFont="1"/>
    <xf numFmtId="0" fontId="4" fillId="0" borderId="1" xfId="0" applyFont="1" applyFill="1" applyBorder="1"/>
    <xf numFmtId="0" fontId="4" fillId="0" borderId="5" xfId="0" applyFont="1" applyFill="1" applyBorder="1"/>
    <xf numFmtId="1" fontId="4" fillId="0" borderId="1" xfId="0" applyNumberFormat="1" applyFont="1" applyFill="1" applyBorder="1"/>
    <xf numFmtId="2" fontId="4" fillId="0" borderId="1" xfId="0" applyNumberFormat="1" applyFont="1" applyFill="1" applyBorder="1"/>
    <xf numFmtId="43" fontId="4" fillId="0" borderId="1" xfId="0" applyNumberFormat="1" applyFont="1" applyFill="1" applyBorder="1"/>
    <xf numFmtId="0" fontId="10" fillId="0" borderId="0" xfId="0" applyFont="1" applyFill="1"/>
    <xf numFmtId="43" fontId="4" fillId="0" borderId="20" xfId="2" applyFont="1" applyFill="1" applyBorder="1"/>
    <xf numFmtId="168" fontId="4" fillId="0" borderId="20" xfId="2" applyNumberFormat="1" applyFont="1" applyFill="1" applyBorder="1"/>
    <xf numFmtId="168" fontId="4" fillId="0" borderId="20" xfId="2" applyNumberFormat="1" applyFont="1" applyBorder="1"/>
    <xf numFmtId="168" fontId="3" fillId="4" borderId="20" xfId="2" applyNumberFormat="1" applyFont="1" applyFill="1" applyBorder="1"/>
    <xf numFmtId="168" fontId="17" fillId="0" borderId="20" xfId="2" applyNumberFormat="1" applyFont="1" applyBorder="1"/>
    <xf numFmtId="165" fontId="4" fillId="0" borderId="1" xfId="0" applyNumberFormat="1" applyFont="1" applyFill="1" applyBorder="1"/>
    <xf numFmtId="165" fontId="4" fillId="0" borderId="20" xfId="0" applyNumberFormat="1" applyFont="1" applyFill="1" applyBorder="1"/>
    <xf numFmtId="168" fontId="3" fillId="4" borderId="12" xfId="2" applyNumberFormat="1" applyFont="1" applyFill="1" applyBorder="1"/>
    <xf numFmtId="168" fontId="3" fillId="4" borderId="21" xfId="2" applyNumberFormat="1" applyFont="1" applyFill="1" applyBorder="1"/>
    <xf numFmtId="168" fontId="3" fillId="0" borderId="11" xfId="2" applyNumberFormat="1" applyFont="1" applyFill="1" applyBorder="1"/>
    <xf numFmtId="168" fontId="4" fillId="0" borderId="7" xfId="2" applyNumberFormat="1" applyFont="1" applyBorder="1"/>
    <xf numFmtId="0" fontId="4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3" fontId="4" fillId="0" borderId="15" xfId="0" applyNumberFormat="1" applyFont="1" applyFill="1" applyBorder="1"/>
    <xf numFmtId="0" fontId="4" fillId="4" borderId="14" xfId="0" applyFont="1" applyFill="1" applyBorder="1"/>
    <xf numFmtId="168" fontId="4" fillId="4" borderId="14" xfId="2" applyNumberFormat="1" applyFont="1" applyFill="1" applyBorder="1"/>
    <xf numFmtId="168" fontId="4" fillId="0" borderId="29" xfId="2" applyNumberFormat="1" applyFont="1" applyFill="1" applyBorder="1"/>
    <xf numFmtId="10" fontId="4" fillId="0" borderId="1" xfId="0" applyNumberFormat="1" applyFont="1" applyFill="1" applyBorder="1"/>
    <xf numFmtId="164" fontId="4" fillId="0" borderId="11" xfId="0" applyNumberFormat="1" applyFont="1" applyFill="1" applyBorder="1"/>
    <xf numFmtId="168" fontId="4" fillId="0" borderId="7" xfId="0" applyNumberFormat="1" applyFont="1" applyFill="1" applyBorder="1"/>
    <xf numFmtId="0" fontId="3" fillId="0" borderId="8" xfId="0" applyFont="1" applyFill="1" applyBorder="1"/>
    <xf numFmtId="0" fontId="5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0" fontId="3" fillId="4" borderId="11" xfId="0" applyNumberFormat="1" applyFont="1" applyFill="1" applyBorder="1"/>
    <xf numFmtId="10" fontId="3" fillId="4" borderId="11" xfId="1" applyNumberFormat="1" applyFont="1" applyFill="1" applyBorder="1"/>
    <xf numFmtId="165" fontId="4" fillId="0" borderId="11" xfId="0" applyNumberFormat="1" applyFont="1" applyFill="1" applyBorder="1"/>
    <xf numFmtId="165" fontId="3" fillId="4" borderId="11" xfId="0" applyNumberFormat="1" applyFont="1" applyFill="1" applyBorder="1"/>
    <xf numFmtId="10" fontId="4" fillId="4" borderId="11" xfId="0" applyNumberFormat="1" applyFont="1" applyFill="1" applyBorder="1"/>
    <xf numFmtId="10" fontId="7" fillId="4" borderId="12" xfId="0" applyNumberFormat="1" applyFont="1" applyFill="1" applyBorder="1"/>
    <xf numFmtId="0" fontId="4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9" fontId="14" fillId="0" borderId="11" xfId="2" applyNumberFormat="1" applyFont="1" applyBorder="1" applyAlignment="1">
      <alignment horizontal="center" wrapText="1"/>
    </xf>
    <xf numFmtId="169" fontId="14" fillId="0" borderId="23" xfId="2" applyNumberFormat="1" applyFont="1" applyBorder="1" applyAlignment="1">
      <alignment horizontal="center" wrapText="1"/>
    </xf>
    <xf numFmtId="169" fontId="14" fillId="0" borderId="24" xfId="2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4" fillId="0" borderId="1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0" fillId="0" borderId="25" xfId="1" applyNumberFormat="1" applyFont="1" applyBorder="1" applyAlignment="1">
      <alignment horizontal="center"/>
    </xf>
    <xf numFmtId="0" fontId="0" fillId="0" borderId="26" xfId="1" applyNumberFormat="1" applyFont="1" applyBorder="1" applyAlignment="1">
      <alignment horizontal="center"/>
    </xf>
    <xf numFmtId="0" fontId="0" fillId="0" borderId="27" xfId="1" applyNumberFormat="1" applyFont="1" applyBorder="1" applyAlignment="1">
      <alignment horizontal="center"/>
    </xf>
    <xf numFmtId="0" fontId="0" fillId="0" borderId="30" xfId="0" applyBorder="1"/>
    <xf numFmtId="2" fontId="4" fillId="0" borderId="11" xfId="0" applyNumberFormat="1" applyFont="1" applyFill="1" applyBorder="1"/>
    <xf numFmtId="43" fontId="4" fillId="0" borderId="11" xfId="0" applyNumberFormat="1" applyFont="1" applyFill="1" applyBorder="1"/>
    <xf numFmtId="2" fontId="4" fillId="0" borderId="11" xfId="2" applyNumberFormat="1" applyFont="1" applyFill="1" applyBorder="1"/>
    <xf numFmtId="10" fontId="4" fillId="0" borderId="11" xfId="0" applyNumberFormat="1" applyFont="1" applyFill="1" applyBorder="1"/>
    <xf numFmtId="1" fontId="4" fillId="0" borderId="11" xfId="0" applyNumberFormat="1" applyFont="1" applyFill="1" applyBorder="1"/>
    <xf numFmtId="168" fontId="4" fillId="0" borderId="12" xfId="0" applyNumberFormat="1" applyFont="1" applyFill="1" applyBorder="1"/>
    <xf numFmtId="0" fontId="3" fillId="0" borderId="0" xfId="0" applyFont="1" applyFill="1"/>
    <xf numFmtId="43" fontId="4" fillId="0" borderId="20" xfId="2" applyFont="1" applyBorder="1"/>
    <xf numFmtId="43" fontId="4" fillId="0" borderId="20" xfId="0" applyNumberFormat="1" applyFont="1" applyBorder="1"/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16" fillId="0" borderId="10" xfId="0" applyFont="1" applyBorder="1" applyAlignment="1">
      <alignment horizontal="center"/>
    </xf>
    <xf numFmtId="168" fontId="3" fillId="0" borderId="20" xfId="2" applyNumberFormat="1" applyFont="1" applyFill="1" applyBorder="1"/>
    <xf numFmtId="43" fontId="6" fillId="4" borderId="20" xfId="2" applyFont="1" applyFill="1" applyBorder="1"/>
    <xf numFmtId="168" fontId="4" fillId="6" borderId="20" xfId="2" applyNumberFormat="1" applyFont="1" applyFill="1" applyBorder="1"/>
    <xf numFmtId="10" fontId="6" fillId="4" borderId="20" xfId="0" applyNumberFormat="1" applyFont="1" applyFill="1" applyBorder="1"/>
    <xf numFmtId="10" fontId="3" fillId="4" borderId="20" xfId="0" applyNumberFormat="1" applyFont="1" applyFill="1" applyBorder="1"/>
    <xf numFmtId="168" fontId="4" fillId="6" borderId="20" xfId="2" applyNumberFormat="1" applyFont="1" applyFill="1" applyBorder="1" applyAlignment="1">
      <alignment horizontal="right"/>
    </xf>
    <xf numFmtId="165" fontId="3" fillId="4" borderId="20" xfId="2" applyNumberFormat="1" applyFont="1" applyFill="1" applyBorder="1"/>
    <xf numFmtId="10" fontId="3" fillId="4" borderId="20" xfId="1" applyNumberFormat="1" applyFont="1" applyFill="1" applyBorder="1"/>
    <xf numFmtId="165" fontId="3" fillId="4" borderId="20" xfId="0" applyNumberFormat="1" applyFont="1" applyFill="1" applyBorder="1"/>
    <xf numFmtId="43" fontId="3" fillId="0" borderId="20" xfId="2" applyFont="1" applyFill="1" applyBorder="1"/>
    <xf numFmtId="43" fontId="4" fillId="4" borderId="20" xfId="2" applyFont="1" applyFill="1" applyBorder="1"/>
    <xf numFmtId="10" fontId="7" fillId="4" borderId="21" xfId="0" applyNumberFormat="1" applyFont="1" applyFill="1" applyBorder="1"/>
    <xf numFmtId="0" fontId="0" fillId="0" borderId="0" xfId="0" applyBorder="1"/>
    <xf numFmtId="2" fontId="3" fillId="0" borderId="10" xfId="0" applyNumberFormat="1" applyFont="1" applyBorder="1" applyAlignment="1">
      <alignment horizontal="center"/>
    </xf>
    <xf numFmtId="3" fontId="4" fillId="0" borderId="10" xfId="0" applyNumberFormat="1" applyFont="1" applyFill="1" applyBorder="1"/>
    <xf numFmtId="168" fontId="3" fillId="0" borderId="21" xfId="2" applyNumberFormat="1" applyFont="1" applyFill="1" applyBorder="1"/>
  </cellXfs>
  <cellStyles count="6">
    <cellStyle name="Comma" xfId="2" builtinId="3"/>
    <cellStyle name="Comma 2" xfId="5"/>
    <cellStyle name="Hyperlink" xfId="4" builtinId="8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tabSelected="1" topLeftCell="N1" zoomScale="70" zoomScaleNormal="70" zoomScaleSheetLayoutView="75" workbookViewId="0">
      <selection activeCell="O7" sqref="O7"/>
    </sheetView>
  </sheetViews>
  <sheetFormatPr defaultColWidth="9.140625" defaultRowHeight="18.75" x14ac:dyDescent="0.3"/>
  <cols>
    <col min="1" max="1" width="48.140625" style="1" customWidth="1"/>
    <col min="2" max="2" width="14" style="1" hidden="1" customWidth="1"/>
    <col min="3" max="3" width="16.85546875" style="1" hidden="1" customWidth="1"/>
    <col min="4" max="4" width="17.42578125" style="1" hidden="1" customWidth="1"/>
    <col min="5" max="6" width="16.85546875" style="1" customWidth="1"/>
    <col min="7" max="9" width="16.85546875" style="1" hidden="1" customWidth="1"/>
    <col min="10" max="10" width="16.85546875" style="1" customWidth="1"/>
    <col min="11" max="11" width="16.140625" style="1" customWidth="1"/>
    <col min="12" max="13" width="17.7109375" style="1" customWidth="1"/>
    <col min="14" max="14" width="17.5703125" style="1" customWidth="1"/>
    <col min="15" max="15" width="17.7109375" style="1" customWidth="1"/>
    <col min="16" max="16" width="101.140625" style="1" bestFit="1" customWidth="1"/>
    <col min="17" max="17" width="16.28515625" style="27" hidden="1" customWidth="1"/>
    <col min="18" max="18" width="16.28515625" style="14" hidden="1" customWidth="1"/>
    <col min="19" max="19" width="16.28515625" style="27" customWidth="1"/>
    <col min="20" max="20" width="16.28515625" style="1" customWidth="1"/>
    <col min="21" max="21" width="16.42578125" style="1" bestFit="1" customWidth="1"/>
    <col min="22" max="22" width="17.85546875" style="1" bestFit="1" customWidth="1"/>
    <col min="23" max="24" width="16.28515625" style="1" customWidth="1"/>
    <col min="25" max="25" width="16.42578125" style="1" customWidth="1"/>
    <col min="26" max="26" width="22.42578125" style="1" bestFit="1" customWidth="1"/>
    <col min="27" max="27" width="10.140625" style="1" bestFit="1" customWidth="1"/>
    <col min="28" max="28" width="9.140625" style="1"/>
    <col min="29" max="29" width="15" style="1" bestFit="1" customWidth="1"/>
    <col min="30" max="16384" width="9.140625" style="1"/>
  </cols>
  <sheetData>
    <row r="1" spans="1:24" x14ac:dyDescent="0.3">
      <c r="A1" s="209" t="s">
        <v>189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</row>
    <row r="2" spans="1:24" ht="19.5" thickBot="1" x14ac:dyDescent="0.35">
      <c r="A2" s="205" t="s">
        <v>63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196"/>
      <c r="P2" s="206" t="s">
        <v>62</v>
      </c>
      <c r="Q2" s="206"/>
      <c r="R2" s="206"/>
      <c r="S2" s="206"/>
      <c r="T2" s="206"/>
      <c r="U2" s="206"/>
      <c r="V2" s="206"/>
      <c r="W2" s="206"/>
      <c r="X2" s="206"/>
    </row>
    <row r="3" spans="1:24" x14ac:dyDescent="0.3">
      <c r="A3" s="69" t="s">
        <v>0</v>
      </c>
      <c r="B3" s="85"/>
      <c r="C3" s="61" t="s">
        <v>21</v>
      </c>
      <c r="D3" s="61" t="s">
        <v>58</v>
      </c>
      <c r="E3" s="61" t="s">
        <v>64</v>
      </c>
      <c r="F3" s="61" t="s">
        <v>102</v>
      </c>
      <c r="G3" s="61" t="s">
        <v>107</v>
      </c>
      <c r="H3" s="61" t="s">
        <v>108</v>
      </c>
      <c r="I3" s="86" t="s">
        <v>109</v>
      </c>
      <c r="J3" s="61" t="s">
        <v>110</v>
      </c>
      <c r="K3" s="61" t="s">
        <v>111</v>
      </c>
      <c r="L3" s="61" t="s">
        <v>171</v>
      </c>
      <c r="M3" s="197" t="s">
        <v>192</v>
      </c>
      <c r="N3" s="236" t="s">
        <v>193</v>
      </c>
      <c r="P3" s="69" t="s">
        <v>0</v>
      </c>
      <c r="Q3" s="70" t="s">
        <v>21</v>
      </c>
      <c r="R3" s="160" t="s">
        <v>58</v>
      </c>
      <c r="S3" s="61" t="s">
        <v>64</v>
      </c>
      <c r="T3" s="61" t="s">
        <v>102</v>
      </c>
      <c r="U3" s="161" t="s">
        <v>110</v>
      </c>
      <c r="V3" s="61" t="s">
        <v>111</v>
      </c>
      <c r="W3" s="61" t="s">
        <v>171</v>
      </c>
      <c r="X3" s="162" t="s">
        <v>192</v>
      </c>
    </row>
    <row r="4" spans="1:24" x14ac:dyDescent="0.3">
      <c r="A4" s="45" t="s">
        <v>65</v>
      </c>
      <c r="B4" s="3"/>
      <c r="C4" s="4">
        <v>4577.5079999999998</v>
      </c>
      <c r="D4" s="5">
        <v>5060.3310000000001</v>
      </c>
      <c r="E4" s="5">
        <v>7546.857</v>
      </c>
      <c r="F4" s="5">
        <v>7598.9449999999997</v>
      </c>
      <c r="G4" s="48">
        <v>1132.5740000000001</v>
      </c>
      <c r="H4" s="48">
        <v>1838.346</v>
      </c>
      <c r="I4" s="71">
        <v>1906.7</v>
      </c>
      <c r="J4" s="5">
        <v>7088.36</v>
      </c>
      <c r="K4" s="5">
        <f>86879.19/10</f>
        <v>8687.9189999999999</v>
      </c>
      <c r="L4" s="5">
        <f>84907.26/10</f>
        <v>8490.7259999999987</v>
      </c>
      <c r="M4" s="183">
        <v>8364.0400000000009</v>
      </c>
      <c r="N4" s="237">
        <v>2157.5819999999999</v>
      </c>
      <c r="P4" s="43" t="s">
        <v>66</v>
      </c>
      <c r="Q4" s="6">
        <v>51.337000000000003</v>
      </c>
      <c r="R4" s="6">
        <v>84.134</v>
      </c>
      <c r="S4" s="7">
        <v>168.268</v>
      </c>
      <c r="T4" s="7">
        <v>168.268</v>
      </c>
      <c r="U4" s="7">
        <v>168.268</v>
      </c>
      <c r="V4" s="7">
        <v>168.268</v>
      </c>
      <c r="W4" s="13">
        <v>168.268</v>
      </c>
      <c r="X4" s="175">
        <v>168.268</v>
      </c>
    </row>
    <row r="5" spans="1:24" x14ac:dyDescent="0.3">
      <c r="A5" s="50" t="s">
        <v>1</v>
      </c>
      <c r="B5" s="8"/>
      <c r="C5" s="9"/>
      <c r="D5" s="9">
        <f>(D4/C4-1)</f>
        <v>0.10547725967928412</v>
      </c>
      <c r="E5" s="9">
        <f>(E4/D4-1)</f>
        <v>0.49137615701423476</v>
      </c>
      <c r="F5" s="9">
        <f>(F4/E4-1)</f>
        <v>6.901946068409659E-3</v>
      </c>
      <c r="G5" s="39"/>
      <c r="H5" s="39"/>
      <c r="I5" s="72"/>
      <c r="J5" s="9">
        <f>(J4/F4-1)</f>
        <v>-6.7191564092120681E-2</v>
      </c>
      <c r="K5" s="9">
        <f>K4/J4-1</f>
        <v>0.22565995519414939</v>
      </c>
      <c r="L5" s="9">
        <f>L4/K4-1</f>
        <v>-2.2697380120602073E-2</v>
      </c>
      <c r="M5" s="75">
        <f>M4/L4-1</f>
        <v>-1.4920514453062972E-2</v>
      </c>
      <c r="N5" s="238">
        <v>0</v>
      </c>
      <c r="P5" s="43" t="s">
        <v>190</v>
      </c>
      <c r="Q5" s="6">
        <v>32.796999999999997</v>
      </c>
      <c r="R5" s="6"/>
      <c r="S5" s="7"/>
      <c r="T5" s="7"/>
      <c r="U5" s="7"/>
      <c r="V5" s="7"/>
      <c r="W5" s="13"/>
      <c r="X5" s="175"/>
    </row>
    <row r="6" spans="1:24" x14ac:dyDescent="0.3">
      <c r="A6" s="50" t="s">
        <v>105</v>
      </c>
      <c r="B6" s="8"/>
      <c r="C6" s="9"/>
      <c r="D6" s="10"/>
      <c r="E6" s="9">
        <f>((E4/C4)^(1/2))-1</f>
        <v>0.28401029092726437</v>
      </c>
      <c r="F6" s="9">
        <f>((F4/C4)^(1/3))-1</f>
        <v>0.18406278020084343</v>
      </c>
      <c r="G6" s="39"/>
      <c r="H6" s="39"/>
      <c r="I6" s="72"/>
      <c r="J6" s="9">
        <f>((J4/D4)^(1/3))-1</f>
        <v>0.11889400510145021</v>
      </c>
      <c r="K6" s="9">
        <f>((K4/E4)^(1/3))-1</f>
        <v>4.805292430585828E-2</v>
      </c>
      <c r="L6" s="9">
        <f>((L4/F4)^(1/3))-1</f>
        <v>3.768094464097671E-2</v>
      </c>
      <c r="M6" s="75">
        <f>((M4/J4)^(1/3))-1</f>
        <v>5.6712338270460405E-2</v>
      </c>
      <c r="N6" s="238">
        <v>0</v>
      </c>
      <c r="P6" s="43" t="s">
        <v>67</v>
      </c>
      <c r="Q6" s="6">
        <v>3080.873</v>
      </c>
      <c r="R6" s="6">
        <v>3291.6190000000001</v>
      </c>
      <c r="S6" s="7">
        <v>3750.9740000000002</v>
      </c>
      <c r="T6" s="7">
        <v>4473.1310000000003</v>
      </c>
      <c r="U6" s="7">
        <v>5404.6</v>
      </c>
      <c r="V6" s="7">
        <f>58839.32/10</f>
        <v>5883.9319999999998</v>
      </c>
      <c r="W6" s="13">
        <v>6081.16</v>
      </c>
      <c r="X6" s="175">
        <v>6155.2179999999998</v>
      </c>
    </row>
    <row r="7" spans="1:24" x14ac:dyDescent="0.3">
      <c r="A7" s="44" t="s">
        <v>2</v>
      </c>
      <c r="B7" s="12"/>
      <c r="C7" s="10">
        <f t="shared" ref="C7:J7" si="0">SUM(C8:C12)</f>
        <v>4008.931</v>
      </c>
      <c r="D7" s="10">
        <f t="shared" si="0"/>
        <v>4412.87</v>
      </c>
      <c r="E7" s="10">
        <f t="shared" si="0"/>
        <v>6396.7719999999999</v>
      </c>
      <c r="F7" s="10">
        <f t="shared" si="0"/>
        <v>6326.84</v>
      </c>
      <c r="G7" s="40">
        <f t="shared" si="0"/>
        <v>949.39900000000011</v>
      </c>
      <c r="H7" s="40">
        <f t="shared" si="0"/>
        <v>1347.7179999999998</v>
      </c>
      <c r="I7" s="73">
        <f t="shared" si="0"/>
        <v>1372.951</v>
      </c>
      <c r="J7" s="10">
        <f t="shared" si="0"/>
        <v>5537.62</v>
      </c>
      <c r="K7" s="10">
        <f t="shared" ref="K7:N7" si="1">SUM(K8:K12)</f>
        <v>7762.6449999999995</v>
      </c>
      <c r="L7" s="10">
        <f t="shared" si="1"/>
        <v>7948.5919999999996</v>
      </c>
      <c r="M7" s="76">
        <f t="shared" si="1"/>
        <v>7894.7</v>
      </c>
      <c r="N7" s="177">
        <f>SUM(N8:N12)</f>
        <v>1936.568</v>
      </c>
      <c r="P7" s="44" t="s">
        <v>22</v>
      </c>
      <c r="Q7" s="12">
        <f>(Q4+Q6+Q5)</f>
        <v>3165.0070000000001</v>
      </c>
      <c r="R7" s="12">
        <f t="shared" ref="R7:V7" si="2">(R4+R6)</f>
        <v>3375.7530000000002</v>
      </c>
      <c r="S7" s="10">
        <f t="shared" si="2"/>
        <v>3919.2420000000002</v>
      </c>
      <c r="T7" s="10">
        <f t="shared" si="2"/>
        <v>4641.3990000000003</v>
      </c>
      <c r="U7" s="10">
        <f t="shared" si="2"/>
        <v>5572.8680000000004</v>
      </c>
      <c r="V7" s="10">
        <f t="shared" si="2"/>
        <v>6052.2</v>
      </c>
      <c r="W7" s="10">
        <f>(W4+W6)</f>
        <v>6249.4279999999999</v>
      </c>
      <c r="X7" s="177">
        <f>(X4+X6)</f>
        <v>6323.4859999999999</v>
      </c>
    </row>
    <row r="8" spans="1:24" x14ac:dyDescent="0.3">
      <c r="A8" s="43" t="s">
        <v>191</v>
      </c>
      <c r="B8" s="6"/>
      <c r="C8" s="7">
        <v>2925.0810000000001</v>
      </c>
      <c r="D8" s="13">
        <v>3307.768</v>
      </c>
      <c r="E8" s="13">
        <v>5221.165</v>
      </c>
      <c r="F8" s="13">
        <v>4863.0940000000001</v>
      </c>
      <c r="G8" s="41">
        <v>631.52499999999998</v>
      </c>
      <c r="H8" s="41">
        <v>1036.934</v>
      </c>
      <c r="I8" s="74">
        <v>1004.649</v>
      </c>
      <c r="J8" s="13">
        <v>4145.21</v>
      </c>
      <c r="K8" s="13">
        <f>61558.47/10</f>
        <v>6155.8469999999998</v>
      </c>
      <c r="L8" s="13">
        <f>63068.53/10</f>
        <v>6306.8530000000001</v>
      </c>
      <c r="M8" s="77">
        <v>5325.37</v>
      </c>
      <c r="N8" s="239">
        <v>1198.973</v>
      </c>
      <c r="P8" s="43" t="s">
        <v>172</v>
      </c>
      <c r="Q8" s="6"/>
      <c r="R8" s="6"/>
      <c r="S8" s="7"/>
      <c r="T8" s="7"/>
      <c r="U8" s="7"/>
      <c r="V8" s="7"/>
      <c r="W8" s="7"/>
      <c r="X8" s="176"/>
    </row>
    <row r="9" spans="1:24" x14ac:dyDescent="0.3">
      <c r="A9" s="43" t="s">
        <v>68</v>
      </c>
      <c r="B9" s="6"/>
      <c r="C9" s="7">
        <v>37.697000000000003</v>
      </c>
      <c r="D9" s="13">
        <v>-33.109000000000002</v>
      </c>
      <c r="E9" s="13">
        <v>-245.422</v>
      </c>
      <c r="F9" s="13">
        <v>-90.260999999999996</v>
      </c>
      <c r="G9" s="41">
        <v>44.21</v>
      </c>
      <c r="H9" s="41">
        <v>-120.027</v>
      </c>
      <c r="I9" s="74">
        <v>-49.274999999999999</v>
      </c>
      <c r="J9" s="13">
        <v>-199.15</v>
      </c>
      <c r="K9" s="13">
        <f>-4277.32/10</f>
        <v>-427.73199999999997</v>
      </c>
      <c r="L9" s="13">
        <f>-5391.44/10</f>
        <v>-539.14400000000001</v>
      </c>
      <c r="M9" s="77">
        <v>389.4</v>
      </c>
      <c r="N9" s="239">
        <v>89.841999999999999</v>
      </c>
      <c r="P9" s="43" t="s">
        <v>23</v>
      </c>
      <c r="Q9" s="6">
        <v>425.95499999999998</v>
      </c>
      <c r="R9" s="6">
        <v>211.76499999999999</v>
      </c>
      <c r="S9" s="7">
        <v>117.64700000000001</v>
      </c>
      <c r="T9" s="7">
        <v>15.295</v>
      </c>
      <c r="U9" s="7">
        <v>0</v>
      </c>
      <c r="V9" s="7">
        <f>4500/10</f>
        <v>450</v>
      </c>
      <c r="W9" s="13">
        <v>316.39999999999998</v>
      </c>
      <c r="X9" s="175">
        <v>518.57299999999998</v>
      </c>
    </row>
    <row r="10" spans="1:24" x14ac:dyDescent="0.3">
      <c r="A10" s="43" t="s">
        <v>84</v>
      </c>
      <c r="B10" s="6"/>
      <c r="C10" s="7">
        <v>511.995</v>
      </c>
      <c r="D10" s="13">
        <v>548.875</v>
      </c>
      <c r="E10" s="13">
        <v>647.41399999999999</v>
      </c>
      <c r="F10" s="13">
        <v>807.82100000000003</v>
      </c>
      <c r="G10" s="41">
        <v>130.05199999999999</v>
      </c>
      <c r="H10" s="41">
        <v>220.559</v>
      </c>
      <c r="I10" s="74">
        <v>199.631</v>
      </c>
      <c r="J10" s="13">
        <v>784.73</v>
      </c>
      <c r="K10" s="13">
        <f>10474.59/10</f>
        <v>1047.4590000000001</v>
      </c>
      <c r="L10" s="13">
        <v>1098.7</v>
      </c>
      <c r="M10" s="77">
        <v>1117.6199999999999</v>
      </c>
      <c r="N10" s="175">
        <v>314.16699999999997</v>
      </c>
      <c r="P10" s="43" t="s">
        <v>24</v>
      </c>
      <c r="Q10" s="6">
        <v>621.97400000000005</v>
      </c>
      <c r="R10" s="6">
        <v>1012.961</v>
      </c>
      <c r="S10" s="7">
        <v>1622.37</v>
      </c>
      <c r="T10" s="7">
        <v>431.10700000000003</v>
      </c>
      <c r="U10" s="7">
        <v>778.59</v>
      </c>
      <c r="V10" s="7">
        <f>9434.88/10</f>
        <v>943.48799999999994</v>
      </c>
      <c r="W10" s="13">
        <v>1972.0150000000001</v>
      </c>
      <c r="X10" s="175">
        <v>1522.316</v>
      </c>
    </row>
    <row r="11" spans="1:24" x14ac:dyDescent="0.3">
      <c r="A11" s="43" t="s">
        <v>44</v>
      </c>
      <c r="B11" s="6"/>
      <c r="C11" s="7">
        <v>232.21799999999999</v>
      </c>
      <c r="D11" s="13">
        <v>261.46300000000002</v>
      </c>
      <c r="E11" s="13">
        <v>314.87799999999999</v>
      </c>
      <c r="F11" s="13">
        <v>358.113</v>
      </c>
      <c r="G11" s="41">
        <v>88.278000000000006</v>
      </c>
      <c r="H11" s="41">
        <v>92.605999999999995</v>
      </c>
      <c r="I11" s="74">
        <v>95.1</v>
      </c>
      <c r="J11" s="13">
        <v>394.63</v>
      </c>
      <c r="K11" s="13">
        <f>4839.24/10</f>
        <v>483.92399999999998</v>
      </c>
      <c r="L11" s="13">
        <v>528.40599999999995</v>
      </c>
      <c r="M11" s="77">
        <v>539.01</v>
      </c>
      <c r="N11" s="239">
        <v>177.779</v>
      </c>
      <c r="P11" s="43" t="s">
        <v>104</v>
      </c>
      <c r="Q11" s="6"/>
      <c r="R11" s="6">
        <v>94</v>
      </c>
      <c r="S11" s="7">
        <v>94</v>
      </c>
      <c r="T11" s="7">
        <v>61</v>
      </c>
      <c r="U11" s="7">
        <v>0</v>
      </c>
      <c r="V11" s="7">
        <v>0</v>
      </c>
      <c r="W11" s="7">
        <v>0</v>
      </c>
      <c r="X11" s="176">
        <v>0</v>
      </c>
    </row>
    <row r="12" spans="1:24" x14ac:dyDescent="0.3">
      <c r="A12" s="43" t="s">
        <v>46</v>
      </c>
      <c r="B12" s="6"/>
      <c r="C12" s="15">
        <v>301.94</v>
      </c>
      <c r="D12" s="13">
        <v>327.87299999999999</v>
      </c>
      <c r="E12" s="13">
        <v>458.73700000000002</v>
      </c>
      <c r="F12" s="13">
        <v>388.07299999999998</v>
      </c>
      <c r="G12" s="41">
        <v>55.334000000000003</v>
      </c>
      <c r="H12" s="41">
        <v>117.646</v>
      </c>
      <c r="I12" s="74">
        <v>122.846</v>
      </c>
      <c r="J12" s="13">
        <v>412.2</v>
      </c>
      <c r="K12" s="13">
        <f>5031.47/10</f>
        <v>503.14700000000005</v>
      </c>
      <c r="L12" s="13">
        <v>553.77700000000004</v>
      </c>
      <c r="M12" s="77">
        <v>523.29999999999995</v>
      </c>
      <c r="N12" s="239">
        <v>155.80699999999999</v>
      </c>
      <c r="P12" s="44" t="s">
        <v>25</v>
      </c>
      <c r="Q12" s="12">
        <f t="shared" ref="Q12:U12" si="3">Q10+Q9</f>
        <v>1047.9290000000001</v>
      </c>
      <c r="R12" s="12">
        <f>R10+R9+R11</f>
        <v>1318.7260000000001</v>
      </c>
      <c r="S12" s="10">
        <f>S10+S9+S11</f>
        <v>1834.0169999999998</v>
      </c>
      <c r="T12" s="10">
        <f>T10+T9+T11</f>
        <v>507.40200000000004</v>
      </c>
      <c r="U12" s="10">
        <f t="shared" si="3"/>
        <v>778.59</v>
      </c>
      <c r="V12" s="10">
        <f t="shared" ref="V12" si="4">V10+V9</f>
        <v>1393.4879999999998</v>
      </c>
      <c r="W12" s="10">
        <f>W10+W9</f>
        <v>2288.415</v>
      </c>
      <c r="X12" s="177">
        <f>X10+X9</f>
        <v>2040.8890000000001</v>
      </c>
    </row>
    <row r="13" spans="1:24" x14ac:dyDescent="0.3">
      <c r="A13" s="44" t="s">
        <v>3</v>
      </c>
      <c r="B13" s="12"/>
      <c r="C13" s="10">
        <f t="shared" ref="C13:J13" si="5">(C4-C7)</f>
        <v>568.57699999999977</v>
      </c>
      <c r="D13" s="10">
        <f t="shared" si="5"/>
        <v>647.46100000000024</v>
      </c>
      <c r="E13" s="10">
        <f t="shared" si="5"/>
        <v>1150.085</v>
      </c>
      <c r="F13" s="10">
        <f t="shared" si="5"/>
        <v>1272.1049999999996</v>
      </c>
      <c r="G13" s="40">
        <f t="shared" si="5"/>
        <v>183.17499999999995</v>
      </c>
      <c r="H13" s="40">
        <f t="shared" si="5"/>
        <v>490.62800000000016</v>
      </c>
      <c r="I13" s="40">
        <f t="shared" si="5"/>
        <v>533.74900000000002</v>
      </c>
      <c r="J13" s="10">
        <f t="shared" si="5"/>
        <v>1550.7399999999998</v>
      </c>
      <c r="K13" s="10">
        <f t="shared" ref="K13:L13" si="6">(K4-K7)</f>
        <v>925.27400000000034</v>
      </c>
      <c r="L13" s="10">
        <f t="shared" si="6"/>
        <v>542.13399999999911</v>
      </c>
      <c r="M13" s="76">
        <f t="shared" ref="M13:N13" si="7">(M4-M7)</f>
        <v>469.34000000000106</v>
      </c>
      <c r="N13" s="177">
        <f t="shared" si="7"/>
        <v>221.0139999999999</v>
      </c>
      <c r="O13" s="11"/>
      <c r="P13" s="44" t="s">
        <v>26</v>
      </c>
      <c r="Q13" s="156">
        <f t="shared" ref="Q13:V13" si="8">(Q7+Q9+Q8)+SUM(Q48:Q50)</f>
        <v>3842.576</v>
      </c>
      <c r="R13" s="156">
        <f t="shared" si="8"/>
        <v>3866.94</v>
      </c>
      <c r="S13" s="10">
        <f t="shared" si="8"/>
        <v>4398.8090000000002</v>
      </c>
      <c r="T13" s="10">
        <f t="shared" si="8"/>
        <v>4942.9130000000005</v>
      </c>
      <c r="U13" s="10">
        <f t="shared" si="8"/>
        <v>5866.0880000000006</v>
      </c>
      <c r="V13" s="10">
        <f t="shared" si="8"/>
        <v>6793.2910000000002</v>
      </c>
      <c r="W13" s="10">
        <f>(W7+W9+W8)+SUM(W48:W50)</f>
        <v>6883.1819999999998</v>
      </c>
      <c r="X13" s="177">
        <f>(X7+X9+X8)+SUM(X48:X50)</f>
        <v>7167.915</v>
      </c>
    </row>
    <row r="14" spans="1:24" x14ac:dyDescent="0.3">
      <c r="A14" s="50" t="s">
        <v>1</v>
      </c>
      <c r="B14" s="8"/>
      <c r="C14" s="9"/>
      <c r="D14" s="9">
        <f>D13/C13-1</f>
        <v>0.13873934401145394</v>
      </c>
      <c r="E14" s="9">
        <f>E13/D13-1</f>
        <v>0.7763000396935098</v>
      </c>
      <c r="F14" s="9">
        <f>F13/E13-1</f>
        <v>0.10609650591043218</v>
      </c>
      <c r="G14" s="9">
        <f t="shared" ref="G14:I14" si="9">(G13/F13-1)</f>
        <v>-0.85600638312089017</v>
      </c>
      <c r="H14" s="9">
        <f t="shared" si="9"/>
        <v>1.678465947864066</v>
      </c>
      <c r="I14" s="9">
        <f t="shared" si="9"/>
        <v>8.7889398892847304E-2</v>
      </c>
      <c r="J14" s="9">
        <f>J13/F13-1</f>
        <v>0.21903459227029232</v>
      </c>
      <c r="K14" s="9">
        <f>K13/J13-1</f>
        <v>-0.40333389220630123</v>
      </c>
      <c r="L14" s="9">
        <f>L13/K13-1</f>
        <v>-0.41408274738077699</v>
      </c>
      <c r="M14" s="75">
        <f>M13/L13-1</f>
        <v>-0.13427307639808272</v>
      </c>
      <c r="N14" s="238">
        <v>0</v>
      </c>
      <c r="P14" s="44" t="s">
        <v>26</v>
      </c>
      <c r="Q14" s="156">
        <f t="shared" ref="Q14:V14" si="10">Q52-Q37-Q10</f>
        <v>3842.5249999999996</v>
      </c>
      <c r="R14" s="156">
        <f t="shared" si="10"/>
        <v>3866.9399999999996</v>
      </c>
      <c r="S14" s="10">
        <f t="shared" si="10"/>
        <v>4398.5370000000012</v>
      </c>
      <c r="T14" s="10">
        <f t="shared" si="10"/>
        <v>4942.9130000000005</v>
      </c>
      <c r="U14" s="10">
        <f t="shared" si="10"/>
        <v>5866.081000000001</v>
      </c>
      <c r="V14" s="10">
        <f t="shared" si="10"/>
        <v>6793.2899999999981</v>
      </c>
      <c r="W14" s="10">
        <f>W52-W37-W10</f>
        <v>6883.183</v>
      </c>
      <c r="X14" s="177">
        <f>X52-X37-X10</f>
        <v>7167.9150000000018</v>
      </c>
    </row>
    <row r="15" spans="1:24" hidden="1" x14ac:dyDescent="0.3">
      <c r="A15" s="50" t="s">
        <v>106</v>
      </c>
      <c r="B15" s="8"/>
      <c r="C15" s="9"/>
      <c r="D15" s="9"/>
      <c r="E15" s="9">
        <f>((E13/C13)^(1/2))-1</f>
        <v>0.42223160630331491</v>
      </c>
      <c r="F15" s="9">
        <f>((F13/C13)^(1/3))-1</f>
        <v>0.30791009133931135</v>
      </c>
      <c r="G15" s="10"/>
      <c r="H15" s="10"/>
      <c r="I15" s="76"/>
      <c r="J15" s="9">
        <f>((J13/D13)^(1/3))-1</f>
        <v>0.33795587800200155</v>
      </c>
      <c r="K15" s="9">
        <f>((K13/E13)^(1/3))-1</f>
        <v>-6.9934632125679297E-2</v>
      </c>
      <c r="L15" s="9">
        <f>((L13/F13)^(1/3))-1</f>
        <v>-0.24746293525923613</v>
      </c>
      <c r="M15" s="75">
        <f>((M13/G13)^(1/3))-1</f>
        <v>0.36838127589330782</v>
      </c>
      <c r="N15" s="240"/>
      <c r="P15" s="43"/>
      <c r="Q15" s="7"/>
      <c r="R15" s="7"/>
      <c r="S15" s="7"/>
      <c r="T15" s="7"/>
      <c r="U15" s="7"/>
      <c r="V15" s="7"/>
      <c r="W15" s="7"/>
      <c r="X15" s="176"/>
    </row>
    <row r="16" spans="1:24" x14ac:dyDescent="0.3">
      <c r="A16" s="44" t="s">
        <v>4</v>
      </c>
      <c r="B16" s="12"/>
      <c r="C16" s="16">
        <f t="shared" ref="C16:J16" si="11">(C13/C4)</f>
        <v>0.12421103360168891</v>
      </c>
      <c r="D16" s="16">
        <f t="shared" si="11"/>
        <v>0.12794834962376972</v>
      </c>
      <c r="E16" s="16">
        <f t="shared" si="11"/>
        <v>0.15239257879140947</v>
      </c>
      <c r="F16" s="16">
        <f t="shared" si="11"/>
        <v>0.16740547536533026</v>
      </c>
      <c r="G16" s="37">
        <f t="shared" si="11"/>
        <v>0.16173336135210586</v>
      </c>
      <c r="H16" s="37">
        <f t="shared" si="11"/>
        <v>0.26688555908408979</v>
      </c>
      <c r="I16" s="37">
        <f t="shared" si="11"/>
        <v>0.27993339277285362</v>
      </c>
      <c r="J16" s="16">
        <f t="shared" si="11"/>
        <v>0.21877274856243192</v>
      </c>
      <c r="K16" s="16">
        <f t="shared" ref="K16" si="12">(K13/K4)</f>
        <v>0.10650122313525257</v>
      </c>
      <c r="L16" s="16">
        <f>(L13/L4)</f>
        <v>6.3850134841237277E-2</v>
      </c>
      <c r="M16" s="198">
        <f>(M13/M4)</f>
        <v>5.6114031018503138E-2</v>
      </c>
      <c r="N16" s="241">
        <f>(N13/N4)</f>
        <v>0.10243596767121708</v>
      </c>
      <c r="P16" s="43" t="s">
        <v>99</v>
      </c>
      <c r="Q16" s="6">
        <v>1540.328</v>
      </c>
      <c r="R16" s="6">
        <v>1583.1130000000001</v>
      </c>
      <c r="S16" s="7">
        <v>1940.57</v>
      </c>
      <c r="T16" s="7">
        <v>1814.433</v>
      </c>
      <c r="U16" s="7">
        <v>1845.86</v>
      </c>
      <c r="V16" s="7">
        <f>20786.38/10</f>
        <v>2078.6379999999999</v>
      </c>
      <c r="W16" s="13">
        <v>2091.2109999999998</v>
      </c>
      <c r="X16" s="191">
        <v>2070.2539999999999</v>
      </c>
    </row>
    <row r="17" spans="1:26" x14ac:dyDescent="0.3">
      <c r="A17" s="43" t="s">
        <v>71</v>
      </c>
      <c r="B17" s="6"/>
      <c r="C17" s="7">
        <v>143.02500000000001</v>
      </c>
      <c r="D17" s="13">
        <v>148.232</v>
      </c>
      <c r="E17" s="13">
        <v>177.971</v>
      </c>
      <c r="F17" s="13">
        <v>190.18600000000001</v>
      </c>
      <c r="G17" s="13">
        <v>46.204000000000001</v>
      </c>
      <c r="H17" s="13">
        <v>46.209000000000003</v>
      </c>
      <c r="I17" s="77">
        <v>42.32</v>
      </c>
      <c r="J17" s="13">
        <v>174.59</v>
      </c>
      <c r="K17" s="13">
        <f>1701.22/10</f>
        <v>170.12200000000001</v>
      </c>
      <c r="L17" s="13">
        <v>194.28</v>
      </c>
      <c r="M17" s="77">
        <v>197.95</v>
      </c>
      <c r="N17" s="175">
        <v>48.857999999999997</v>
      </c>
      <c r="P17" s="43" t="s">
        <v>69</v>
      </c>
      <c r="Q17" s="6">
        <v>150.54599999999999</v>
      </c>
      <c r="R17" s="6">
        <v>399.28300000000002</v>
      </c>
      <c r="S17" s="7">
        <v>8.0310000000000006</v>
      </c>
      <c r="T17" s="7">
        <v>17.446000000000002</v>
      </c>
      <c r="U17" s="7">
        <v>126.89100000000001</v>
      </c>
      <c r="V17" s="7">
        <f>2505.08/10</f>
        <v>250.50799999999998</v>
      </c>
      <c r="W17" s="13">
        <v>524.09100000000001</v>
      </c>
      <c r="X17" s="175">
        <v>1732.317</v>
      </c>
    </row>
    <row r="18" spans="1:26" x14ac:dyDescent="0.3">
      <c r="A18" s="43" t="s">
        <v>72</v>
      </c>
      <c r="B18" s="6"/>
      <c r="C18" s="7">
        <v>53.417000000000002</v>
      </c>
      <c r="D18" s="13">
        <v>73.164000000000001</v>
      </c>
      <c r="E18" s="13">
        <v>129.858</v>
      </c>
      <c r="F18" s="13">
        <v>119.246</v>
      </c>
      <c r="G18" s="13">
        <v>7.5140000000000002</v>
      </c>
      <c r="H18" s="13">
        <v>2.8090000000000002</v>
      </c>
      <c r="I18" s="77">
        <v>2.181</v>
      </c>
      <c r="J18" s="13">
        <v>23.11</v>
      </c>
      <c r="K18" s="13">
        <f>404.5/10</f>
        <v>40.450000000000003</v>
      </c>
      <c r="L18" s="13">
        <v>130.31</v>
      </c>
      <c r="M18" s="77">
        <v>203.68</v>
      </c>
      <c r="N18" s="175">
        <v>40.552</v>
      </c>
      <c r="P18" s="43" t="s">
        <v>85</v>
      </c>
      <c r="Q18" s="6">
        <v>123.524</v>
      </c>
      <c r="R18" s="6">
        <v>90.293999999999997</v>
      </c>
      <c r="S18" s="7">
        <v>57.725000000000001</v>
      </c>
      <c r="T18" s="7">
        <v>24.015000000000001</v>
      </c>
      <c r="U18" s="7">
        <v>2.3570000000000002</v>
      </c>
      <c r="V18" s="7">
        <f>242.72/10</f>
        <v>24.271999999999998</v>
      </c>
      <c r="W18" s="13">
        <f>45.48+2.36</f>
        <v>47.839999999999996</v>
      </c>
      <c r="X18" s="175">
        <v>49.500999999999998</v>
      </c>
    </row>
    <row r="19" spans="1:26" x14ac:dyDescent="0.3">
      <c r="A19" s="43" t="s">
        <v>74</v>
      </c>
      <c r="B19" s="6"/>
      <c r="C19" s="7"/>
      <c r="D19" s="13">
        <v>0</v>
      </c>
      <c r="E19" s="13">
        <v>-23.222999999999999</v>
      </c>
      <c r="F19" s="13">
        <v>0</v>
      </c>
      <c r="G19" s="13">
        <v>0</v>
      </c>
      <c r="H19" s="13"/>
      <c r="I19" s="77"/>
      <c r="J19" s="13">
        <v>0</v>
      </c>
      <c r="K19" s="13">
        <v>0</v>
      </c>
      <c r="L19" s="13">
        <v>0</v>
      </c>
      <c r="M19" s="77">
        <v>0</v>
      </c>
      <c r="N19" s="242">
        <v>0</v>
      </c>
      <c r="P19" s="43" t="s">
        <v>101</v>
      </c>
      <c r="Q19" s="6"/>
      <c r="R19" s="6"/>
      <c r="S19" s="7"/>
      <c r="T19" s="7">
        <v>73.625</v>
      </c>
      <c r="U19" s="7">
        <v>66.783000000000001</v>
      </c>
      <c r="V19" s="7">
        <f>1017.92/10</f>
        <v>101.792</v>
      </c>
      <c r="W19" s="13">
        <v>140.642</v>
      </c>
      <c r="X19" s="175">
        <v>133.18600000000001</v>
      </c>
      <c r="Z19" s="167"/>
    </row>
    <row r="20" spans="1:26" x14ac:dyDescent="0.3">
      <c r="A20" s="43" t="s">
        <v>5</v>
      </c>
      <c r="B20" s="6"/>
      <c r="C20" s="7">
        <v>69.771000000000001</v>
      </c>
      <c r="D20" s="13">
        <v>3.5870000000000002</v>
      </c>
      <c r="E20" s="13">
        <v>12.792999999999999</v>
      </c>
      <c r="F20" s="13">
        <v>66.311000000000007</v>
      </c>
      <c r="G20" s="13">
        <v>4.4630000000000001</v>
      </c>
      <c r="H20" s="13">
        <v>4.7610000000000001</v>
      </c>
      <c r="I20" s="77">
        <v>6.7370000000000001</v>
      </c>
      <c r="J20" s="13">
        <v>16.54</v>
      </c>
      <c r="K20" s="13">
        <f>440.85/10</f>
        <v>44.085000000000001</v>
      </c>
      <c r="L20" s="13">
        <v>57.280999999999999</v>
      </c>
      <c r="M20" s="77">
        <v>72.81</v>
      </c>
      <c r="N20" s="175">
        <v>16.933</v>
      </c>
      <c r="P20" s="43" t="s">
        <v>86</v>
      </c>
      <c r="Q20" s="6">
        <v>449.77199999999999</v>
      </c>
      <c r="R20" s="6">
        <v>449.77199999999999</v>
      </c>
      <c r="S20" s="7">
        <v>449.77199999999999</v>
      </c>
      <c r="T20" s="7">
        <v>449.77199999999999</v>
      </c>
      <c r="U20" s="7">
        <v>449.77199999999999</v>
      </c>
      <c r="V20" s="7">
        <v>449.77199999999999</v>
      </c>
      <c r="W20" s="13">
        <v>449.77199999999999</v>
      </c>
      <c r="X20" s="175">
        <v>449.77199999999999</v>
      </c>
    </row>
    <row r="21" spans="1:26" x14ac:dyDescent="0.3">
      <c r="A21" s="44" t="s">
        <v>6</v>
      </c>
      <c r="B21" s="12"/>
      <c r="C21" s="10">
        <f>(C13-C17-C18+C19+C20)</f>
        <v>441.90599999999978</v>
      </c>
      <c r="D21" s="10">
        <f>(D13-D17-D18+D19+D20)</f>
        <v>429.65200000000027</v>
      </c>
      <c r="E21" s="10">
        <f>(E13-E17-E18+E19+E20)</f>
        <v>831.82600000000014</v>
      </c>
      <c r="F21" s="10">
        <f>(F13-F17-F18+F19+F20)</f>
        <v>1028.9839999999997</v>
      </c>
      <c r="G21" s="10">
        <f>(G13-G17-G18+G19+G20)</f>
        <v>133.91999999999993</v>
      </c>
      <c r="H21" s="38">
        <f t="shared" ref="H21:L21" si="13">H13-H17-H18+H19+H20</f>
        <v>446.37100000000015</v>
      </c>
      <c r="I21" s="38">
        <f t="shared" si="13"/>
        <v>495.98500000000007</v>
      </c>
      <c r="J21" s="10">
        <f t="shared" si="13"/>
        <v>1369.58</v>
      </c>
      <c r="K21" s="10">
        <f t="shared" si="13"/>
        <v>758.78700000000026</v>
      </c>
      <c r="L21" s="10">
        <f t="shared" si="13"/>
        <v>274.82499999999914</v>
      </c>
      <c r="M21" s="76">
        <f t="shared" ref="M21:N21" si="14">M13-M17-M18+M19+M20</f>
        <v>140.52000000000106</v>
      </c>
      <c r="N21" s="243">
        <f>N13-N17-N18+N19+N20</f>
        <v>148.53699999999989</v>
      </c>
      <c r="O21" s="30"/>
      <c r="P21" s="43" t="s">
        <v>87</v>
      </c>
      <c r="Q21" s="6">
        <v>0</v>
      </c>
      <c r="R21" s="6">
        <v>8.2000000000000003E-2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176">
        <v>0</v>
      </c>
    </row>
    <row r="22" spans="1:26" x14ac:dyDescent="0.3">
      <c r="A22" s="43" t="s">
        <v>7</v>
      </c>
      <c r="B22" s="6"/>
      <c r="C22" s="7">
        <v>163.047</v>
      </c>
      <c r="D22" s="13">
        <f>154.824+25.011</f>
        <v>179.83500000000001</v>
      </c>
      <c r="E22" s="13">
        <f>232.76+96.811-69.309</f>
        <v>260.26200000000006</v>
      </c>
      <c r="F22" s="13">
        <v>167.095</v>
      </c>
      <c r="G22" s="13">
        <v>34.639000000000003</v>
      </c>
      <c r="H22" s="13">
        <v>113.90600000000001</v>
      </c>
      <c r="I22" s="77">
        <v>132.51400000000001</v>
      </c>
      <c r="J22" s="13">
        <v>350.21</v>
      </c>
      <c r="K22" s="13">
        <f>2257.64/10</f>
        <v>225.76399999999998</v>
      </c>
      <c r="L22" s="13">
        <v>77.396000000000001</v>
      </c>
      <c r="M22" s="77">
        <v>49.51</v>
      </c>
      <c r="N22" s="175">
        <f>37.368+1.367</f>
        <v>38.734999999999999</v>
      </c>
      <c r="P22" s="43" t="s">
        <v>70</v>
      </c>
      <c r="Q22" s="6"/>
      <c r="R22" s="6"/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176">
        <v>0</v>
      </c>
    </row>
    <row r="23" spans="1:26" x14ac:dyDescent="0.3">
      <c r="A23" s="50" t="s">
        <v>8</v>
      </c>
      <c r="B23" s="8"/>
      <c r="C23" s="9">
        <f t="shared" ref="C23:J23" si="15">(C22/C21)</f>
        <v>0.36896308264653588</v>
      </c>
      <c r="D23" s="9">
        <f t="shared" si="15"/>
        <v>0.41855967154813639</v>
      </c>
      <c r="E23" s="9">
        <f t="shared" si="15"/>
        <v>0.31288033795529357</v>
      </c>
      <c r="F23" s="9">
        <f t="shared" si="15"/>
        <v>0.16238833645615486</v>
      </c>
      <c r="G23" s="9">
        <f t="shared" si="15"/>
        <v>0.25865442054958199</v>
      </c>
      <c r="H23" s="9">
        <f t="shared" si="15"/>
        <v>0.25518234831563869</v>
      </c>
      <c r="I23" s="9">
        <f t="shared" si="15"/>
        <v>0.26717340242144416</v>
      </c>
      <c r="J23" s="9">
        <f t="shared" si="15"/>
        <v>0.2557061288862279</v>
      </c>
      <c r="K23" s="9">
        <f t="shared" ref="K23" si="16">(K22/K21)</f>
        <v>0.29753277270169348</v>
      </c>
      <c r="L23" s="9">
        <f>(L22/L21)</f>
        <v>0.28161921222596287</v>
      </c>
      <c r="M23" s="75">
        <f>(M22/M21)</f>
        <v>0.35233418730429567</v>
      </c>
      <c r="N23" s="240">
        <f>(N22/N21)</f>
        <v>0.26077677615678269</v>
      </c>
      <c r="P23" s="43" t="s">
        <v>88</v>
      </c>
      <c r="Q23" s="6"/>
      <c r="R23" s="6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176">
        <v>0</v>
      </c>
    </row>
    <row r="24" spans="1:26" x14ac:dyDescent="0.3">
      <c r="A24" s="44" t="s">
        <v>9</v>
      </c>
      <c r="B24" s="12"/>
      <c r="C24" s="10">
        <f t="shared" ref="C24:J24" si="17">(C21-C22)</f>
        <v>278.85899999999981</v>
      </c>
      <c r="D24" s="10">
        <f t="shared" si="17"/>
        <v>249.81700000000026</v>
      </c>
      <c r="E24" s="10">
        <f t="shared" si="17"/>
        <v>571.56400000000008</v>
      </c>
      <c r="F24" s="10">
        <f t="shared" si="17"/>
        <v>861.88899999999967</v>
      </c>
      <c r="G24" s="10">
        <f t="shared" si="17"/>
        <v>99.280999999999921</v>
      </c>
      <c r="H24" s="10">
        <f t="shared" si="17"/>
        <v>332.46500000000015</v>
      </c>
      <c r="I24" s="10">
        <f t="shared" si="17"/>
        <v>363.47100000000006</v>
      </c>
      <c r="J24" s="10">
        <f t="shared" si="17"/>
        <v>1019.3699999999999</v>
      </c>
      <c r="K24" s="10">
        <f t="shared" ref="K24:L24" si="18">(K21-K22)</f>
        <v>533.02300000000025</v>
      </c>
      <c r="L24" s="10">
        <f t="shared" si="18"/>
        <v>197.42899999999912</v>
      </c>
      <c r="M24" s="76">
        <f t="shared" ref="M24:N24" si="19">(M21-M22)</f>
        <v>91.010000000001071</v>
      </c>
      <c r="N24" s="177">
        <f t="shared" si="19"/>
        <v>109.80199999999989</v>
      </c>
      <c r="P24" s="43" t="s">
        <v>91</v>
      </c>
      <c r="Q24" s="6"/>
      <c r="R24" s="6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176">
        <v>0</v>
      </c>
    </row>
    <row r="25" spans="1:26" x14ac:dyDescent="0.3">
      <c r="A25" s="44" t="s">
        <v>56</v>
      </c>
      <c r="B25" s="12"/>
      <c r="C25" s="17">
        <f t="shared" ref="C25:J25" si="20">C24/C4</f>
        <v>6.0919391074794368E-2</v>
      </c>
      <c r="D25" s="17">
        <f t="shared" si="20"/>
        <v>4.9367719226272005E-2</v>
      </c>
      <c r="E25" s="17">
        <f t="shared" si="20"/>
        <v>7.573536904170837E-2</v>
      </c>
      <c r="F25" s="17">
        <f t="shared" si="20"/>
        <v>0.11342219215956947</v>
      </c>
      <c r="G25" s="17">
        <f t="shared" si="20"/>
        <v>8.7659614294518434E-2</v>
      </c>
      <c r="H25" s="17">
        <f t="shared" si="20"/>
        <v>0.18085006848547561</v>
      </c>
      <c r="I25" s="17">
        <f t="shared" si="20"/>
        <v>0.19062831069386901</v>
      </c>
      <c r="J25" s="17">
        <f t="shared" si="20"/>
        <v>0.14380900518596684</v>
      </c>
      <c r="K25" s="17">
        <f t="shared" ref="K25" si="21">K24/K4</f>
        <v>6.1352206437467964E-2</v>
      </c>
      <c r="L25" s="17">
        <f>L24/L4</f>
        <v>2.3252310815353026E-2</v>
      </c>
      <c r="M25" s="199">
        <f>M24/M4</f>
        <v>1.0881105303178974E-2</v>
      </c>
      <c r="N25" s="244">
        <f>N24/N4</f>
        <v>5.08912291630167E-2</v>
      </c>
      <c r="P25" s="43" t="s">
        <v>73</v>
      </c>
      <c r="Q25" s="6">
        <v>30.628</v>
      </c>
      <c r="R25" s="6">
        <v>36.847000000000001</v>
      </c>
      <c r="S25" s="7">
        <v>36.826000000000001</v>
      </c>
      <c r="T25" s="7">
        <v>37.338999999999999</v>
      </c>
      <c r="U25" s="7">
        <v>39.896000000000001</v>
      </c>
      <c r="V25" s="7">
        <f>410.37/10</f>
        <v>41.036999999999999</v>
      </c>
      <c r="W25" s="13">
        <v>68.191000000000003</v>
      </c>
      <c r="X25" s="175">
        <v>72.837000000000003</v>
      </c>
    </row>
    <row r="26" spans="1:26" x14ac:dyDescent="0.3">
      <c r="A26" s="43" t="s">
        <v>10</v>
      </c>
      <c r="B26" s="6"/>
      <c r="C26" s="18">
        <v>0</v>
      </c>
      <c r="D26" s="18">
        <v>0</v>
      </c>
      <c r="E26" s="18">
        <v>0</v>
      </c>
      <c r="F26" s="18">
        <v>0</v>
      </c>
      <c r="G26" s="18"/>
      <c r="H26" s="18"/>
      <c r="I26" s="78"/>
      <c r="J26" s="18">
        <v>0</v>
      </c>
      <c r="K26" s="18">
        <v>0</v>
      </c>
      <c r="L26" s="179">
        <v>0</v>
      </c>
      <c r="M26" s="200">
        <v>0</v>
      </c>
      <c r="N26" s="180">
        <v>0</v>
      </c>
      <c r="P26" s="43" t="s">
        <v>96</v>
      </c>
      <c r="Q26" s="6">
        <v>36.548999999999999</v>
      </c>
      <c r="R26" s="6">
        <v>0</v>
      </c>
      <c r="S26" s="7">
        <v>30.474</v>
      </c>
      <c r="T26" s="7">
        <v>31.873999999999999</v>
      </c>
      <c r="U26" s="7">
        <v>74.352999999999994</v>
      </c>
      <c r="V26" s="7">
        <f>768.78/10</f>
        <v>76.878</v>
      </c>
      <c r="W26" s="13">
        <v>102.544</v>
      </c>
      <c r="X26" s="175">
        <v>88.962000000000003</v>
      </c>
    </row>
    <row r="27" spans="1:26" x14ac:dyDescent="0.3">
      <c r="A27" s="43" t="s">
        <v>76</v>
      </c>
      <c r="B27" s="6"/>
      <c r="C27" s="18">
        <v>0</v>
      </c>
      <c r="D27" s="18">
        <v>0</v>
      </c>
      <c r="E27" s="18">
        <v>0</v>
      </c>
      <c r="F27" s="18">
        <v>0</v>
      </c>
      <c r="G27" s="18"/>
      <c r="H27" s="18"/>
      <c r="I27" s="78"/>
      <c r="J27" s="18">
        <v>0</v>
      </c>
      <c r="K27" s="18">
        <v>0</v>
      </c>
      <c r="L27" s="179">
        <v>0</v>
      </c>
      <c r="M27" s="200">
        <v>0</v>
      </c>
      <c r="N27" s="180">
        <v>0</v>
      </c>
      <c r="P27" s="43" t="s">
        <v>75</v>
      </c>
      <c r="Q27" s="6">
        <v>26.266999999999999</v>
      </c>
      <c r="R27" s="6">
        <v>1.054</v>
      </c>
      <c r="S27" s="7">
        <v>3.5859999999999999</v>
      </c>
      <c r="T27" s="7">
        <v>6.351</v>
      </c>
      <c r="U27" s="7">
        <v>68.409000000000006</v>
      </c>
      <c r="V27" s="7">
        <f>746.52/10</f>
        <v>74.652000000000001</v>
      </c>
      <c r="W27" s="13">
        <v>44.027000000000001</v>
      </c>
      <c r="X27" s="175">
        <v>67.123000000000005</v>
      </c>
    </row>
    <row r="28" spans="1:26" x14ac:dyDescent="0.3">
      <c r="A28" s="43" t="s">
        <v>47</v>
      </c>
      <c r="B28" s="6"/>
      <c r="C28" s="18">
        <v>-8.6549999999999994</v>
      </c>
      <c r="D28" s="18">
        <v>5.2610000000000001</v>
      </c>
      <c r="E28" s="18">
        <f>2.496-7.144</f>
        <v>-4.6479999999999997</v>
      </c>
      <c r="F28" s="18">
        <v>-7.4139999999999997</v>
      </c>
      <c r="G28" s="18">
        <f>-2.477+0.623</f>
        <v>-1.8539999999999999</v>
      </c>
      <c r="H28" s="18">
        <f>-2.477+0.623</f>
        <v>-1.8539999999999999</v>
      </c>
      <c r="I28" s="78">
        <v>-4.9539999999999997</v>
      </c>
      <c r="J28" s="18">
        <v>-3.56</v>
      </c>
      <c r="K28" s="18">
        <f>-32.67/10</f>
        <v>-3.2670000000000003</v>
      </c>
      <c r="L28" s="179">
        <v>-0.61099999999999999</v>
      </c>
      <c r="M28" s="200">
        <v>-0.58399999999999996</v>
      </c>
      <c r="N28" s="180">
        <f>-0.38+0.097</f>
        <v>-0.28300000000000003</v>
      </c>
      <c r="P28" s="43" t="s">
        <v>92</v>
      </c>
      <c r="Q28" s="6"/>
      <c r="R28" s="6">
        <v>0.17499999999999999</v>
      </c>
      <c r="S28" s="7">
        <v>0.8</v>
      </c>
      <c r="T28" s="7">
        <v>0.8</v>
      </c>
      <c r="U28" s="7">
        <v>0.8</v>
      </c>
      <c r="V28" s="7">
        <v>0</v>
      </c>
      <c r="W28" s="7">
        <v>0</v>
      </c>
      <c r="X28" s="178">
        <v>0</v>
      </c>
    </row>
    <row r="29" spans="1:26" x14ac:dyDescent="0.3">
      <c r="A29" s="44" t="s">
        <v>77</v>
      </c>
      <c r="B29" s="12"/>
      <c r="C29" s="19">
        <f t="shared" ref="C29:J29" si="22">(C24-C26+C28+C27)</f>
        <v>270.20399999999984</v>
      </c>
      <c r="D29" s="19">
        <f t="shared" si="22"/>
        <v>255.07800000000026</v>
      </c>
      <c r="E29" s="19">
        <f t="shared" si="22"/>
        <v>566.91600000000005</v>
      </c>
      <c r="F29" s="19">
        <f t="shared" si="22"/>
        <v>854.47499999999968</v>
      </c>
      <c r="G29" s="19">
        <f t="shared" si="22"/>
        <v>97.426999999999921</v>
      </c>
      <c r="H29" s="19">
        <f t="shared" si="22"/>
        <v>330.61100000000016</v>
      </c>
      <c r="I29" s="19">
        <f t="shared" si="22"/>
        <v>358.51700000000005</v>
      </c>
      <c r="J29" s="19">
        <f t="shared" si="22"/>
        <v>1015.81</v>
      </c>
      <c r="K29" s="19">
        <f t="shared" ref="K29:N29" si="23">(K24-K26+K28+K27)</f>
        <v>529.7560000000002</v>
      </c>
      <c r="L29" s="19">
        <f t="shared" si="23"/>
        <v>196.81799999999913</v>
      </c>
      <c r="M29" s="201">
        <f t="shared" si="23"/>
        <v>90.426000000001068</v>
      </c>
      <c r="N29" s="245">
        <f t="shared" si="23"/>
        <v>109.51899999999989</v>
      </c>
      <c r="P29" s="44" t="s">
        <v>27</v>
      </c>
      <c r="Q29" s="12">
        <f t="shared" ref="Q29:U29" si="24">SUM(Q30:Q36)</f>
        <v>2543.1179999999999</v>
      </c>
      <c r="R29" s="12">
        <f t="shared" si="24"/>
        <v>3168.3609999999994</v>
      </c>
      <c r="S29" s="10">
        <f t="shared" si="24"/>
        <v>4204.3810000000003</v>
      </c>
      <c r="T29" s="10">
        <f t="shared" si="24"/>
        <v>3627.366</v>
      </c>
      <c r="U29" s="10">
        <f t="shared" si="24"/>
        <v>4774.84</v>
      </c>
      <c r="V29" s="10">
        <f t="shared" ref="V29" si="25">SUM(V30:V36)</f>
        <v>5551.2309999999989</v>
      </c>
      <c r="W29" s="10">
        <f>SUM(W30:W36)</f>
        <v>6396.3039999999992</v>
      </c>
      <c r="X29" s="177">
        <f>SUM(X30:X36)</f>
        <v>5285.5919999999996</v>
      </c>
    </row>
    <row r="30" spans="1:26" x14ac:dyDescent="0.3">
      <c r="A30" s="50" t="s">
        <v>1</v>
      </c>
      <c r="B30" s="8"/>
      <c r="C30" s="9"/>
      <c r="D30" s="9">
        <f t="shared" ref="D30:I30" si="26">(D29/C29-1)</f>
        <v>-5.597992627792181E-2</v>
      </c>
      <c r="E30" s="9">
        <f t="shared" si="26"/>
        <v>1.222520170300847</v>
      </c>
      <c r="F30" s="9">
        <f t="shared" si="26"/>
        <v>0.50723387591812474</v>
      </c>
      <c r="G30" s="9">
        <f t="shared" si="26"/>
        <v>-0.88598028028906639</v>
      </c>
      <c r="H30" s="9">
        <f t="shared" si="26"/>
        <v>2.3934227678159075</v>
      </c>
      <c r="I30" s="9">
        <f t="shared" si="26"/>
        <v>8.4407354867199968E-2</v>
      </c>
      <c r="J30" s="9">
        <f>(J29/F29-1)</f>
        <v>0.18881184352965308</v>
      </c>
      <c r="K30" s="9">
        <f>K29/J29-1</f>
        <v>-0.47848908752621033</v>
      </c>
      <c r="L30" s="9">
        <f>L29/K29-1</f>
        <v>-0.62847424097131688</v>
      </c>
      <c r="M30" s="75">
        <f>M29/L29-1</f>
        <v>-0.54056031460536402</v>
      </c>
      <c r="N30" s="238">
        <v>0</v>
      </c>
      <c r="P30" s="43" t="s">
        <v>28</v>
      </c>
      <c r="Q30" s="6">
        <v>1144.473</v>
      </c>
      <c r="R30" s="6">
        <v>1328.3209999999999</v>
      </c>
      <c r="S30" s="7">
        <v>2029.0070000000001</v>
      </c>
      <c r="T30" s="7">
        <v>1623.442</v>
      </c>
      <c r="U30" s="7">
        <v>2275.87</v>
      </c>
      <c r="V30" s="7">
        <f>28693.23/10</f>
        <v>2869.3229999999999</v>
      </c>
      <c r="W30" s="13">
        <v>3677.337</v>
      </c>
      <c r="X30" s="175">
        <v>2771.694</v>
      </c>
    </row>
    <row r="31" spans="1:26" x14ac:dyDescent="0.3">
      <c r="A31" s="50" t="s">
        <v>105</v>
      </c>
      <c r="B31" s="8"/>
      <c r="C31" s="9"/>
      <c r="D31" s="9"/>
      <c r="E31" s="9">
        <f>+((E29/C29)^(1/2)-1)</f>
        <v>0.44848322565924503</v>
      </c>
      <c r="F31" s="9">
        <f>+((F29/C29)^(1/3)-1)</f>
        <v>0.46780781488170575</v>
      </c>
      <c r="G31" s="9"/>
      <c r="H31" s="9"/>
      <c r="I31" s="75"/>
      <c r="J31" s="9">
        <f>+((J29/D29)^(1/3)-1)</f>
        <v>0.58506287293985904</v>
      </c>
      <c r="K31" s="9">
        <f>+((K29/E29)^(1/3)-1)</f>
        <v>-2.2344780245433404E-2</v>
      </c>
      <c r="L31" s="9">
        <f>+((L29/F29)^(1/3)-1)</f>
        <v>-0.38700751375327913</v>
      </c>
      <c r="M31" s="75">
        <f>+((M29/J29)^(1/3)-1)</f>
        <v>-0.55349436366304461</v>
      </c>
      <c r="N31" s="238">
        <v>0</v>
      </c>
      <c r="P31" s="43" t="s">
        <v>70</v>
      </c>
      <c r="Q31" s="6"/>
      <c r="R31" s="6"/>
      <c r="S31" s="7"/>
      <c r="T31" s="7"/>
      <c r="U31" s="7"/>
      <c r="V31" s="7"/>
      <c r="W31" s="13"/>
      <c r="X31" s="175"/>
    </row>
    <row r="32" spans="1:26" x14ac:dyDescent="0.3">
      <c r="A32" s="45" t="s">
        <v>11</v>
      </c>
      <c r="B32" s="3"/>
      <c r="C32" s="20">
        <v>33.14</v>
      </c>
      <c r="D32" s="20">
        <v>7.42</v>
      </c>
      <c r="E32" s="20">
        <v>16.98</v>
      </c>
      <c r="F32" s="20">
        <v>25.61</v>
      </c>
      <c r="G32" s="20">
        <v>2.95</v>
      </c>
      <c r="H32" s="20">
        <v>9.8800000000000008</v>
      </c>
      <c r="I32" s="79">
        <v>10.8</v>
      </c>
      <c r="J32" s="20">
        <v>30.29</v>
      </c>
      <c r="K32" s="20">
        <v>15.84</v>
      </c>
      <c r="L32" s="20">
        <v>5.87</v>
      </c>
      <c r="M32" s="79">
        <v>2.71</v>
      </c>
      <c r="N32" s="246">
        <v>3.26</v>
      </c>
      <c r="P32" s="43" t="s">
        <v>89</v>
      </c>
      <c r="Q32" s="6">
        <v>1001.221</v>
      </c>
      <c r="R32" s="6">
        <v>1344.24</v>
      </c>
      <c r="S32" s="7">
        <v>1599.9770000000001</v>
      </c>
      <c r="T32" s="7">
        <v>1514.3679999999999</v>
      </c>
      <c r="U32" s="7">
        <v>1885.4659999999999</v>
      </c>
      <c r="V32" s="7">
        <f>19479.34/10</f>
        <v>1947.934</v>
      </c>
      <c r="W32" s="13">
        <v>1900.375</v>
      </c>
      <c r="X32" s="175">
        <v>1805.3030000000001</v>
      </c>
    </row>
    <row r="33" spans="1:26" x14ac:dyDescent="0.3">
      <c r="A33" s="51" t="s">
        <v>1</v>
      </c>
      <c r="B33" s="21"/>
      <c r="C33" s="22"/>
      <c r="D33" s="22">
        <f>(D32/C32-1)</f>
        <v>-0.77610138805069406</v>
      </c>
      <c r="E33" s="22">
        <f>(E32/D32-1)</f>
        <v>1.2884097035040432</v>
      </c>
      <c r="F33" s="22">
        <f>(F32/E32-1)</f>
        <v>0.50824499411071833</v>
      </c>
      <c r="G33" s="22"/>
      <c r="H33" s="22">
        <f>(H32/G32-1)</f>
        <v>2.3491525423728814</v>
      </c>
      <c r="I33" s="22">
        <f>(I32/H32-1)</f>
        <v>9.3117408906882471E-2</v>
      </c>
      <c r="J33" s="22">
        <f>(J32/F32-1)</f>
        <v>0.18274111675126914</v>
      </c>
      <c r="K33" s="22">
        <f>K32/J32-1</f>
        <v>-0.47705513370749419</v>
      </c>
      <c r="L33" s="22">
        <f>L32/K32-1</f>
        <v>-0.62941919191919193</v>
      </c>
      <c r="M33" s="202">
        <f>M32/L32-1</f>
        <v>-0.53833049403747868</v>
      </c>
      <c r="N33" s="247">
        <v>0</v>
      </c>
      <c r="P33" s="43" t="s">
        <v>93</v>
      </c>
      <c r="Q33" s="6">
        <v>43.621000000000002</v>
      </c>
      <c r="R33" s="6">
        <f>45.697</f>
        <v>45.697000000000003</v>
      </c>
      <c r="S33" s="7">
        <v>50.460999999999999</v>
      </c>
      <c r="T33" s="7">
        <v>172.98599999999999</v>
      </c>
      <c r="U33" s="7">
        <v>153.86799999999999</v>
      </c>
      <c r="V33" s="7">
        <f>661.24/10</f>
        <v>66.123999999999995</v>
      </c>
      <c r="W33" s="13">
        <v>159.94399999999999</v>
      </c>
      <c r="X33" s="175">
        <v>106.315</v>
      </c>
    </row>
    <row r="34" spans="1:26" ht="19.5" thickBot="1" x14ac:dyDescent="0.35">
      <c r="A34" s="52"/>
      <c r="B34" s="53"/>
      <c r="C34" s="54"/>
      <c r="D34" s="55"/>
      <c r="E34" s="56"/>
      <c r="F34" s="56"/>
      <c r="G34" s="57"/>
      <c r="H34" s="57"/>
      <c r="I34" s="80"/>
      <c r="J34" s="56"/>
      <c r="K34" s="56"/>
      <c r="L34" s="56"/>
      <c r="M34" s="203"/>
      <c r="N34" s="248"/>
      <c r="P34" s="43" t="s">
        <v>97</v>
      </c>
      <c r="Q34" s="6">
        <v>12.135999999999999</v>
      </c>
      <c r="R34" s="6">
        <v>12.698</v>
      </c>
      <c r="S34" s="7">
        <v>12.566000000000001</v>
      </c>
      <c r="T34" s="7">
        <v>38.124000000000002</v>
      </c>
      <c r="U34" s="7">
        <v>47.243000000000002</v>
      </c>
      <c r="V34" s="7">
        <f>280.52/10</f>
        <v>28.052</v>
      </c>
      <c r="W34" s="13">
        <v>13.864000000000001</v>
      </c>
      <c r="X34" s="175">
        <v>16.936</v>
      </c>
    </row>
    <row r="35" spans="1:26" ht="19.5" thickBot="1" x14ac:dyDescent="0.35">
      <c r="K35" s="2"/>
      <c r="N35"/>
      <c r="P35" s="43" t="s">
        <v>98</v>
      </c>
      <c r="Q35" s="6">
        <v>5.1429999999999998</v>
      </c>
      <c r="R35" s="6">
        <v>9.1470000000000002</v>
      </c>
      <c r="S35" s="7">
        <v>7.8780000000000001</v>
      </c>
      <c r="T35" s="7">
        <v>8.3960000000000008</v>
      </c>
      <c r="U35" s="7">
        <v>10.407</v>
      </c>
      <c r="V35" s="7">
        <f>125/10</f>
        <v>12.5</v>
      </c>
      <c r="W35" s="13">
        <v>7.3120000000000003</v>
      </c>
      <c r="X35" s="175">
        <v>10.646000000000001</v>
      </c>
    </row>
    <row r="36" spans="1:26" ht="19.5" thickBot="1" x14ac:dyDescent="0.35">
      <c r="A36" s="207" t="s">
        <v>12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24"/>
      <c r="P36" s="43" t="s">
        <v>45</v>
      </c>
      <c r="Q36" s="6">
        <v>336.524</v>
      </c>
      <c r="R36" s="6">
        <v>428.25799999999998</v>
      </c>
      <c r="S36" s="7">
        <v>504.49200000000002</v>
      </c>
      <c r="T36" s="7">
        <v>270.05</v>
      </c>
      <c r="U36" s="7">
        <v>401.98599999999999</v>
      </c>
      <c r="V36" s="7">
        <f>6272.98/10</f>
        <v>627.298</v>
      </c>
      <c r="W36" s="13">
        <v>637.47199999999998</v>
      </c>
      <c r="X36" s="175">
        <v>574.69799999999998</v>
      </c>
    </row>
    <row r="37" spans="1:26" x14ac:dyDescent="0.3">
      <c r="A37" s="42" t="s">
        <v>0</v>
      </c>
      <c r="B37" s="87"/>
      <c r="C37" s="88" t="s">
        <v>21</v>
      </c>
      <c r="D37" s="88" t="s">
        <v>58</v>
      </c>
      <c r="E37" s="88" t="s">
        <v>100</v>
      </c>
      <c r="F37" s="88" t="s">
        <v>102</v>
      </c>
      <c r="G37" s="185"/>
      <c r="H37" s="185"/>
      <c r="I37" s="185"/>
      <c r="J37" s="186" t="s">
        <v>110</v>
      </c>
      <c r="K37" s="186" t="s">
        <v>111</v>
      </c>
      <c r="L37" s="187" t="str">
        <f>L3</f>
        <v>FY23</v>
      </c>
      <c r="M37" s="250" t="s">
        <v>192</v>
      </c>
      <c r="N37" s="249"/>
      <c r="P37" s="44" t="s">
        <v>29</v>
      </c>
      <c r="Q37" s="10">
        <f>SUM(Q39:Q45)</f>
        <v>436.233</v>
      </c>
      <c r="R37" s="10">
        <f t="shared" ref="R37:X37" si="27">SUM(R40:R45)</f>
        <v>849.08</v>
      </c>
      <c r="S37" s="10">
        <f t="shared" si="27"/>
        <v>711.25799999999992</v>
      </c>
      <c r="T37" s="10">
        <f t="shared" si="27"/>
        <v>709.00099999999998</v>
      </c>
      <c r="U37" s="10">
        <f t="shared" si="27"/>
        <v>805.29000000000008</v>
      </c>
      <c r="V37" s="10">
        <f t="shared" si="27"/>
        <v>912.00200000000007</v>
      </c>
      <c r="W37" s="10">
        <f>SUM(W40:W45)</f>
        <v>1009.424</v>
      </c>
      <c r="X37" s="177">
        <f t="shared" si="27"/>
        <v>1259.3129999999999</v>
      </c>
    </row>
    <row r="38" spans="1:26" x14ac:dyDescent="0.3">
      <c r="A38" s="45" t="s">
        <v>13</v>
      </c>
      <c r="B38" s="3"/>
      <c r="C38" s="23"/>
      <c r="D38" s="5">
        <v>43.62</v>
      </c>
      <c r="E38" s="4">
        <f>D43</f>
        <v>45.696999999999967</v>
      </c>
      <c r="F38" s="4">
        <f>E43</f>
        <v>50.46200000000001</v>
      </c>
      <c r="G38" s="4">
        <f t="shared" ref="G38:I38" si="28">F43</f>
        <v>172.98700000000011</v>
      </c>
      <c r="H38" s="4">
        <f t="shared" si="28"/>
        <v>0</v>
      </c>
      <c r="I38" s="4">
        <f t="shared" si="28"/>
        <v>0</v>
      </c>
      <c r="J38" s="4">
        <f>F43</f>
        <v>172.98700000000011</v>
      </c>
      <c r="K38" s="4">
        <f>J43</f>
        <v>153.86700000000013</v>
      </c>
      <c r="L38" s="183">
        <f>K43</f>
        <v>66.123000000000218</v>
      </c>
      <c r="M38" s="237">
        <v>159.94399999999999</v>
      </c>
      <c r="N38" s="249"/>
      <c r="P38" s="43" t="s">
        <v>78</v>
      </c>
      <c r="Q38" s="6"/>
      <c r="R38" s="6"/>
      <c r="S38" s="7"/>
      <c r="T38" s="7"/>
      <c r="U38" s="7"/>
      <c r="V38" s="7"/>
      <c r="W38" s="7"/>
      <c r="X38" s="176"/>
    </row>
    <row r="39" spans="1:26" x14ac:dyDescent="0.3">
      <c r="A39" s="45" t="s">
        <v>14</v>
      </c>
      <c r="B39" s="3"/>
      <c r="C39" s="23"/>
      <c r="D39" s="5">
        <v>160.26400000000001</v>
      </c>
      <c r="E39" s="4">
        <v>-234.22900000000001</v>
      </c>
      <c r="F39" s="4">
        <v>1809.425</v>
      </c>
      <c r="G39" s="7"/>
      <c r="H39" s="4"/>
      <c r="I39" s="4"/>
      <c r="J39" s="4">
        <v>173.41</v>
      </c>
      <c r="K39" s="4">
        <f>-81.36/10</f>
        <v>-8.1359999999999992</v>
      </c>
      <c r="L39" s="183">
        <v>-223.00200000000001</v>
      </c>
      <c r="M39" s="237">
        <v>1418.0329999999999</v>
      </c>
      <c r="N39" s="249"/>
      <c r="P39" s="43" t="s">
        <v>79</v>
      </c>
      <c r="Q39" s="6">
        <v>329.27</v>
      </c>
      <c r="R39" s="6">
        <f t="shared" ref="R39:W39" si="29">R40+R41</f>
        <v>611.92899999999997</v>
      </c>
      <c r="S39" s="7">
        <f t="shared" si="29"/>
        <v>535.08899999999994</v>
      </c>
      <c r="T39" s="7">
        <f t="shared" si="29"/>
        <v>556.34699999999998</v>
      </c>
      <c r="U39" s="7">
        <f t="shared" si="29"/>
        <v>708.73</v>
      </c>
      <c r="V39" s="7">
        <f t="shared" si="29"/>
        <v>811.64100000000008</v>
      </c>
      <c r="W39" s="13">
        <f t="shared" si="29"/>
        <v>869.23300000000006</v>
      </c>
      <c r="X39" s="175">
        <f>X40+X41</f>
        <v>819.46899999999994</v>
      </c>
    </row>
    <row r="40" spans="1:26" x14ac:dyDescent="0.3">
      <c r="A40" s="43" t="s">
        <v>55</v>
      </c>
      <c r="B40" s="6"/>
      <c r="C40" s="24"/>
      <c r="D40" s="7">
        <v>-306.61900000000003</v>
      </c>
      <c r="E40" s="7">
        <v>-124.291</v>
      </c>
      <c r="F40" s="7">
        <v>-96.347999999999999</v>
      </c>
      <c r="G40" s="7"/>
      <c r="H40" s="4"/>
      <c r="I40" s="4"/>
      <c r="J40" s="7">
        <v>-349.46</v>
      </c>
      <c r="K40" s="7">
        <f>-5944.2/10</f>
        <v>-594.41999999999996</v>
      </c>
      <c r="L40" s="77">
        <v>-464.66</v>
      </c>
      <c r="M40" s="175">
        <v>-989.66399999999999</v>
      </c>
      <c r="N40" s="249"/>
      <c r="P40" s="43" t="s">
        <v>94</v>
      </c>
      <c r="Q40" s="6"/>
      <c r="R40" s="6">
        <v>57.591999999999999</v>
      </c>
      <c r="S40" s="7">
        <v>40.857999999999997</v>
      </c>
      <c r="T40" s="7">
        <v>84.628</v>
      </c>
      <c r="U40" s="7">
        <v>42.47</v>
      </c>
      <c r="V40" s="7">
        <f>360.37/10</f>
        <v>36.036999999999999</v>
      </c>
      <c r="W40" s="13">
        <v>93.956000000000003</v>
      </c>
      <c r="X40" s="175">
        <v>103.943</v>
      </c>
    </row>
    <row r="41" spans="1:26" x14ac:dyDescent="0.3">
      <c r="A41" s="43" t="s">
        <v>15</v>
      </c>
      <c r="B41" s="6"/>
      <c r="C41" s="24"/>
      <c r="D41" s="7">
        <v>148.43199999999999</v>
      </c>
      <c r="E41" s="7">
        <v>363.28500000000003</v>
      </c>
      <c r="F41" s="7">
        <v>-1590.5519999999999</v>
      </c>
      <c r="G41" s="7"/>
      <c r="H41" s="7"/>
      <c r="I41" s="7"/>
      <c r="J41" s="7">
        <v>156.93</v>
      </c>
      <c r="K41" s="7">
        <f>5148.12/10</f>
        <v>514.81200000000001</v>
      </c>
      <c r="L41" s="77">
        <v>781.48199999999997</v>
      </c>
      <c r="M41" s="175">
        <v>-481.99799999999999</v>
      </c>
      <c r="N41" s="249"/>
      <c r="P41" s="43" t="s">
        <v>95</v>
      </c>
      <c r="Q41" s="6"/>
      <c r="R41" s="6">
        <v>554.33699999999999</v>
      </c>
      <c r="S41" s="7">
        <v>494.23099999999999</v>
      </c>
      <c r="T41" s="7">
        <v>471.71899999999999</v>
      </c>
      <c r="U41" s="7">
        <v>666.26</v>
      </c>
      <c r="V41" s="7">
        <f>7756.04/10</f>
        <v>775.60400000000004</v>
      </c>
      <c r="W41" s="13">
        <v>775.27700000000004</v>
      </c>
      <c r="X41" s="175">
        <v>715.52599999999995</v>
      </c>
    </row>
    <row r="42" spans="1:26" x14ac:dyDescent="0.3">
      <c r="A42" s="45" t="s">
        <v>16</v>
      </c>
      <c r="B42" s="3"/>
      <c r="C42" s="26"/>
      <c r="D42" s="4">
        <f>+D39+D40+D41</f>
        <v>2.0769999999999698</v>
      </c>
      <c r="E42" s="4">
        <f>+E39+E40+E41</f>
        <v>4.7650000000000432</v>
      </c>
      <c r="F42" s="4">
        <f>+F39+F40+F41</f>
        <v>122.52500000000009</v>
      </c>
      <c r="G42" s="7"/>
      <c r="H42" s="7"/>
      <c r="I42" s="7"/>
      <c r="J42" s="4">
        <f>+J39+J40+J41</f>
        <v>-19.119999999999976</v>
      </c>
      <c r="K42" s="4">
        <f>+K39+K40+K41</f>
        <v>-87.743999999999915</v>
      </c>
      <c r="L42" s="183">
        <f>+L39+L40+L41</f>
        <v>93.819999999999936</v>
      </c>
      <c r="M42" s="237">
        <f>+M39+M40+M41</f>
        <v>-53.629000000000076</v>
      </c>
      <c r="N42" s="249"/>
      <c r="P42" s="43" t="s">
        <v>80</v>
      </c>
      <c r="Q42" s="6">
        <v>44.262</v>
      </c>
      <c r="R42" s="6">
        <v>159.53200000000001</v>
      </c>
      <c r="S42" s="7">
        <v>145.55699999999999</v>
      </c>
      <c r="T42" s="7">
        <v>114.56399999999999</v>
      </c>
      <c r="U42" s="7">
        <v>58.48</v>
      </c>
      <c r="V42" s="7">
        <f>411.64/10</f>
        <v>41.164000000000001</v>
      </c>
      <c r="W42" s="13">
        <f>95.839+5.332</f>
        <v>101.17099999999999</v>
      </c>
      <c r="X42" s="175">
        <f>377.918+6.006</f>
        <v>383.92399999999998</v>
      </c>
    </row>
    <row r="43" spans="1:26" ht="19.5" thickBot="1" x14ac:dyDescent="0.35">
      <c r="A43" s="46" t="s">
        <v>48</v>
      </c>
      <c r="B43" s="58"/>
      <c r="C43" s="59"/>
      <c r="D43" s="47">
        <f>+D38+D42</f>
        <v>45.696999999999967</v>
      </c>
      <c r="E43" s="47">
        <f>+E38+E42</f>
        <v>50.46200000000001</v>
      </c>
      <c r="F43" s="47">
        <f>+F38+F42</f>
        <v>172.98700000000011</v>
      </c>
      <c r="G43" s="184"/>
      <c r="H43" s="63"/>
      <c r="I43" s="63"/>
      <c r="J43" s="47">
        <f>+J38+J42</f>
        <v>153.86700000000013</v>
      </c>
      <c r="K43" s="47">
        <f>+K38+K42</f>
        <v>66.123000000000218</v>
      </c>
      <c r="L43" s="181">
        <f>+L38+L42</f>
        <v>159.94300000000015</v>
      </c>
      <c r="M43" s="182">
        <f>M38+M42</f>
        <v>106.31499999999991</v>
      </c>
      <c r="N43" s="249"/>
      <c r="P43" s="43" t="s">
        <v>54</v>
      </c>
      <c r="Q43" s="6">
        <v>23.39</v>
      </c>
      <c r="R43" s="6">
        <v>21.044</v>
      </c>
      <c r="S43" s="7">
        <v>16.234999999999999</v>
      </c>
      <c r="T43" s="7">
        <v>21.376000000000001</v>
      </c>
      <c r="U43" s="7">
        <v>24.46</v>
      </c>
      <c r="V43" s="7">
        <f>393.71/10</f>
        <v>39.370999999999995</v>
      </c>
      <c r="W43" s="13">
        <v>17.38</v>
      </c>
      <c r="X43" s="175">
        <v>32.685000000000002</v>
      </c>
      <c r="Z43" s="167"/>
    </row>
    <row r="44" spans="1:26" ht="19.5" thickBot="1" x14ac:dyDescent="0.35">
      <c r="C44" s="27"/>
      <c r="D44" s="27"/>
      <c r="E44" s="27"/>
      <c r="F44" s="27"/>
      <c r="H44" s="34"/>
      <c r="I44" s="34"/>
      <c r="J44" s="27"/>
      <c r="N44"/>
      <c r="P44" s="169" t="s">
        <v>81</v>
      </c>
      <c r="Q44" s="168">
        <v>16.742000000000001</v>
      </c>
      <c r="R44" s="168">
        <v>39.098999999999997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75">
        <v>0</v>
      </c>
      <c r="Y44" s="231"/>
    </row>
    <row r="45" spans="1:26" x14ac:dyDescent="0.3">
      <c r="A45" s="195" t="s">
        <v>17</v>
      </c>
      <c r="B45" s="60"/>
      <c r="C45" s="61" t="s">
        <v>21</v>
      </c>
      <c r="D45" s="61" t="s">
        <v>58</v>
      </c>
      <c r="E45" s="61" t="s">
        <v>64</v>
      </c>
      <c r="F45" s="61" t="str">
        <f>F37</f>
        <v>FY20</v>
      </c>
      <c r="G45" s="82"/>
      <c r="H45" s="83"/>
      <c r="I45" s="83"/>
      <c r="J45" s="61" t="s">
        <v>110</v>
      </c>
      <c r="K45" s="61" t="s">
        <v>111</v>
      </c>
      <c r="L45" s="89" t="str">
        <f>L37</f>
        <v>FY23</v>
      </c>
      <c r="M45" s="250" t="s">
        <v>192</v>
      </c>
      <c r="N45" s="249"/>
      <c r="P45" s="43" t="s">
        <v>90</v>
      </c>
      <c r="Q45" s="6">
        <v>22.568999999999999</v>
      </c>
      <c r="R45" s="6">
        <v>17.475999999999999</v>
      </c>
      <c r="S45" s="7">
        <v>14.377000000000001</v>
      </c>
      <c r="T45" s="7">
        <v>16.713999999999999</v>
      </c>
      <c r="U45" s="7">
        <v>13.62</v>
      </c>
      <c r="V45" s="7">
        <f>198.26/10</f>
        <v>19.826000000000001</v>
      </c>
      <c r="W45" s="13">
        <v>21.64</v>
      </c>
      <c r="X45" s="175">
        <v>23.234999999999999</v>
      </c>
    </row>
    <row r="46" spans="1:26" x14ac:dyDescent="0.3">
      <c r="A46" s="45" t="s">
        <v>18</v>
      </c>
      <c r="B46" s="3"/>
      <c r="C46" s="5"/>
      <c r="D46" s="5">
        <f t="shared" ref="D46:K46" si="30">D39</f>
        <v>160.26400000000001</v>
      </c>
      <c r="E46" s="5">
        <f t="shared" si="30"/>
        <v>-234.22900000000001</v>
      </c>
      <c r="F46" s="5">
        <f t="shared" si="30"/>
        <v>1809.425</v>
      </c>
      <c r="G46" s="5">
        <f t="shared" si="30"/>
        <v>0</v>
      </c>
      <c r="H46" s="5">
        <f t="shared" si="30"/>
        <v>0</v>
      </c>
      <c r="I46" s="5">
        <f t="shared" si="30"/>
        <v>0</v>
      </c>
      <c r="J46" s="5">
        <f t="shared" si="30"/>
        <v>173.41</v>
      </c>
      <c r="K46" s="5">
        <f t="shared" si="30"/>
        <v>-8.1359999999999992</v>
      </c>
      <c r="L46" s="5">
        <f>L39</f>
        <v>-223.00200000000001</v>
      </c>
      <c r="M46" s="237">
        <f>M39</f>
        <v>1418.0329999999999</v>
      </c>
      <c r="N46" s="249"/>
      <c r="P46" s="44" t="s">
        <v>30</v>
      </c>
      <c r="Q46" s="10">
        <f t="shared" ref="Q46:U46" si="31">(Q29-Q37-Q10)</f>
        <v>1484.9109999999996</v>
      </c>
      <c r="R46" s="10">
        <f t="shared" si="31"/>
        <v>1306.3199999999995</v>
      </c>
      <c r="S46" s="10">
        <f t="shared" si="31"/>
        <v>1870.7530000000006</v>
      </c>
      <c r="T46" s="10">
        <f t="shared" si="31"/>
        <v>2487.2579999999998</v>
      </c>
      <c r="U46" s="10">
        <f t="shared" si="31"/>
        <v>3190.96</v>
      </c>
      <c r="V46" s="10">
        <f t="shared" ref="V46" si="32">(V29-V37-V10)</f>
        <v>3695.7409999999986</v>
      </c>
      <c r="W46" s="10">
        <f>(W29-W37-W10)</f>
        <v>3414.8649999999989</v>
      </c>
      <c r="X46" s="177">
        <f>(X29-X37-X10)</f>
        <v>2503.9629999999997</v>
      </c>
    </row>
    <row r="47" spans="1:26" x14ac:dyDescent="0.3">
      <c r="A47" s="43" t="s">
        <v>19</v>
      </c>
      <c r="B47" s="6"/>
      <c r="C47" s="13"/>
      <c r="D47" s="13">
        <f>-308.28+1.661</f>
        <v>-306.61899999999997</v>
      </c>
      <c r="E47" s="13">
        <f>-128.658+4.367</f>
        <v>-124.29099999999998</v>
      </c>
      <c r="F47" s="13">
        <f>-98.84+2.492</f>
        <v>-96.347999999999999</v>
      </c>
      <c r="H47" s="34"/>
      <c r="I47" s="34"/>
      <c r="J47" s="13">
        <f>-350.268+0.805</f>
        <v>-349.46299999999997</v>
      </c>
      <c r="K47" s="13">
        <f>-5944.5/10</f>
        <v>-594.45000000000005</v>
      </c>
      <c r="L47" s="13">
        <f>L40</f>
        <v>-464.66</v>
      </c>
      <c r="M47" s="175">
        <f>M40</f>
        <v>-989.66399999999999</v>
      </c>
      <c r="N47" s="249"/>
      <c r="P47" s="43"/>
      <c r="Q47" s="7"/>
      <c r="R47" s="7"/>
      <c r="S47" s="7"/>
      <c r="T47" s="7"/>
      <c r="U47" s="7"/>
      <c r="V47" s="7"/>
      <c r="W47" s="7"/>
      <c r="X47" s="176"/>
    </row>
    <row r="48" spans="1:26" ht="19.5" thickBot="1" x14ac:dyDescent="0.35">
      <c r="A48" s="46" t="s">
        <v>20</v>
      </c>
      <c r="B48" s="62"/>
      <c r="C48" s="47"/>
      <c r="D48" s="47">
        <f>SUM(D46:D47)</f>
        <v>-146.35499999999996</v>
      </c>
      <c r="E48" s="47">
        <f>SUM(E46:E47)</f>
        <v>-358.52</v>
      </c>
      <c r="F48" s="47">
        <f>SUM(F46:F47)</f>
        <v>1713.077</v>
      </c>
      <c r="G48" s="189"/>
      <c r="H48" s="190"/>
      <c r="I48" s="190"/>
      <c r="J48" s="47">
        <f>SUM(J46:J47)</f>
        <v>-176.05299999999997</v>
      </c>
      <c r="K48" s="47">
        <f>SUM(K46:K47)</f>
        <v>-602.58600000000001</v>
      </c>
      <c r="L48" s="47">
        <f>SUM(L46:L47)</f>
        <v>-687.66200000000003</v>
      </c>
      <c r="M48" s="182">
        <f>M46+M47</f>
        <v>428.36899999999991</v>
      </c>
      <c r="N48" s="249"/>
      <c r="P48" s="43" t="s">
        <v>82</v>
      </c>
      <c r="Q48" s="7">
        <v>221.614</v>
      </c>
      <c r="R48" s="7">
        <v>248.05699999999999</v>
      </c>
      <c r="S48" s="7">
        <v>342.28899999999999</v>
      </c>
      <c r="T48" s="7">
        <v>260.12200000000001</v>
      </c>
      <c r="U48" s="7">
        <v>266.24</v>
      </c>
      <c r="V48" s="7">
        <f>2690.73/10</f>
        <v>269.07299999999998</v>
      </c>
      <c r="W48" s="13">
        <v>271.77999999999997</v>
      </c>
      <c r="X48" s="175">
        <v>273.84699999999998</v>
      </c>
    </row>
    <row r="49" spans="1:27" x14ac:dyDescent="0.3">
      <c r="N49"/>
      <c r="P49" s="43" t="s">
        <v>83</v>
      </c>
      <c r="Q49" s="7">
        <v>30</v>
      </c>
      <c r="R49" s="7">
        <v>31.364999999999998</v>
      </c>
      <c r="S49" s="7">
        <v>0</v>
      </c>
      <c r="T49" s="7">
        <v>8.4339999999999993</v>
      </c>
      <c r="U49" s="7">
        <v>2.36</v>
      </c>
      <c r="V49" s="7">
        <f>11.87/10</f>
        <v>1.1869999999999998</v>
      </c>
      <c r="W49" s="13">
        <v>16.616</v>
      </c>
      <c r="X49" s="175">
        <v>10.61</v>
      </c>
      <c r="AA49" s="164"/>
    </row>
    <row r="50" spans="1:27" x14ac:dyDescent="0.3">
      <c r="N50"/>
      <c r="P50" s="43" t="s">
        <v>103</v>
      </c>
      <c r="Q50" s="24">
        <v>0</v>
      </c>
      <c r="R50" s="24"/>
      <c r="S50" s="7">
        <v>19.631</v>
      </c>
      <c r="T50" s="7">
        <v>17.663</v>
      </c>
      <c r="U50" s="7">
        <v>24.62</v>
      </c>
      <c r="V50" s="7">
        <f>208.31/10</f>
        <v>20.831</v>
      </c>
      <c r="W50" s="13">
        <v>28.957999999999998</v>
      </c>
      <c r="X50" s="175">
        <v>41.399000000000001</v>
      </c>
    </row>
    <row r="51" spans="1:27" ht="19.5" thickBot="1" x14ac:dyDescent="0.35">
      <c r="N51"/>
      <c r="P51" s="45"/>
      <c r="Q51" s="23"/>
      <c r="R51" s="23"/>
      <c r="S51" s="23"/>
      <c r="T51" s="7"/>
      <c r="U51" s="7"/>
      <c r="V51" s="7"/>
      <c r="W51" s="7"/>
      <c r="X51" s="176"/>
      <c r="Z51" s="163"/>
    </row>
    <row r="52" spans="1:27" x14ac:dyDescent="0.3">
      <c r="A52" s="64" t="s">
        <v>49</v>
      </c>
      <c r="B52" s="65"/>
      <c r="C52" s="66">
        <v>5133674</v>
      </c>
      <c r="D52" s="66">
        <v>8413394</v>
      </c>
      <c r="E52" s="66">
        <v>33653576</v>
      </c>
      <c r="F52" s="66">
        <v>33653576</v>
      </c>
      <c r="G52" s="82"/>
      <c r="H52" s="83"/>
      <c r="I52" s="83"/>
      <c r="J52" s="66">
        <v>33653576</v>
      </c>
      <c r="K52" s="90">
        <v>33653576</v>
      </c>
      <c r="L52" s="188">
        <v>33653576</v>
      </c>
      <c r="M52" s="251">
        <v>33653576</v>
      </c>
      <c r="N52" s="249"/>
      <c r="P52" s="44" t="s">
        <v>60</v>
      </c>
      <c r="Q52" s="10">
        <f t="shared" ref="Q52:U52" si="33">SUM(Q16:Q28)+Q29</f>
        <v>4900.732</v>
      </c>
      <c r="R52" s="10">
        <f t="shared" si="33"/>
        <v>5728.9809999999998</v>
      </c>
      <c r="S52" s="10">
        <f t="shared" si="33"/>
        <v>6732.1650000000009</v>
      </c>
      <c r="T52" s="10">
        <f t="shared" si="33"/>
        <v>6083.0210000000006</v>
      </c>
      <c r="U52" s="10">
        <f t="shared" si="33"/>
        <v>7449.9610000000011</v>
      </c>
      <c r="V52" s="10">
        <f>SUM(V16:V28)+V29</f>
        <v>8648.7799999999988</v>
      </c>
      <c r="W52" s="10">
        <f>SUM(W16:W28)+W29</f>
        <v>9864.6219999999994</v>
      </c>
      <c r="X52" s="177">
        <f t="shared" ref="X52" si="34">SUM(X16:X28)+X29</f>
        <v>9949.5440000000017</v>
      </c>
      <c r="Z52" s="11"/>
      <c r="AA52" s="11">
        <f>X52-X53</f>
        <v>0</v>
      </c>
    </row>
    <row r="53" spans="1:27" ht="19.5" thickBot="1" x14ac:dyDescent="0.35">
      <c r="A53" s="43" t="s">
        <v>50</v>
      </c>
      <c r="B53" s="6"/>
      <c r="C53" s="13">
        <f>C52*Q56/1000000</f>
        <v>932.01851470000008</v>
      </c>
      <c r="D53" s="13">
        <f>D52*R56/1000000</f>
        <v>1828.9877216599998</v>
      </c>
      <c r="E53" s="13">
        <f>E52*S56/1000000</f>
        <v>7637.6790731999999</v>
      </c>
      <c r="F53" s="13">
        <f>F52*T56/1000000</f>
        <v>4511.2618628</v>
      </c>
      <c r="H53" s="27"/>
      <c r="I53" s="27"/>
      <c r="J53" s="13">
        <f>(J52/1000000)*U56</f>
        <v>19747.9183968</v>
      </c>
      <c r="K53" s="77">
        <f>236955/10</f>
        <v>23695.5</v>
      </c>
      <c r="L53" s="77">
        <f>(L52/1000000)*W56</f>
        <v>11837.645358</v>
      </c>
      <c r="M53" s="175">
        <v>12922.97</v>
      </c>
      <c r="N53" s="249"/>
      <c r="P53" s="46" t="s">
        <v>61</v>
      </c>
      <c r="Q53" s="47">
        <f>Q50+Q37+Q12+Q7+Q47+Q49+Q48</f>
        <v>4900.7829999999994</v>
      </c>
      <c r="R53" s="47">
        <f t="shared" ref="R53:W53" si="35">R50+R37+R12+R7+R47+R51+R48+R49-R11</f>
        <v>5728.9809999999998</v>
      </c>
      <c r="S53" s="47">
        <f t="shared" si="35"/>
        <v>6732.4369999999999</v>
      </c>
      <c r="T53" s="47">
        <f t="shared" si="35"/>
        <v>6083.0210000000006</v>
      </c>
      <c r="U53" s="47">
        <f t="shared" si="35"/>
        <v>7449.9679999999998</v>
      </c>
      <c r="V53" s="47">
        <f t="shared" si="35"/>
        <v>8648.7810000000009</v>
      </c>
      <c r="W53" s="47">
        <f t="shared" si="35"/>
        <v>9864.621000000001</v>
      </c>
      <c r="X53" s="182">
        <f>X50+X37+X12+X7+X47+X51+X48+X49</f>
        <v>9949.5439999999999</v>
      </c>
    </row>
    <row r="54" spans="1:27" ht="19.5" thickBot="1" x14ac:dyDescent="0.35">
      <c r="A54" s="43" t="s">
        <v>53</v>
      </c>
      <c r="B54" s="6"/>
      <c r="C54" s="13">
        <f>Q12</f>
        <v>1047.9290000000001</v>
      </c>
      <c r="D54" s="13">
        <f>R12</f>
        <v>1318.7260000000001</v>
      </c>
      <c r="E54" s="13">
        <f>S12</f>
        <v>1834.0169999999998</v>
      </c>
      <c r="F54" s="13">
        <f>T12</f>
        <v>507.40200000000004</v>
      </c>
      <c r="H54" s="36"/>
      <c r="I54" s="36"/>
      <c r="J54" s="13">
        <f>U12</f>
        <v>778.59</v>
      </c>
      <c r="K54" s="77">
        <f>V12</f>
        <v>1393.4879999999998</v>
      </c>
      <c r="L54" s="77">
        <f>W12</f>
        <v>2288.415</v>
      </c>
      <c r="M54" s="175">
        <f>X12</f>
        <v>2040.8890000000001</v>
      </c>
      <c r="N54" s="249"/>
      <c r="P54" s="2" t="s">
        <v>31</v>
      </c>
      <c r="R54" s="28"/>
    </row>
    <row r="55" spans="1:27" x14ac:dyDescent="0.3">
      <c r="A55" s="43" t="s">
        <v>51</v>
      </c>
      <c r="B55" s="6"/>
      <c r="C55" s="13">
        <f>Q34+Q33</f>
        <v>55.757000000000005</v>
      </c>
      <c r="D55" s="13">
        <f>R34+R33</f>
        <v>58.395000000000003</v>
      </c>
      <c r="E55" s="13">
        <f>S34+S33</f>
        <v>63.027000000000001</v>
      </c>
      <c r="F55" s="13">
        <f>T34+T33</f>
        <v>211.10999999999999</v>
      </c>
      <c r="H55" s="35"/>
      <c r="I55" s="35"/>
      <c r="J55" s="13">
        <f>SUM(U33:U34)</f>
        <v>201.11099999999999</v>
      </c>
      <c r="K55" s="77">
        <f>SUM(V33:V34)</f>
        <v>94.175999999999988</v>
      </c>
      <c r="L55" s="77">
        <f>SUM(W33:W34)</f>
        <v>173.80799999999999</v>
      </c>
      <c r="M55" s="175">
        <f>X33+X34</f>
        <v>123.251</v>
      </c>
      <c r="N55" s="249"/>
      <c r="P55" s="69" t="s">
        <v>32</v>
      </c>
      <c r="Q55" s="70" t="s">
        <v>21</v>
      </c>
      <c r="R55" s="70" t="s">
        <v>58</v>
      </c>
      <c r="S55" s="61" t="s">
        <v>64</v>
      </c>
      <c r="T55" s="61" t="str">
        <f>T3</f>
        <v>FY20</v>
      </c>
      <c r="U55" s="61" t="s">
        <v>110</v>
      </c>
      <c r="V55" s="86" t="s">
        <v>111</v>
      </c>
      <c r="W55" s="61" t="s">
        <v>171</v>
      </c>
      <c r="X55" s="86" t="s">
        <v>192</v>
      </c>
      <c r="Y55" s="157" t="s">
        <v>193</v>
      </c>
    </row>
    <row r="56" spans="1:27" ht="19.5" thickBot="1" x14ac:dyDescent="0.35">
      <c r="A56" s="67" t="s">
        <v>52</v>
      </c>
      <c r="B56" s="68"/>
      <c r="C56" s="63">
        <f>C53+C54-C55</f>
        <v>1924.1905147000002</v>
      </c>
      <c r="D56" s="63">
        <f>D53+D54-D55</f>
        <v>3089.3187216599999</v>
      </c>
      <c r="E56" s="63">
        <f>E53+E54-E55</f>
        <v>9408.6690732000006</v>
      </c>
      <c r="F56" s="63">
        <f>F53+F54-F55</f>
        <v>4807.5538628000004</v>
      </c>
      <c r="G56" s="81"/>
      <c r="H56" s="84"/>
      <c r="I56" s="84"/>
      <c r="J56" s="63">
        <f>J53+J54-J55</f>
        <v>20325.397396799999</v>
      </c>
      <c r="K56" s="91">
        <f>K53+K54-K55</f>
        <v>24994.812000000002</v>
      </c>
      <c r="L56" s="91">
        <f>L53+L54-L55</f>
        <v>13952.252357999998</v>
      </c>
      <c r="M56" s="252">
        <f>M53+M54-M55</f>
        <v>14840.608</v>
      </c>
      <c r="N56" s="249"/>
      <c r="P56" s="94" t="s">
        <v>33</v>
      </c>
      <c r="Q56" s="29">
        <v>181.55</v>
      </c>
      <c r="R56" s="29">
        <v>217.39</v>
      </c>
      <c r="S56" s="32">
        <v>226.95</v>
      </c>
      <c r="T56" s="6">
        <v>134.05000000000001</v>
      </c>
      <c r="U56" s="18">
        <v>586.79999999999995</v>
      </c>
      <c r="V56" s="78">
        <v>705.7</v>
      </c>
      <c r="W56" s="168">
        <v>351.75</v>
      </c>
      <c r="X56" s="225">
        <v>299.05</v>
      </c>
      <c r="Y56" s="232">
        <v>384</v>
      </c>
    </row>
    <row r="57" spans="1:27" x14ac:dyDescent="0.3">
      <c r="P57" s="94" t="s">
        <v>34</v>
      </c>
      <c r="Q57" s="20">
        <f>C32</f>
        <v>33.14</v>
      </c>
      <c r="R57" s="20">
        <f>D32</f>
        <v>7.42</v>
      </c>
      <c r="S57" s="95">
        <f>E32</f>
        <v>16.98</v>
      </c>
      <c r="T57" s="95">
        <f>F32</f>
        <v>25.61</v>
      </c>
      <c r="U57" s="31">
        <f>J32</f>
        <v>30.29</v>
      </c>
      <c r="V57" s="93">
        <f>K32</f>
        <v>15.84</v>
      </c>
      <c r="W57" s="172">
        <f>L32</f>
        <v>5.87</v>
      </c>
      <c r="X57" s="226">
        <f>M32</f>
        <v>2.71</v>
      </c>
      <c r="Y57" s="233">
        <f>N32+X57-(-1.8)</f>
        <v>7.77</v>
      </c>
      <c r="Z57" s="1" t="s">
        <v>195</v>
      </c>
    </row>
    <row r="58" spans="1:27" x14ac:dyDescent="0.3">
      <c r="P58" s="94" t="s">
        <v>113</v>
      </c>
      <c r="Q58" s="95">
        <f>(Q7*1000000)/C52</f>
        <v>616.51889075932752</v>
      </c>
      <c r="R58" s="95">
        <f>(R7*1000000)/D52</f>
        <v>401.23557746136697</v>
      </c>
      <c r="S58" s="95">
        <f>(S7*1000000)/E52</f>
        <v>116.4584114330079</v>
      </c>
      <c r="T58" s="95">
        <f>(T7*1000000)/F52</f>
        <v>137.91696311857021</v>
      </c>
      <c r="U58" s="95">
        <f>(U7*1000000)/J52</f>
        <v>165.59512130300803</v>
      </c>
      <c r="V58" s="96">
        <f>(V7*1000000)/K52</f>
        <v>179.83824363865523</v>
      </c>
      <c r="W58" s="95">
        <f>(W7*1000000)/L52</f>
        <v>185.69877982654799</v>
      </c>
      <c r="X58" s="225">
        <f>(X7*1000000)/M52</f>
        <v>187.89937806312173</v>
      </c>
      <c r="Y58" s="234" t="s">
        <v>194</v>
      </c>
    </row>
    <row r="59" spans="1:27" x14ac:dyDescent="0.3">
      <c r="P59" s="94" t="s">
        <v>35</v>
      </c>
      <c r="Q59" s="97">
        <v>1.5</v>
      </c>
      <c r="R59" s="97">
        <v>1.5</v>
      </c>
      <c r="S59" s="97">
        <v>2</v>
      </c>
      <c r="T59" s="97">
        <v>2.5</v>
      </c>
      <c r="U59" s="6">
        <v>2.5</v>
      </c>
      <c r="V59" s="92">
        <f>5*30%</f>
        <v>1.5</v>
      </c>
      <c r="W59" s="168">
        <v>0.5</v>
      </c>
      <c r="X59" s="200">
        <v>0</v>
      </c>
      <c r="Y59" s="234" t="s">
        <v>194</v>
      </c>
    </row>
    <row r="60" spans="1:27" x14ac:dyDescent="0.3">
      <c r="H60" s="35"/>
      <c r="I60" s="35"/>
      <c r="J60" s="35"/>
      <c r="P60" s="94" t="s">
        <v>36</v>
      </c>
      <c r="Q60" s="95">
        <f>(Q56/Q57)</f>
        <v>5.4782739891369951</v>
      </c>
      <c r="R60" s="95">
        <f>(R56/R57)</f>
        <v>29.297843665768191</v>
      </c>
      <c r="S60" s="95">
        <f>(S56/S57)</f>
        <v>13.365724381625441</v>
      </c>
      <c r="T60" s="95">
        <f>(T56/T57)</f>
        <v>5.2342834830144485</v>
      </c>
      <c r="U60" s="95">
        <f>U56/J32</f>
        <v>19.372730274017826</v>
      </c>
      <c r="V60" s="96">
        <f>V56/K32</f>
        <v>44.551767676767682</v>
      </c>
      <c r="W60" s="95">
        <f>W56/L32</f>
        <v>59.923339011925044</v>
      </c>
      <c r="X60" s="96">
        <f>X56/M32</f>
        <v>110.35055350553506</v>
      </c>
      <c r="Y60" s="174">
        <f>Y56/Y57</f>
        <v>49.420849420849422</v>
      </c>
    </row>
    <row r="61" spans="1:27" x14ac:dyDescent="0.3">
      <c r="H61" s="34"/>
      <c r="I61" s="34"/>
      <c r="J61" s="34"/>
      <c r="P61" s="94" t="s">
        <v>37</v>
      </c>
      <c r="Q61" s="95">
        <f t="shared" ref="Q61:U61" si="36">(Q56/Q58)</f>
        <v>0.29447597262818065</v>
      </c>
      <c r="R61" s="95">
        <f t="shared" si="36"/>
        <v>0.54180140598556825</v>
      </c>
      <c r="S61" s="95">
        <f t="shared" si="36"/>
        <v>1.9487643460648767</v>
      </c>
      <c r="T61" s="95">
        <f t="shared" si="36"/>
        <v>0.97196165699178216</v>
      </c>
      <c r="U61" s="95">
        <f t="shared" si="36"/>
        <v>3.5435826574036922</v>
      </c>
      <c r="V61" s="96">
        <f t="shared" ref="V61" si="37">(V56/V58)</f>
        <v>3.9240819178480555</v>
      </c>
      <c r="W61" s="95">
        <f>(W56/W58)</f>
        <v>1.8941966141541275</v>
      </c>
      <c r="X61" s="227">
        <f>(X56/X58)</f>
        <v>1.5915433200611182</v>
      </c>
      <c r="Y61" s="234" t="s">
        <v>194</v>
      </c>
    </row>
    <row r="62" spans="1:27" x14ac:dyDescent="0.3">
      <c r="C62" s="27"/>
      <c r="D62" s="27"/>
      <c r="E62" s="27"/>
      <c r="F62" s="27"/>
      <c r="G62" s="27"/>
      <c r="H62" s="27"/>
      <c r="I62" s="27"/>
      <c r="J62" s="27"/>
      <c r="P62" s="94" t="s">
        <v>38</v>
      </c>
      <c r="Q62" s="95">
        <f>C56/C13</f>
        <v>3.3842215121258881</v>
      </c>
      <c r="R62" s="95">
        <f>D56/D13</f>
        <v>4.771435996392059</v>
      </c>
      <c r="S62" s="95">
        <f>E56/E13</f>
        <v>8.1808466967224156</v>
      </c>
      <c r="T62" s="95">
        <f>F56/F13</f>
        <v>3.7792115138294418</v>
      </c>
      <c r="U62" s="95">
        <f>J56/J13</f>
        <v>13.106902122083651</v>
      </c>
      <c r="V62" s="96">
        <f>K56/K13</f>
        <v>27.013416566336019</v>
      </c>
      <c r="W62" s="95">
        <f>L56/L13</f>
        <v>25.735800296605674</v>
      </c>
      <c r="X62" s="96">
        <f>M56/M13</f>
        <v>31.620164486299839</v>
      </c>
      <c r="Y62" s="234" t="s">
        <v>194</v>
      </c>
    </row>
    <row r="63" spans="1:27" x14ac:dyDescent="0.3">
      <c r="C63" s="27"/>
      <c r="D63" s="27"/>
      <c r="E63" s="27"/>
      <c r="F63" s="27"/>
      <c r="G63" s="27"/>
      <c r="H63" s="27"/>
      <c r="I63" s="27"/>
      <c r="J63" s="27"/>
      <c r="P63" s="98" t="s">
        <v>39</v>
      </c>
      <c r="Q63" s="99">
        <f>(C24/Q7)</f>
        <v>8.8106914139526329E-2</v>
      </c>
      <c r="R63" s="99">
        <f>(D24/R7)</f>
        <v>7.4003340884241306E-2</v>
      </c>
      <c r="S63" s="99">
        <f>(E24/S7)</f>
        <v>0.1458353426504411</v>
      </c>
      <c r="T63" s="99">
        <f>(F24/T7)</f>
        <v>0.18569595072520151</v>
      </c>
      <c r="U63" s="99">
        <f>(J24/U7)</f>
        <v>0.18291658801177416</v>
      </c>
      <c r="V63" s="100">
        <f>(K24/V7)</f>
        <v>8.8070949406827317E-2</v>
      </c>
      <c r="W63" s="192">
        <f>(L24/W7)</f>
        <v>3.1591531256940496E-2</v>
      </c>
      <c r="X63" s="228">
        <f>(M24/X7)</f>
        <v>1.4392377875115256E-2</v>
      </c>
      <c r="Y63" s="234" t="s">
        <v>194</v>
      </c>
    </row>
    <row r="64" spans="1:27" x14ac:dyDescent="0.3">
      <c r="C64" s="27"/>
      <c r="D64" s="27"/>
      <c r="E64" s="27"/>
      <c r="F64" s="27"/>
      <c r="G64" s="27"/>
      <c r="H64" s="27"/>
      <c r="I64" s="27"/>
      <c r="J64" s="27"/>
      <c r="P64" s="98" t="s">
        <v>40</v>
      </c>
      <c r="Q64" s="99">
        <f>(C13-C17)/Q13</f>
        <v>0.11074654086217157</v>
      </c>
      <c r="R64" s="99">
        <f>(D13-D17)/R13</f>
        <v>0.12910182211257487</v>
      </c>
      <c r="S64" s="99">
        <f>(E13-E17)/S13</f>
        <v>0.22099481927949133</v>
      </c>
      <c r="T64" s="99">
        <f>(F13-F17)/(AVERAGE(S13:T13))</f>
        <v>0.2316315985425384</v>
      </c>
      <c r="U64" s="99">
        <f>(J13-J17)/(AVERAGE(T13:U13))</f>
        <v>0.25463037703484342</v>
      </c>
      <c r="V64" s="100">
        <f>(K13-K17)/(AVERAGE(U13:V13))</f>
        <v>0.11930316645073984</v>
      </c>
      <c r="W64" s="192">
        <f>(L13-L17)/(AVERAGE(V13:W13))</f>
        <v>5.0868963072569828E-2</v>
      </c>
      <c r="X64" s="228">
        <f>(M13-M17)/(AVERAGE(W13:X13))</f>
        <v>3.8629012382449722E-2</v>
      </c>
      <c r="Y64" s="234" t="s">
        <v>194</v>
      </c>
    </row>
    <row r="65" spans="3:29" x14ac:dyDescent="0.3">
      <c r="C65" s="27"/>
      <c r="D65" s="27"/>
      <c r="E65" s="27"/>
      <c r="F65" s="27"/>
      <c r="G65" s="27"/>
      <c r="H65" s="27"/>
      <c r="I65" s="27"/>
      <c r="J65" s="27"/>
      <c r="P65" s="94" t="s">
        <v>41</v>
      </c>
      <c r="Q65" s="25">
        <f t="shared" ref="Q65:U65" si="38">(Q12/Q7)</f>
        <v>0.33109847782327184</v>
      </c>
      <c r="R65" s="25">
        <f t="shared" si="38"/>
        <v>0.39064647206119646</v>
      </c>
      <c r="S65" s="25">
        <f t="shared" si="38"/>
        <v>0.46795196622203983</v>
      </c>
      <c r="T65" s="25">
        <f t="shared" si="38"/>
        <v>0.10932091811111262</v>
      </c>
      <c r="U65" s="25">
        <f t="shared" si="38"/>
        <v>0.13971082753081537</v>
      </c>
      <c r="V65" s="101">
        <f>(V12/V7)</f>
        <v>0.23024486963418259</v>
      </c>
      <c r="W65" s="171">
        <f>(W12/W7)</f>
        <v>0.36617991278561812</v>
      </c>
      <c r="X65" s="225">
        <f>(X12/X7)</f>
        <v>0.32274745290809531</v>
      </c>
      <c r="Y65" s="234" t="s">
        <v>194</v>
      </c>
    </row>
    <row r="66" spans="3:29" x14ac:dyDescent="0.3">
      <c r="C66" s="27"/>
      <c r="D66" s="27"/>
      <c r="E66" s="27"/>
      <c r="F66" s="27"/>
      <c r="G66" s="27"/>
      <c r="H66" s="27"/>
      <c r="I66" s="27"/>
      <c r="J66" s="27"/>
      <c r="P66" s="94" t="s">
        <v>42</v>
      </c>
      <c r="Q66" s="25">
        <f>(Q12-Q34-Q33)/Q7</f>
        <v>0.31348177113036407</v>
      </c>
      <c r="R66" s="25">
        <f>(R12-R35-R33)/R7</f>
        <v>0.37440002275047968</v>
      </c>
      <c r="S66" s="25">
        <f t="shared" ref="S66:V66" si="39">(S12-S34-S33)/S7</f>
        <v>0.45187054027283841</v>
      </c>
      <c r="T66" s="25">
        <f t="shared" si="39"/>
        <v>6.3836787141118442E-2</v>
      </c>
      <c r="U66" s="25">
        <f t="shared" si="39"/>
        <v>0.1036233049123001</v>
      </c>
      <c r="V66" s="101">
        <f t="shared" si="39"/>
        <v>0.21468424705065925</v>
      </c>
      <c r="W66" s="171">
        <f>(W12-W34-W33)/W7</f>
        <v>0.33836808744736319</v>
      </c>
      <c r="X66" s="225">
        <f>(X12-X34-X33)/X7</f>
        <v>0.30325646328623168</v>
      </c>
      <c r="Y66" s="234" t="s">
        <v>194</v>
      </c>
    </row>
    <row r="67" spans="3:29" x14ac:dyDescent="0.3">
      <c r="P67" s="94" t="s">
        <v>43</v>
      </c>
      <c r="Q67" s="102">
        <f>(Q59/Q56)</f>
        <v>8.2621867254199944E-3</v>
      </c>
      <c r="R67" s="102">
        <f>(R59/R56)</f>
        <v>6.9000414002484021E-3</v>
      </c>
      <c r="S67" s="102">
        <f>(S59/S56)</f>
        <v>8.8125137695527645E-3</v>
      </c>
      <c r="T67" s="102">
        <f>(T59/T56)</f>
        <v>1.8649757553151809E-2</v>
      </c>
      <c r="U67" s="102">
        <f t="shared" ref="U67:V67" si="40">(U59/U56)</f>
        <v>4.2603953646898436E-3</v>
      </c>
      <c r="V67" s="103">
        <f t="shared" si="40"/>
        <v>2.1255491001842142E-3</v>
      </c>
      <c r="W67" s="102">
        <f>(W59/W56)</f>
        <v>1.4214641080312722E-3</v>
      </c>
      <c r="X67" s="103">
        <f>(X59/X56)</f>
        <v>0</v>
      </c>
      <c r="Y67" s="234" t="s">
        <v>194</v>
      </c>
    </row>
    <row r="68" spans="3:29" x14ac:dyDescent="0.3">
      <c r="P68" s="94" t="s">
        <v>174</v>
      </c>
      <c r="Q68" s="104">
        <f>(AVERAGE(P32:Q32)/C4*365)</f>
        <v>79.83506855695282</v>
      </c>
      <c r="R68" s="104">
        <f>(AVERAGE(Q32:R32)/D4*365)</f>
        <v>84.588662777197783</v>
      </c>
      <c r="S68" s="104">
        <f>(AVERAGE(R32:S32)/E4*365)</f>
        <v>71.197798301995121</v>
      </c>
      <c r="T68" s="104">
        <f>(AVERAGE(S32:T32)/F4*365)</f>
        <v>74.795641039644323</v>
      </c>
      <c r="U68" s="104">
        <f>(AVERAGE(T32:U32)/J4*365)</f>
        <v>87.533605093420761</v>
      </c>
      <c r="V68" s="105">
        <f>(AVERAGE(U32:V32)/K4*365)</f>
        <v>80.525094674570511</v>
      </c>
      <c r="W68" s="170">
        <f>(AVERAGE(V32:W32)/L4*365)</f>
        <v>82.715705641661287</v>
      </c>
      <c r="X68" s="229">
        <f>(AVERAGE(W32:X32)/M4*365)</f>
        <v>80.85640850593731</v>
      </c>
      <c r="Y68" s="234" t="s">
        <v>194</v>
      </c>
    </row>
    <row r="69" spans="3:29" x14ac:dyDescent="0.3">
      <c r="C69" s="49"/>
      <c r="P69" s="94" t="s">
        <v>175</v>
      </c>
      <c r="Q69" s="104">
        <f>AVERAGE(P39:Q39)/(C7)*365</f>
        <v>29.978951994933311</v>
      </c>
      <c r="R69" s="104">
        <f>AVERAGE(Q39:R39)/(D7)*365</f>
        <v>38.924513411906538</v>
      </c>
      <c r="S69" s="104">
        <f>AVERAGE(R39:S39)/(E7)*365</f>
        <v>32.724440545950365</v>
      </c>
      <c r="T69" s="104">
        <f>AVERAGE(S39:T39)/(F7)*365</f>
        <v>31.482868224895839</v>
      </c>
      <c r="U69" s="104">
        <f>AVERAGE(T39:U39)/(J7)*365</f>
        <v>41.692379126772877</v>
      </c>
      <c r="V69" s="105">
        <f>AVERAGE(U39:V39)/(K7)*365</f>
        <v>35.743964524978281</v>
      </c>
      <c r="W69" s="170">
        <f>AVERAGE(V39:W39)/(L7)*365</f>
        <v>38.592936333881532</v>
      </c>
      <c r="X69" s="229">
        <f>AVERAGE(W39:X39)/(M7)*365</f>
        <v>39.03734340760257</v>
      </c>
      <c r="Y69" s="234" t="s">
        <v>194</v>
      </c>
      <c r="Z69" s="27"/>
      <c r="AA69" s="27"/>
      <c r="AB69" s="27"/>
      <c r="AC69" s="27"/>
    </row>
    <row r="70" spans="3:29" x14ac:dyDescent="0.3">
      <c r="P70" s="94" t="s">
        <v>176</v>
      </c>
      <c r="Q70" s="104">
        <f>(AVERAGE(P30:Q30)/(C7)*365)</f>
        <v>104.20050756673038</v>
      </c>
      <c r="R70" s="104">
        <f>(AVERAGE(Q30:R30)/(D7)*365)</f>
        <v>102.26562418562071</v>
      </c>
      <c r="S70" s="104">
        <f>(AVERAGE(R30:S30)/(E7)*365)</f>
        <v>95.784617616510332</v>
      </c>
      <c r="T70" s="104">
        <f>(AVERAGE(S30:T30)/(F7)*365)</f>
        <v>105.3562192974692</v>
      </c>
      <c r="U70" s="104">
        <f>(AVERAGE(T30:U30)/(J7)*365)</f>
        <v>128.50727207717395</v>
      </c>
      <c r="V70" s="105">
        <f>(AVERAGE(U30:V30)/(K7)*365)</f>
        <v>120.96363063105423</v>
      </c>
      <c r="W70" s="170">
        <f>(AVERAGE(V30:W30)/(L7)*365)</f>
        <v>150.31158348547768</v>
      </c>
      <c r="X70" s="229">
        <f>(AVERAGE(W30:X30)/(M7)*365)</f>
        <v>149.08079566037975</v>
      </c>
      <c r="Y70" s="234" t="s">
        <v>194</v>
      </c>
      <c r="Z70" s="27"/>
      <c r="AA70" s="27"/>
      <c r="AB70" s="27"/>
      <c r="AC70" s="27"/>
    </row>
    <row r="71" spans="3:29" x14ac:dyDescent="0.3">
      <c r="P71" s="94" t="s">
        <v>57</v>
      </c>
      <c r="Q71" s="104">
        <f t="shared" ref="Q71:U71" si="41">(Q70+Q68-Q69)</f>
        <v>154.05662412874989</v>
      </c>
      <c r="R71" s="104">
        <f t="shared" si="41"/>
        <v>147.92977355091196</v>
      </c>
      <c r="S71" s="104">
        <f t="shared" si="41"/>
        <v>134.25797537255511</v>
      </c>
      <c r="T71" s="104">
        <f t="shared" si="41"/>
        <v>148.66899211221769</v>
      </c>
      <c r="U71" s="104">
        <f t="shared" si="41"/>
        <v>174.34849804382185</v>
      </c>
      <c r="V71" s="105">
        <f t="shared" ref="V71" si="42">(V70+V68-V69)</f>
        <v>165.74476078064646</v>
      </c>
      <c r="W71" s="170">
        <f>(W70+W68-W69)</f>
        <v>194.43435279325743</v>
      </c>
      <c r="X71" s="229">
        <f>(X70+X68-X69)</f>
        <v>190.89986075871448</v>
      </c>
      <c r="Y71" s="234" t="s">
        <v>194</v>
      </c>
    </row>
    <row r="72" spans="3:29" x14ac:dyDescent="0.3">
      <c r="P72" s="149" t="s">
        <v>166</v>
      </c>
      <c r="Q72" s="104">
        <f>+AVERAGE(Q46)/C4*365</f>
        <v>118.40340093343362</v>
      </c>
      <c r="R72" s="104">
        <f>+AVERAGE(Q46:R46)/D4*365</f>
        <v>100.66528404960066</v>
      </c>
      <c r="S72" s="104">
        <f>+AVERAGE(R46:S46)/E4*365</f>
        <v>76.828780842143971</v>
      </c>
      <c r="T72" s="104">
        <f>+AVERAGE(S46:T46)/F4*365</f>
        <v>104.66413528456911</v>
      </c>
      <c r="U72" s="104">
        <f>+AVERAGE(T46:U46)/J4*365</f>
        <v>146.19387065555361</v>
      </c>
      <c r="V72" s="105">
        <f>+AVERAGE(U46:V46)/K4*365</f>
        <v>144.66328846988557</v>
      </c>
      <c r="W72" s="170">
        <f>+AVERAGE(V46:W46)/L4*365</f>
        <v>152.83564620975872</v>
      </c>
      <c r="X72" s="229">
        <f>+AVERAGE(W46:X46)/M4*365</f>
        <v>129.14645434502941</v>
      </c>
      <c r="Y72" s="234" t="s">
        <v>194</v>
      </c>
    </row>
    <row r="73" spans="3:29" x14ac:dyDescent="0.3">
      <c r="P73" s="106" t="s">
        <v>59</v>
      </c>
      <c r="Q73" s="107">
        <f>C18/Q12</f>
        <v>5.0973873229961185E-2</v>
      </c>
      <c r="R73" s="107">
        <f>D18/R12</f>
        <v>5.5480820124878101E-2</v>
      </c>
      <c r="S73" s="107">
        <f>E18/S12</f>
        <v>7.0805232448772293E-2</v>
      </c>
      <c r="T73" s="107">
        <f>F18/T12</f>
        <v>0.23501286948021488</v>
      </c>
      <c r="U73" s="107">
        <f>J18/U12</f>
        <v>2.9681860799650649E-2</v>
      </c>
      <c r="V73" s="108">
        <f>K18/(V12-450)</f>
        <v>4.2872829331162675E-2</v>
      </c>
      <c r="W73" s="108">
        <f>L18/(W12)</f>
        <v>5.6943342881426669E-2</v>
      </c>
      <c r="X73" s="108">
        <f>M18/(X12)</f>
        <v>9.9799646134601142E-2</v>
      </c>
      <c r="Y73" s="234" t="s">
        <v>194</v>
      </c>
    </row>
    <row r="74" spans="3:29" x14ac:dyDescent="0.3">
      <c r="P74" s="43" t="s">
        <v>173</v>
      </c>
      <c r="Q74" s="109"/>
      <c r="R74" s="109">
        <f>(D24+D17+D18)/(D18+94.118)</f>
        <v>2.8168780861060982</v>
      </c>
      <c r="S74" s="109">
        <f>(E24+E17+E18)/(E18+94.118)</f>
        <v>3.9262822802443123</v>
      </c>
      <c r="T74" s="109">
        <f>(F24+F17+F18)/(F18+61.176)</f>
        <v>6.4921184777909549</v>
      </c>
      <c r="U74" s="109">
        <f>(J24+J17+J18)/J18+0</f>
        <v>52.664214625703146</v>
      </c>
      <c r="V74" s="110">
        <f>(K24+K17+K18)/(K18+50)</f>
        <v>8.221061359867333</v>
      </c>
      <c r="W74" s="193">
        <f>(L24+L17+L18)/(L18+50)</f>
        <v>2.8951195163884371</v>
      </c>
      <c r="X74" s="193">
        <f>(M24+M17+M18)/(M18)</f>
        <v>2.4186959937156374</v>
      </c>
      <c r="Y74" s="234" t="s">
        <v>194</v>
      </c>
    </row>
    <row r="75" spans="3:29" ht="19.5" thickBot="1" x14ac:dyDescent="0.35">
      <c r="P75" s="67" t="s">
        <v>112</v>
      </c>
      <c r="Q75" s="158"/>
      <c r="R75" s="159">
        <f>D48</f>
        <v>-146.35499999999996</v>
      </c>
      <c r="S75" s="165">
        <f>E48</f>
        <v>-358.52</v>
      </c>
      <c r="T75" s="165">
        <f>F48</f>
        <v>1713.077</v>
      </c>
      <c r="U75" s="165">
        <f>J48</f>
        <v>-176.05299999999997</v>
      </c>
      <c r="V75" s="166">
        <f>K48</f>
        <v>-602.58600000000001</v>
      </c>
      <c r="W75" s="194">
        <f>L48</f>
        <v>-687.66200000000003</v>
      </c>
      <c r="X75" s="230">
        <f>M48</f>
        <v>428.36899999999991</v>
      </c>
      <c r="Y75" s="235" t="s">
        <v>194</v>
      </c>
    </row>
    <row r="76" spans="3:29" x14ac:dyDescent="0.3">
      <c r="R76" s="28"/>
    </row>
    <row r="77" spans="3:29" x14ac:dyDescent="0.3">
      <c r="P77" s="173"/>
    </row>
    <row r="78" spans="3:29" x14ac:dyDescent="0.3">
      <c r="F78" s="204"/>
      <c r="G78" s="33"/>
      <c r="H78" s="33"/>
      <c r="I78" s="33"/>
      <c r="J78" s="33"/>
    </row>
    <row r="79" spans="3:29" x14ac:dyDescent="0.3">
      <c r="F79" s="204"/>
      <c r="G79" s="33"/>
      <c r="H79" s="33"/>
      <c r="I79" s="33"/>
      <c r="J79" s="33"/>
    </row>
    <row r="81" spans="17:25" s="2" customFormat="1" x14ac:dyDescent="0.3"/>
    <row r="82" spans="17:25" x14ac:dyDescent="0.3">
      <c r="Q82" s="1"/>
      <c r="R82" s="1"/>
      <c r="S82" s="1"/>
    </row>
    <row r="83" spans="17:25" s="2" customFormat="1" x14ac:dyDescent="0.3"/>
    <row r="84" spans="17:25" x14ac:dyDescent="0.3">
      <c r="Q84" s="1"/>
      <c r="R84" s="1"/>
      <c r="S84" s="1"/>
    </row>
    <row r="85" spans="17:25" x14ac:dyDescent="0.3">
      <c r="Q85" s="1"/>
      <c r="R85" s="1"/>
      <c r="S85" s="1"/>
    </row>
    <row r="86" spans="17:25" x14ac:dyDescent="0.3">
      <c r="Q86" s="1"/>
      <c r="R86" s="1"/>
      <c r="S86" s="1"/>
      <c r="Y86" s="146"/>
    </row>
    <row r="87" spans="17:25" x14ac:dyDescent="0.3">
      <c r="Q87" s="1"/>
      <c r="R87" s="1"/>
      <c r="S87" s="1"/>
    </row>
    <row r="88" spans="17:25" x14ac:dyDescent="0.3">
      <c r="Q88" s="1"/>
      <c r="R88" s="1"/>
      <c r="S88" s="1"/>
    </row>
    <row r="89" spans="17:25" x14ac:dyDescent="0.3">
      <c r="Q89" s="1"/>
      <c r="R89" s="1"/>
      <c r="S89" s="1"/>
      <c r="X89" s="147"/>
    </row>
    <row r="90" spans="17:25" s="2" customFormat="1" x14ac:dyDescent="0.3"/>
    <row r="91" spans="17:25" s="2" customFormat="1" x14ac:dyDescent="0.3"/>
    <row r="92" spans="17:25" s="2" customFormat="1" x14ac:dyDescent="0.3"/>
    <row r="93" spans="17:25" s="2" customFormat="1" x14ac:dyDescent="0.3"/>
    <row r="94" spans="17:25" s="2" customFormat="1" x14ac:dyDescent="0.3"/>
    <row r="95" spans="17:25" x14ac:dyDescent="0.3">
      <c r="Q95" s="1"/>
      <c r="R95" s="1"/>
      <c r="S95" s="1"/>
    </row>
    <row r="96" spans="17:25" x14ac:dyDescent="0.3">
      <c r="Q96" s="1"/>
      <c r="R96" s="1"/>
      <c r="S96" s="1"/>
    </row>
    <row r="97" spans="17:19" x14ac:dyDescent="0.3">
      <c r="Q97" s="1"/>
      <c r="R97" s="1"/>
      <c r="S97" s="1"/>
    </row>
    <row r="98" spans="17:19" x14ac:dyDescent="0.3">
      <c r="Q98" s="1"/>
      <c r="R98" s="1"/>
      <c r="S98" s="1"/>
    </row>
    <row r="99" spans="17:19" x14ac:dyDescent="0.3">
      <c r="Q99" s="1"/>
      <c r="R99" s="1"/>
      <c r="S99" s="1"/>
    </row>
  </sheetData>
  <mergeCells count="5">
    <mergeCell ref="F78:F79"/>
    <mergeCell ref="A2:M2"/>
    <mergeCell ref="A36:M36"/>
    <mergeCell ref="A1:X1"/>
    <mergeCell ref="P2:X2"/>
  </mergeCells>
  <phoneticPr fontId="13" type="noConversion"/>
  <printOptions horizontalCentered="1" verticalCentered="1"/>
  <pageMargins left="0" right="0" top="0" bottom="0" header="0" footer="0"/>
  <pageSetup paperSize="9" scale="44" orientation="landscape" horizontalDpi="1200" verticalDpi="1200" r:id="rId1"/>
  <ignoredErrors>
    <ignoredError sqref="S68:U70 J53:J55 K54:K55 L55" formulaRange="1"/>
    <ignoredError sqref="J38" formula="1"/>
    <ignoredError sqref="K5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9" sqref="G9"/>
    </sheetView>
  </sheetViews>
  <sheetFormatPr defaultColWidth="8.85546875" defaultRowHeight="15" x14ac:dyDescent="0.25"/>
  <cols>
    <col min="1" max="1" width="38.42578125" bestFit="1" customWidth="1"/>
    <col min="2" max="2" width="0" hidden="1" customWidth="1"/>
    <col min="3" max="4" width="14" bestFit="1" customWidth="1"/>
    <col min="5" max="5" width="14.85546875" bestFit="1" customWidth="1"/>
    <col min="6" max="8" width="14" bestFit="1" customWidth="1"/>
  </cols>
  <sheetData>
    <row r="1" spans="1:11" ht="18.75" x14ac:dyDescent="0.3">
      <c r="A1" s="1"/>
      <c r="B1" s="30"/>
      <c r="C1" s="30"/>
      <c r="D1" s="30"/>
      <c r="E1" s="30"/>
      <c r="F1" s="30"/>
      <c r="G1" s="30"/>
      <c r="H1" s="2" t="s">
        <v>124</v>
      </c>
    </row>
    <row r="2" spans="1:11" ht="18.75" x14ac:dyDescent="0.3">
      <c r="A2" s="141" t="s">
        <v>125</v>
      </c>
      <c r="B2" s="138"/>
      <c r="C2" s="141" t="s">
        <v>152</v>
      </c>
      <c r="D2" s="141" t="s">
        <v>153</v>
      </c>
      <c r="E2" s="141" t="s">
        <v>154</v>
      </c>
      <c r="F2" s="141" t="s">
        <v>155</v>
      </c>
      <c r="G2" s="141" t="s">
        <v>156</v>
      </c>
      <c r="H2" s="141" t="s">
        <v>177</v>
      </c>
    </row>
    <row r="3" spans="1:11" ht="18.75" x14ac:dyDescent="0.3">
      <c r="A3" s="136" t="s">
        <v>149</v>
      </c>
      <c r="B3" s="111"/>
      <c r="C3" s="142">
        <f>'Summary sheet- CONSOLIDATED'!R30*10</f>
        <v>13283.21</v>
      </c>
      <c r="D3" s="142">
        <f>'Summary sheet- CONSOLIDATED'!S30*10</f>
        <v>20290.07</v>
      </c>
      <c r="E3" s="142">
        <f>'Summary sheet- CONSOLIDATED'!T30*10</f>
        <v>16234.42</v>
      </c>
      <c r="F3" s="142">
        <f>'Summary sheet- CONSOLIDATED'!U30*10</f>
        <v>22758.699999999997</v>
      </c>
      <c r="G3" s="142">
        <f>'Summary sheet- CONSOLIDATED'!V30*10</f>
        <v>28693.23</v>
      </c>
      <c r="H3" s="142">
        <f>'Summary sheet- CONSOLIDATED'!W30*10</f>
        <v>36773.370000000003</v>
      </c>
    </row>
    <row r="4" spans="1:11" ht="18.75" x14ac:dyDescent="0.3">
      <c r="A4" s="136" t="s">
        <v>157</v>
      </c>
      <c r="B4" s="111"/>
      <c r="C4" s="142">
        <f>'Summary sheet- CONSOLIDATED'!R32*10</f>
        <v>13442.4</v>
      </c>
      <c r="D4" s="142">
        <f>'Summary sheet- CONSOLIDATED'!S32*10</f>
        <v>15999.77</v>
      </c>
      <c r="E4" s="142">
        <f>'Summary sheet- CONSOLIDATED'!T32*10</f>
        <v>15143.68</v>
      </c>
      <c r="F4" s="142">
        <f>'Summary sheet- CONSOLIDATED'!U32*10</f>
        <v>18854.66</v>
      </c>
      <c r="G4" s="142">
        <f>'Summary sheet- CONSOLIDATED'!V32*10</f>
        <v>19479.34</v>
      </c>
      <c r="H4" s="142">
        <f>'Summary sheet- CONSOLIDATED'!W32*10</f>
        <v>19003.75</v>
      </c>
    </row>
    <row r="5" spans="1:11" ht="18.75" x14ac:dyDescent="0.3">
      <c r="A5" s="137" t="s">
        <v>158</v>
      </c>
      <c r="B5" s="138"/>
      <c r="C5" s="143">
        <f t="shared" ref="C5:H5" si="0">C3+C4</f>
        <v>26725.61</v>
      </c>
      <c r="D5" s="143">
        <f t="shared" si="0"/>
        <v>36289.839999999997</v>
      </c>
      <c r="E5" s="143">
        <f t="shared" si="0"/>
        <v>31378.1</v>
      </c>
      <c r="F5" s="143">
        <f t="shared" si="0"/>
        <v>41613.360000000001</v>
      </c>
      <c r="G5" s="143">
        <f t="shared" si="0"/>
        <v>48172.57</v>
      </c>
      <c r="H5" s="143">
        <f t="shared" si="0"/>
        <v>55777.120000000003</v>
      </c>
    </row>
    <row r="6" spans="1:11" ht="18.75" x14ac:dyDescent="0.3">
      <c r="A6" s="139" t="s">
        <v>159</v>
      </c>
      <c r="B6" s="111"/>
      <c r="C6" s="144">
        <f>'Summary sheet- CONSOLIDATED'!R39*10</f>
        <v>6119.29</v>
      </c>
      <c r="D6" s="144">
        <f>'Summary sheet- CONSOLIDATED'!S39*10</f>
        <v>5350.8899999999994</v>
      </c>
      <c r="E6" s="144">
        <f>'Summary sheet- CONSOLIDATED'!T39*10</f>
        <v>5563.4699999999993</v>
      </c>
      <c r="F6" s="144">
        <f>'Summary sheet- CONSOLIDATED'!U39*10</f>
        <v>7087.3</v>
      </c>
      <c r="G6" s="144">
        <f>'Summary sheet- CONSOLIDATED'!V39*10</f>
        <v>8116.4100000000008</v>
      </c>
      <c r="H6" s="144">
        <f>'Summary sheet- CONSOLIDATED'!W39*10</f>
        <v>8692.33</v>
      </c>
    </row>
    <row r="7" spans="1:11" ht="18.75" x14ac:dyDescent="0.3">
      <c r="A7" s="137" t="s">
        <v>160</v>
      </c>
      <c r="B7" s="138"/>
      <c r="C7" s="143">
        <f t="shared" ref="C7:H7" si="1">C6</f>
        <v>6119.29</v>
      </c>
      <c r="D7" s="143">
        <f t="shared" si="1"/>
        <v>5350.8899999999994</v>
      </c>
      <c r="E7" s="143">
        <f t="shared" si="1"/>
        <v>5563.4699999999993</v>
      </c>
      <c r="F7" s="143">
        <f t="shared" si="1"/>
        <v>7087.3</v>
      </c>
      <c r="G7" s="143">
        <f t="shared" si="1"/>
        <v>8116.4100000000008</v>
      </c>
      <c r="H7" s="143">
        <f t="shared" si="1"/>
        <v>8692.33</v>
      </c>
    </row>
    <row r="8" spans="1:11" ht="18.75" x14ac:dyDescent="0.3">
      <c r="A8" s="137" t="s">
        <v>161</v>
      </c>
      <c r="B8" s="111"/>
      <c r="C8" s="145">
        <f t="shared" ref="C8:H8" si="2">C5-C7</f>
        <v>20606.32</v>
      </c>
      <c r="D8" s="145">
        <f t="shared" si="2"/>
        <v>30938.949999999997</v>
      </c>
      <c r="E8" s="145">
        <f t="shared" si="2"/>
        <v>25814.629999999997</v>
      </c>
      <c r="F8" s="145">
        <f t="shared" si="2"/>
        <v>34526.06</v>
      </c>
      <c r="G8" s="145">
        <f t="shared" si="2"/>
        <v>40056.159999999996</v>
      </c>
      <c r="H8" s="145">
        <f t="shared" si="2"/>
        <v>47084.79</v>
      </c>
    </row>
    <row r="9" spans="1:11" ht="37.5" x14ac:dyDescent="0.3">
      <c r="A9" s="148" t="s">
        <v>163</v>
      </c>
      <c r="B9" s="111"/>
      <c r="C9" s="150"/>
      <c r="D9" s="145">
        <f>D8-C8</f>
        <v>10332.629999999997</v>
      </c>
      <c r="E9" s="145">
        <f>E8-D8</f>
        <v>-5124.32</v>
      </c>
      <c r="F9" s="145">
        <f>F8-E8</f>
        <v>8711.43</v>
      </c>
      <c r="G9" s="145">
        <f>G8-F8</f>
        <v>5530.0999999999985</v>
      </c>
      <c r="H9" s="145">
        <f>H8-G8</f>
        <v>7028.6300000000047</v>
      </c>
    </row>
    <row r="10" spans="1:11" ht="18.75" x14ac:dyDescent="0.3">
      <c r="A10" s="139" t="s">
        <v>185</v>
      </c>
      <c r="B10" s="111"/>
      <c r="C10" s="144">
        <f>('Summary sheet- CONSOLIDATED'!R9+'Summary sheet- CONSOLIDATED'!R11)*10</f>
        <v>3057.6499999999996</v>
      </c>
      <c r="D10" s="144">
        <f>('Summary sheet- CONSOLIDATED'!S9+'Summary sheet- CONSOLIDATED'!S11)*10</f>
        <v>2116.4699999999998</v>
      </c>
      <c r="E10" s="144">
        <f>('Summary sheet- CONSOLIDATED'!T9+'Summary sheet- CONSOLIDATED'!T11)*10</f>
        <v>762.95</v>
      </c>
      <c r="F10" s="144">
        <f>('Summary sheet- CONSOLIDATED'!U9+'Summary sheet- CONSOLIDATED'!U11)*10</f>
        <v>0</v>
      </c>
      <c r="G10" s="144">
        <f>('Summary sheet- CONSOLIDATED'!V9+'Summary sheet- CONSOLIDATED'!V11)*10+500</f>
        <v>5000</v>
      </c>
      <c r="H10" s="144">
        <f>'Summary sheet- CONSOLIDATED'!W9*10+1336</f>
        <v>4500</v>
      </c>
      <c r="K10" s="154"/>
    </row>
    <row r="11" spans="1:11" ht="18.75" x14ac:dyDescent="0.3">
      <c r="A11" s="139" t="s">
        <v>164</v>
      </c>
      <c r="B11" s="111"/>
      <c r="C11" s="144">
        <f>'Summary sheet- CONSOLIDATED'!R10*10</f>
        <v>10129.61</v>
      </c>
      <c r="D11" s="144">
        <f>'Summary sheet- CONSOLIDATED'!S10*10</f>
        <v>16223.699999999999</v>
      </c>
      <c r="E11" s="144">
        <f>'Summary sheet- CONSOLIDATED'!T10*10</f>
        <v>4311.0700000000006</v>
      </c>
      <c r="F11" s="144">
        <f>'Summary sheet- CONSOLIDATED'!U10*10</f>
        <v>7785.9000000000005</v>
      </c>
      <c r="G11" s="144">
        <f>'Summary sheet- CONSOLIDATED'!V10*10-500</f>
        <v>8934.8799999999992</v>
      </c>
      <c r="H11" s="144">
        <f>'Summary sheet- CONSOLIDATED'!W10*10-1336</f>
        <v>18384.150000000001</v>
      </c>
    </row>
    <row r="12" spans="1:11" ht="18.75" x14ac:dyDescent="0.3">
      <c r="A12" s="139" t="s">
        <v>186</v>
      </c>
      <c r="B12" s="111"/>
      <c r="C12" s="144">
        <f>'Summary sheet- CONSOLIDATED'!R33*10</f>
        <v>456.97</v>
      </c>
      <c r="D12" s="144">
        <f>'Summary sheet- CONSOLIDATED'!S33*10</f>
        <v>504.61</v>
      </c>
      <c r="E12" s="144">
        <f>'Summary sheet- CONSOLIDATED'!T33*10</f>
        <v>1729.86</v>
      </c>
      <c r="F12" s="144">
        <f>'Summary sheet- CONSOLIDATED'!U33*10</f>
        <v>1538.6799999999998</v>
      </c>
      <c r="G12" s="144">
        <f>'Summary sheet- CONSOLIDATED'!V33*10</f>
        <v>661.24</v>
      </c>
      <c r="H12" s="144">
        <f>'Summary sheet- CONSOLIDATED'!W33*10</f>
        <v>1599.4399999999998</v>
      </c>
    </row>
    <row r="13" spans="1:11" ht="18.75" x14ac:dyDescent="0.25">
      <c r="A13" s="137" t="s">
        <v>187</v>
      </c>
      <c r="B13" s="137"/>
      <c r="C13" s="145">
        <f>C10+C11-C12</f>
        <v>12730.29</v>
      </c>
      <c r="D13" s="145">
        <f t="shared" ref="D13:H13" si="3">D10+D11-D12</f>
        <v>17835.559999999998</v>
      </c>
      <c r="E13" s="145">
        <f t="shared" si="3"/>
        <v>3344.1600000000008</v>
      </c>
      <c r="F13" s="145">
        <f t="shared" si="3"/>
        <v>6247.2200000000012</v>
      </c>
      <c r="G13" s="145">
        <f t="shared" si="3"/>
        <v>13273.64</v>
      </c>
      <c r="H13" s="145">
        <f t="shared" si="3"/>
        <v>21284.710000000003</v>
      </c>
    </row>
    <row r="14" spans="1:11" ht="37.5" x14ac:dyDescent="0.25">
      <c r="A14" s="148" t="s">
        <v>165</v>
      </c>
      <c r="B14" s="137"/>
      <c r="C14" s="150"/>
      <c r="D14" s="145">
        <f>D11-C11</f>
        <v>6094.0899999999983</v>
      </c>
      <c r="E14" s="145">
        <f>E11-D11</f>
        <v>-11912.629999999997</v>
      </c>
      <c r="F14" s="145">
        <f>F11-E11</f>
        <v>3474.83</v>
      </c>
      <c r="G14" s="145">
        <f>G11-F11</f>
        <v>1148.9799999999987</v>
      </c>
      <c r="H14" s="145">
        <f>H11-G11</f>
        <v>9449.2700000000023</v>
      </c>
    </row>
    <row r="15" spans="1:11" ht="18.75" x14ac:dyDescent="0.25">
      <c r="A15" s="148" t="s">
        <v>167</v>
      </c>
      <c r="B15" s="137"/>
      <c r="C15" s="145">
        <f>('Summary sheet- CONSOLIDATED'!D24+'Summary sheet- CONSOLIDATED'!D17)*10</f>
        <v>3980.4900000000025</v>
      </c>
      <c r="D15" s="145">
        <f>('Summary sheet- CONSOLIDATED'!E24+'Summary sheet- CONSOLIDATED'!E17)*10</f>
        <v>7495.35</v>
      </c>
      <c r="E15" s="145">
        <f>('Summary sheet- CONSOLIDATED'!F24+'Summary sheet- CONSOLIDATED'!F17)*10</f>
        <v>10520.749999999996</v>
      </c>
      <c r="F15" s="145">
        <f>('Summary sheet- CONSOLIDATED'!J24+'Summary sheet- CONSOLIDATED'!J17)*10</f>
        <v>11939.599999999999</v>
      </c>
      <c r="G15" s="145">
        <f>('Summary sheet- CONSOLIDATED'!K24+'Summary sheet- CONSOLIDATED'!K17)*10</f>
        <v>7031.4500000000025</v>
      </c>
      <c r="H15" s="145">
        <f>('Summary sheet- CONSOLIDATED'!L24+'Summary sheet- CONSOLIDATED'!L17)*10</f>
        <v>3917.0899999999915</v>
      </c>
    </row>
    <row r="16" spans="1:11" ht="18.75" x14ac:dyDescent="0.25">
      <c r="A16" s="137" t="s">
        <v>3</v>
      </c>
      <c r="B16" s="137"/>
      <c r="C16" s="145">
        <f>'Summary sheet- CONSOLIDATED'!D13*10</f>
        <v>6474.6100000000024</v>
      </c>
      <c r="D16" s="145">
        <f>'Summary sheet- CONSOLIDATED'!E13*10</f>
        <v>11500.85</v>
      </c>
      <c r="E16" s="145">
        <f>'Summary sheet- CONSOLIDATED'!F13*10</f>
        <v>12721.049999999996</v>
      </c>
      <c r="F16" s="145">
        <f>'Summary sheet- CONSOLIDATED'!J13*10</f>
        <v>15507.399999999998</v>
      </c>
      <c r="G16" s="145">
        <f>'Summary sheet- CONSOLIDATED'!K13*10</f>
        <v>9252.7400000000034</v>
      </c>
      <c r="H16" s="145">
        <f>'Summary sheet- CONSOLIDATED'!L13*10</f>
        <v>5421.3399999999911</v>
      </c>
    </row>
    <row r="17" spans="1:8" ht="18.75" x14ac:dyDescent="0.25">
      <c r="A17" s="137" t="s">
        <v>168</v>
      </c>
      <c r="B17" s="137"/>
      <c r="C17" s="140">
        <f>'Summary sheet- CONSOLIDATED'!R66</f>
        <v>0.37440002275047968</v>
      </c>
      <c r="D17" s="140">
        <f>'Summary sheet- CONSOLIDATED'!S66</f>
        <v>0.45187054027283841</v>
      </c>
      <c r="E17" s="140">
        <f>'Summary sheet- CONSOLIDATED'!T66</f>
        <v>6.3836787141118442E-2</v>
      </c>
      <c r="F17" s="140">
        <f>'Summary sheet- CONSOLIDATED'!U66</f>
        <v>0.1036233049123001</v>
      </c>
      <c r="G17" s="140">
        <f>'Summary sheet- CONSOLIDATED'!V66</f>
        <v>0.21468424705065925</v>
      </c>
      <c r="H17" s="140">
        <f>'Summary sheet- CONSOLIDATED'!W66</f>
        <v>0.33836808744736319</v>
      </c>
    </row>
    <row r="18" spans="1:8" ht="18.75" x14ac:dyDescent="0.25">
      <c r="A18" s="137" t="s">
        <v>169</v>
      </c>
      <c r="B18" s="137"/>
      <c r="C18" s="140">
        <f>C13/C16</f>
        <v>1.9661863803379658</v>
      </c>
      <c r="D18" s="140">
        <f>D13/D16</f>
        <v>1.5508036362529725</v>
      </c>
      <c r="E18" s="140">
        <f>E13/E16</f>
        <v>0.26288396005046766</v>
      </c>
      <c r="F18" s="140">
        <f>F13/F16</f>
        <v>0.40285412125823811</v>
      </c>
      <c r="G18" s="140">
        <f>G13/G16</f>
        <v>1.4345631672347861</v>
      </c>
      <c r="H18" s="140">
        <f>H13/(H16/9*12)</f>
        <v>2.9445732051485476</v>
      </c>
    </row>
    <row r="19" spans="1:8" ht="18.75" x14ac:dyDescent="0.25">
      <c r="A19" s="141" t="s">
        <v>9</v>
      </c>
      <c r="B19" s="141"/>
      <c r="C19" s="143">
        <f>'Summary sheet- CONSOLIDATED'!D24*10</f>
        <v>2498.1700000000028</v>
      </c>
      <c r="D19" s="143">
        <f>'Summary sheet- CONSOLIDATED'!E24*10</f>
        <v>5715.6400000000012</v>
      </c>
      <c r="E19" s="143">
        <f>'Summary sheet- CONSOLIDATED'!F24*10</f>
        <v>8618.8899999999958</v>
      </c>
      <c r="F19" s="143">
        <f>'Summary sheet- CONSOLIDATED'!J24*10</f>
        <v>10193.699999999999</v>
      </c>
      <c r="G19" s="143">
        <f>'Summary sheet- CONSOLIDATED'!K24*10</f>
        <v>5330.2300000000023</v>
      </c>
      <c r="H19" s="143">
        <f>'Summary sheet- CONSOLIDATED'!L24*10</f>
        <v>1974.2899999999913</v>
      </c>
    </row>
    <row r="20" spans="1:8" ht="18.75" x14ac:dyDescent="0.3">
      <c r="A20" s="137" t="s">
        <v>162</v>
      </c>
      <c r="B20" s="137"/>
      <c r="C20" s="145">
        <f>('Summary sheet- CONSOLIDATED'!R16+'Summary sheet- CONSOLIDATED'!R17+'Summary sheet- CONSOLIDATED'!D17-'Summary sheet- CONSOLIDATED'!Q16-'Summary sheet- CONSOLIDATED'!Q17)*10</f>
        <v>4397.5400000000018</v>
      </c>
      <c r="D20" s="145">
        <f>('Summary sheet- CONSOLIDATED'!S16+'Summary sheet- CONSOLIDATED'!S17+'Summary sheet- CONSOLIDATED'!E17-'Summary sheet- CONSOLIDATED'!R16-'Summary sheet- CONSOLIDATED'!R17)*10</f>
        <v>1441.7600000000004</v>
      </c>
      <c r="E20" s="145">
        <f>('Summary sheet- CONSOLIDATED'!T16+'Summary sheet- CONSOLIDATED'!T17+'Summary sheet- CONSOLIDATED'!F17-'Summary sheet- CONSOLIDATED'!S16-'Summary sheet- CONSOLIDATED'!S17)*10</f>
        <v>734.63999999999885</v>
      </c>
      <c r="F20" s="145">
        <f>('Summary sheet- CONSOLIDATED'!U16+'Summary sheet- CONSOLIDATED'!U17+'Summary sheet- CONSOLIDATED'!J17-'Summary sheet- CONSOLIDATED'!T16-'Summary sheet- CONSOLIDATED'!T17)*10</f>
        <v>3154.619999999999</v>
      </c>
      <c r="G20" s="145">
        <f>('Summary sheet- CONSOLIDATED'!V16+'Summary sheet- CONSOLIDATED'!V17+'Summary sheet- CONSOLIDATED'!K17-'Summary sheet- CONSOLIDATED'!U16-'Summary sheet- CONSOLIDATED'!U17)*10</f>
        <v>5265.1699999999973</v>
      </c>
      <c r="H20" s="151">
        <f>('Summary sheet- CONSOLIDATED'!W16+'Summary sheet- CONSOLIDATED'!W17+'Summary sheet- CONSOLIDATED'!L17-'Summary sheet- CONSOLIDATED'!V16-'Summary sheet- CONSOLIDATED'!V17)*10</f>
        <v>4804.3599999999997</v>
      </c>
    </row>
    <row r="21" spans="1:8" ht="18.75" x14ac:dyDescent="0.3">
      <c r="A21" s="6" t="s">
        <v>170</v>
      </c>
      <c r="B21" s="6"/>
      <c r="C21" s="152">
        <v>15000</v>
      </c>
      <c r="D21" s="152">
        <v>15000</v>
      </c>
      <c r="E21" s="152">
        <v>15000</v>
      </c>
      <c r="F21" s="152">
        <v>15000</v>
      </c>
      <c r="G21" s="152"/>
      <c r="H21" s="152"/>
    </row>
    <row r="22" spans="1:8" ht="18.75" x14ac:dyDescent="0.3">
      <c r="A22" s="6" t="s">
        <v>145</v>
      </c>
      <c r="B22" s="6"/>
      <c r="C22" s="152">
        <f>C13+C21</f>
        <v>27730.29</v>
      </c>
      <c r="D22" s="152">
        <f>D13+D21</f>
        <v>32835.56</v>
      </c>
      <c r="E22" s="152">
        <f>E13+E21</f>
        <v>18344.16</v>
      </c>
      <c r="F22" s="152">
        <f>F13+F21</f>
        <v>21247.22</v>
      </c>
      <c r="G22" s="152">
        <f t="shared" ref="G22:H22" si="4">G13+G21</f>
        <v>13273.64</v>
      </c>
      <c r="H22" s="152">
        <f t="shared" si="4"/>
        <v>21284.710000000003</v>
      </c>
    </row>
    <row r="23" spans="1:8" ht="18.75" x14ac:dyDescent="0.3">
      <c r="A23" s="137" t="s">
        <v>188</v>
      </c>
      <c r="B23" s="6"/>
      <c r="C23" s="29">
        <f t="shared" ref="C23:H23" si="5">C22/C16</f>
        <v>4.2829282381487053</v>
      </c>
      <c r="D23" s="29">
        <f t="shared" si="5"/>
        <v>2.8550550611476542</v>
      </c>
      <c r="E23" s="29">
        <f t="shared" si="5"/>
        <v>1.4420319077434651</v>
      </c>
      <c r="F23" s="29">
        <f t="shared" si="5"/>
        <v>1.3701342584830472</v>
      </c>
      <c r="G23" s="29">
        <f t="shared" si="5"/>
        <v>1.4345631672347861</v>
      </c>
      <c r="H23" s="29">
        <f t="shared" si="5"/>
        <v>3.9260976068647304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8" sqref="D8"/>
    </sheetView>
  </sheetViews>
  <sheetFormatPr defaultColWidth="8.85546875" defaultRowHeight="15" x14ac:dyDescent="0.25"/>
  <cols>
    <col min="1" max="1" width="29.7109375" bestFit="1" customWidth="1"/>
    <col min="2" max="2" width="12.42578125" customWidth="1"/>
    <col min="3" max="3" width="10.7109375" bestFit="1" customWidth="1"/>
    <col min="4" max="4" width="10" bestFit="1" customWidth="1"/>
    <col min="5" max="5" width="10.42578125" bestFit="1" customWidth="1"/>
    <col min="6" max="6" width="10" bestFit="1" customWidth="1"/>
  </cols>
  <sheetData>
    <row r="1" spans="1:7" x14ac:dyDescent="0.25">
      <c r="A1" s="114" t="s">
        <v>121</v>
      </c>
      <c r="B1" s="114"/>
      <c r="E1" s="114" t="s">
        <v>124</v>
      </c>
    </row>
    <row r="2" spans="1:7" s="114" customFormat="1" x14ac:dyDescent="0.25">
      <c r="A2" s="113" t="s">
        <v>116</v>
      </c>
      <c r="B2" s="113" t="s">
        <v>183</v>
      </c>
      <c r="C2" s="113" t="s">
        <v>119</v>
      </c>
      <c r="D2" s="113" t="s">
        <v>118</v>
      </c>
      <c r="E2" s="113" t="s">
        <v>117</v>
      </c>
      <c r="F2" s="113" t="s">
        <v>120</v>
      </c>
    </row>
    <row r="3" spans="1:7" x14ac:dyDescent="0.25">
      <c r="A3" s="112" t="s">
        <v>114</v>
      </c>
      <c r="B3" s="115">
        <v>-70.983393999975675</v>
      </c>
      <c r="C3" s="115">
        <v>59.174552299999931</v>
      </c>
      <c r="D3" s="115">
        <v>155.1191292</v>
      </c>
      <c r="E3" s="115">
        <v>201.86</v>
      </c>
      <c r="F3" s="115">
        <f>C3+D3+E3+B3</f>
        <v>345.1702875000243</v>
      </c>
    </row>
    <row r="4" spans="1:7" x14ac:dyDescent="0.25">
      <c r="A4" s="112" t="s">
        <v>115</v>
      </c>
      <c r="B4" s="115">
        <v>-56.954009699999986</v>
      </c>
      <c r="C4" s="115">
        <v>83.93071479999999</v>
      </c>
      <c r="D4" s="115">
        <v>107.22000000000001</v>
      </c>
      <c r="E4" s="115">
        <v>75.05</v>
      </c>
      <c r="F4" s="115">
        <f>C4+D4+E4+B4</f>
        <v>209.24670510000004</v>
      </c>
    </row>
    <row r="5" spans="1:7" s="114" customFormat="1" x14ac:dyDescent="0.25">
      <c r="A5" s="113" t="s">
        <v>122</v>
      </c>
      <c r="B5" s="116">
        <f>SUM(B3:B4)</f>
        <v>-127.93740369997566</v>
      </c>
      <c r="C5" s="116">
        <f>C3-C4</f>
        <v>-24.756162500000059</v>
      </c>
      <c r="D5" s="116">
        <f t="shared" ref="D5:E5" si="0">D3-D4</f>
        <v>47.89912919999999</v>
      </c>
      <c r="E5" s="116">
        <f t="shared" si="0"/>
        <v>126.81000000000002</v>
      </c>
      <c r="F5" s="116">
        <f>F3-F4</f>
        <v>135.92358240002426</v>
      </c>
    </row>
    <row r="8" spans="1:7" x14ac:dyDescent="0.25">
      <c r="A8" s="114" t="s">
        <v>121</v>
      </c>
      <c r="B8" s="114"/>
      <c r="E8" s="114"/>
    </row>
    <row r="9" spans="1:7" x14ac:dyDescent="0.25">
      <c r="A9" s="114" t="s">
        <v>147</v>
      </c>
      <c r="B9" s="114"/>
      <c r="E9" s="114" t="s">
        <v>124</v>
      </c>
    </row>
    <row r="10" spans="1:7" x14ac:dyDescent="0.25">
      <c r="A10" s="113" t="s">
        <v>116</v>
      </c>
      <c r="B10" s="113" t="s">
        <v>184</v>
      </c>
      <c r="C10" s="113" t="s">
        <v>142</v>
      </c>
      <c r="D10" s="113" t="s">
        <v>146</v>
      </c>
      <c r="E10" s="113" t="s">
        <v>148</v>
      </c>
      <c r="F10" s="113" t="s">
        <v>144</v>
      </c>
      <c r="G10" s="113" t="s">
        <v>143</v>
      </c>
    </row>
    <row r="11" spans="1:7" x14ac:dyDescent="0.25">
      <c r="A11" s="112" t="s">
        <v>185</v>
      </c>
      <c r="B11" s="112"/>
      <c r="C11" s="131">
        <v>4833</v>
      </c>
      <c r="D11" s="131">
        <v>3833.33</v>
      </c>
      <c r="E11" s="132">
        <v>4166.67</v>
      </c>
      <c r="F11" s="132">
        <v>4500</v>
      </c>
      <c r="G11" s="132">
        <v>2900</v>
      </c>
    </row>
    <row r="12" spans="1:7" x14ac:dyDescent="0.25">
      <c r="A12" s="112" t="s">
        <v>141</v>
      </c>
      <c r="B12" s="153"/>
      <c r="C12" s="133">
        <v>18112.330827599999</v>
      </c>
      <c r="D12" s="131">
        <v>13194.044861800001</v>
      </c>
      <c r="E12" s="133">
        <v>15615.950000000003</v>
      </c>
      <c r="F12" s="133">
        <v>9434.8799999999992</v>
      </c>
      <c r="G12" s="133">
        <v>8632.1477710999989</v>
      </c>
    </row>
    <row r="13" spans="1:7" x14ac:dyDescent="0.25">
      <c r="A13" s="113" t="s">
        <v>145</v>
      </c>
      <c r="B13" s="134">
        <f t="shared" ref="B13:G13" si="1">SUM(B11:B12)</f>
        <v>0</v>
      </c>
      <c r="C13" s="134">
        <f t="shared" si="1"/>
        <v>22945.330827599999</v>
      </c>
      <c r="D13" s="134">
        <f t="shared" si="1"/>
        <v>17027.374861800003</v>
      </c>
      <c r="E13" s="134">
        <f t="shared" si="1"/>
        <v>19782.620000000003</v>
      </c>
      <c r="F13" s="134">
        <f t="shared" si="1"/>
        <v>13934.88</v>
      </c>
      <c r="G13" s="134">
        <f t="shared" si="1"/>
        <v>11532.147771099999</v>
      </c>
    </row>
    <row r="14" spans="1:7" x14ac:dyDescent="0.25">
      <c r="C14" s="130"/>
    </row>
    <row r="16" spans="1:7" x14ac:dyDescent="0.25">
      <c r="A16" s="113" t="s">
        <v>116</v>
      </c>
      <c r="B16" s="113"/>
      <c r="C16" s="113" t="s">
        <v>142</v>
      </c>
      <c r="D16" s="113" t="s">
        <v>146</v>
      </c>
      <c r="E16" s="113" t="s">
        <v>148</v>
      </c>
      <c r="F16" s="113" t="s">
        <v>144</v>
      </c>
      <c r="G16" s="113" t="s">
        <v>143</v>
      </c>
    </row>
    <row r="17" spans="1:7" x14ac:dyDescent="0.25">
      <c r="A17" s="112" t="s">
        <v>151</v>
      </c>
      <c r="B17" s="112"/>
      <c r="C17" s="131">
        <v>23907.528627700001</v>
      </c>
      <c r="D17" s="131">
        <v>20719.853280099996</v>
      </c>
      <c r="E17" s="132">
        <v>24018.728732099997</v>
      </c>
      <c r="F17" s="132">
        <v>19540.455579400001</v>
      </c>
      <c r="G17" s="132">
        <v>18635.286080799997</v>
      </c>
    </row>
    <row r="18" spans="1:7" x14ac:dyDescent="0.25">
      <c r="A18" s="112" t="s">
        <v>149</v>
      </c>
      <c r="B18" s="153"/>
      <c r="C18" s="133">
        <v>31295.167885351679</v>
      </c>
      <c r="D18" s="131">
        <v>30615.895392984366</v>
      </c>
      <c r="E18" s="133">
        <v>28618.414048610113</v>
      </c>
      <c r="F18" s="133">
        <v>28693.234940443297</v>
      </c>
      <c r="G18" s="133">
        <v>28621.005129068992</v>
      </c>
    </row>
    <row r="19" spans="1:7" x14ac:dyDescent="0.25">
      <c r="A19" s="112" t="s">
        <v>150</v>
      </c>
      <c r="B19" s="131">
        <v>6945.7704791594415</v>
      </c>
      <c r="C19" s="131">
        <v>6945.7704791594415</v>
      </c>
      <c r="D19" s="131">
        <v>8175</v>
      </c>
      <c r="E19" s="131">
        <v>7473.6068700000023</v>
      </c>
      <c r="F19" s="131">
        <v>8170</v>
      </c>
      <c r="G19" s="131">
        <v>7872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8"/>
  <sheetViews>
    <sheetView topLeftCell="A3" workbookViewId="0">
      <selection activeCell="F12" sqref="F12"/>
    </sheetView>
  </sheetViews>
  <sheetFormatPr defaultColWidth="8.85546875" defaultRowHeight="15" x14ac:dyDescent="0.25"/>
  <cols>
    <col min="1" max="1" width="11.42578125" customWidth="1"/>
    <col min="2" max="5" width="9.140625" customWidth="1"/>
    <col min="6" max="6" width="11" customWidth="1"/>
    <col min="7" max="7" width="9.140625" customWidth="1"/>
    <col min="9" max="9" width="13.42578125" customWidth="1"/>
    <col min="10" max="19" width="0" hidden="1" customWidth="1"/>
  </cols>
  <sheetData>
    <row r="2" spans="1:22" x14ac:dyDescent="0.25">
      <c r="A2" s="114" t="s">
        <v>123</v>
      </c>
      <c r="B2" s="117"/>
      <c r="C2" s="117"/>
      <c r="D2" s="117"/>
      <c r="E2" s="117"/>
      <c r="F2" s="117"/>
      <c r="G2" s="117"/>
      <c r="H2" s="118"/>
      <c r="K2" s="119"/>
    </row>
    <row r="3" spans="1:22" x14ac:dyDescent="0.25">
      <c r="A3" s="114" t="s">
        <v>65</v>
      </c>
      <c r="B3" s="117"/>
      <c r="C3" s="117"/>
      <c r="D3" s="117"/>
      <c r="E3" s="117"/>
      <c r="F3" s="117"/>
      <c r="G3" s="117"/>
      <c r="H3" s="114"/>
      <c r="I3" s="114" t="s">
        <v>181</v>
      </c>
    </row>
    <row r="4" spans="1:22" x14ac:dyDescent="0.25">
      <c r="A4" s="212" t="s">
        <v>125</v>
      </c>
      <c r="B4" s="214" t="s">
        <v>178</v>
      </c>
      <c r="C4" s="215"/>
      <c r="D4" s="215"/>
      <c r="E4" s="215"/>
      <c r="F4" s="215"/>
      <c r="G4" s="215"/>
      <c r="H4" s="215"/>
      <c r="I4" s="216"/>
      <c r="J4" s="214" t="s">
        <v>137</v>
      </c>
      <c r="K4" s="215"/>
      <c r="L4" s="215"/>
      <c r="M4" s="215"/>
      <c r="N4" s="215"/>
      <c r="O4" s="215"/>
      <c r="P4" s="215"/>
      <c r="Q4" s="216"/>
    </row>
    <row r="5" spans="1:22" ht="45" x14ac:dyDescent="0.25">
      <c r="A5" s="213"/>
      <c r="B5" s="120" t="s">
        <v>126</v>
      </c>
      <c r="C5" s="120" t="s">
        <v>127</v>
      </c>
      <c r="D5" s="120" t="s">
        <v>128</v>
      </c>
      <c r="E5" s="120" t="s">
        <v>127</v>
      </c>
      <c r="F5" s="120" t="s">
        <v>129</v>
      </c>
      <c r="G5" s="120" t="s">
        <v>127</v>
      </c>
      <c r="H5" s="120" t="s">
        <v>120</v>
      </c>
      <c r="I5" s="121" t="s">
        <v>130</v>
      </c>
      <c r="J5" s="120" t="s">
        <v>126</v>
      </c>
      <c r="K5" s="120" t="s">
        <v>127</v>
      </c>
      <c r="L5" s="120" t="s">
        <v>128</v>
      </c>
      <c r="M5" s="120" t="s">
        <v>127</v>
      </c>
      <c r="N5" s="120" t="s">
        <v>129</v>
      </c>
      <c r="O5" s="120" t="s">
        <v>127</v>
      </c>
      <c r="P5" s="120" t="s">
        <v>120</v>
      </c>
      <c r="Q5" s="121" t="s">
        <v>130</v>
      </c>
    </row>
    <row r="6" spans="1:22" x14ac:dyDescent="0.25">
      <c r="A6" s="112" t="s">
        <v>131</v>
      </c>
      <c r="B6" s="122">
        <v>85.449999999999989</v>
      </c>
      <c r="C6" s="123">
        <f>B6/$B$8</f>
        <v>0.25030024312370014</v>
      </c>
      <c r="D6" s="122">
        <v>314</v>
      </c>
      <c r="E6" s="123">
        <f>D6/$D$8</f>
        <v>0.86027397260273974</v>
      </c>
      <c r="F6" s="122">
        <v>107.05000000000001</v>
      </c>
      <c r="G6" s="123">
        <f>F6/$F$8</f>
        <v>0.76986695433297381</v>
      </c>
      <c r="H6" s="122">
        <f>F6+D6+B6</f>
        <v>506.5</v>
      </c>
      <c r="I6" s="124">
        <f>H6/H8</f>
        <v>0.59909632853898553</v>
      </c>
      <c r="J6" s="122"/>
      <c r="K6" s="123"/>
      <c r="L6" s="122"/>
      <c r="M6" s="123"/>
      <c r="N6" s="122"/>
      <c r="O6" s="123"/>
      <c r="P6" s="122"/>
      <c r="Q6" s="125" t="e">
        <f>P6/P8</f>
        <v>#DIV/0!</v>
      </c>
    </row>
    <row r="7" spans="1:22" x14ac:dyDescent="0.25">
      <c r="A7" s="112" t="s">
        <v>132</v>
      </c>
      <c r="B7" s="122">
        <v>255.94</v>
      </c>
      <c r="C7" s="123">
        <f>B7/$B$8</f>
        <v>0.74969975687629986</v>
      </c>
      <c r="D7" s="122">
        <v>51</v>
      </c>
      <c r="E7" s="123">
        <f>D7/$D$8</f>
        <v>0.13972602739726028</v>
      </c>
      <c r="F7" s="122">
        <v>32</v>
      </c>
      <c r="G7" s="123">
        <f>F7/$F$8</f>
        <v>0.23013304566702622</v>
      </c>
      <c r="H7" s="122">
        <f>F7+D7+B7</f>
        <v>338.94</v>
      </c>
      <c r="I7" s="124">
        <f>H7/H8</f>
        <v>0.40090367146101435</v>
      </c>
      <c r="J7" s="122"/>
      <c r="K7" s="123"/>
      <c r="L7" s="122"/>
      <c r="M7" s="123"/>
      <c r="N7" s="122"/>
      <c r="O7" s="123"/>
      <c r="P7" s="122"/>
      <c r="Q7" s="125" t="e">
        <f>P7/P8</f>
        <v>#DIV/0!</v>
      </c>
    </row>
    <row r="8" spans="1:22" x14ac:dyDescent="0.25">
      <c r="A8" s="113" t="s">
        <v>120</v>
      </c>
      <c r="B8" s="120">
        <v>341.39</v>
      </c>
      <c r="C8" s="123"/>
      <c r="D8" s="120">
        <f t="shared" ref="D8" si="0">SUM(D6:D7)</f>
        <v>365</v>
      </c>
      <c r="E8" s="123"/>
      <c r="F8" s="120">
        <v>139.05000000000001</v>
      </c>
      <c r="G8" s="123"/>
      <c r="H8" s="120">
        <f>H6+H7</f>
        <v>845.44</v>
      </c>
      <c r="I8" s="126">
        <f>SUM(I6:I7)</f>
        <v>0.99999999999999989</v>
      </c>
      <c r="J8" s="120">
        <f t="shared" ref="J8:O8" si="1">SUM(J6:J7)</f>
        <v>0</v>
      </c>
      <c r="K8" s="123">
        <f t="shared" si="1"/>
        <v>0</v>
      </c>
      <c r="L8" s="120">
        <f t="shared" si="1"/>
        <v>0</v>
      </c>
      <c r="M8" s="123">
        <f t="shared" si="1"/>
        <v>0</v>
      </c>
      <c r="N8" s="120">
        <f t="shared" si="1"/>
        <v>0</v>
      </c>
      <c r="O8" s="123">
        <f t="shared" si="1"/>
        <v>0</v>
      </c>
      <c r="P8" s="120">
        <f>P6+P7</f>
        <v>0</v>
      </c>
      <c r="Q8" s="126" t="e">
        <f t="shared" ref="Q8" si="2">SUM(Q6:Q7)</f>
        <v>#DIV/0!</v>
      </c>
      <c r="U8">
        <f>845</f>
        <v>845</v>
      </c>
      <c r="V8" s="118">
        <f>H8-U8</f>
        <v>0.44000000000005457</v>
      </c>
    </row>
    <row r="9" spans="1:22" x14ac:dyDescent="0.25">
      <c r="B9" s="155"/>
      <c r="C9" s="135"/>
      <c r="D9" s="135"/>
      <c r="E9" s="135"/>
      <c r="F9" s="155"/>
      <c r="H9" s="135"/>
    </row>
    <row r="10" spans="1:22" x14ac:dyDescent="0.25">
      <c r="H10" s="118"/>
    </row>
    <row r="11" spans="1:22" x14ac:dyDescent="0.25">
      <c r="A11" s="114" t="s">
        <v>123</v>
      </c>
      <c r="B11" s="117"/>
      <c r="C11" s="117"/>
      <c r="D11" s="117"/>
      <c r="E11" s="117"/>
      <c r="F11" s="117"/>
      <c r="G11" s="117"/>
      <c r="H11" s="117"/>
    </row>
    <row r="12" spans="1:22" x14ac:dyDescent="0.25">
      <c r="A12" s="114" t="s">
        <v>180</v>
      </c>
      <c r="B12" s="117"/>
      <c r="C12" s="117"/>
      <c r="D12" s="117"/>
      <c r="E12" s="117"/>
      <c r="F12" s="117"/>
      <c r="G12" s="117"/>
      <c r="H12" s="114"/>
      <c r="I12" s="114" t="s">
        <v>181</v>
      </c>
      <c r="J12" s="114"/>
    </row>
    <row r="13" spans="1:22" x14ac:dyDescent="0.25">
      <c r="A13" s="217" t="s">
        <v>125</v>
      </c>
      <c r="B13" s="211" t="s">
        <v>179</v>
      </c>
      <c r="C13" s="211"/>
      <c r="D13" s="211"/>
      <c r="E13" s="211"/>
      <c r="F13" s="211"/>
      <c r="G13" s="211"/>
      <c r="H13" s="211"/>
      <c r="I13" s="211"/>
      <c r="J13" s="211" t="s">
        <v>138</v>
      </c>
      <c r="K13" s="211"/>
      <c r="L13" s="211"/>
      <c r="M13" s="211"/>
      <c r="N13" s="211"/>
      <c r="O13" s="211"/>
      <c r="P13" s="211"/>
      <c r="Q13" s="211"/>
    </row>
    <row r="14" spans="1:22" ht="45" x14ac:dyDescent="0.25">
      <c r="A14" s="217"/>
      <c r="B14" s="218" t="s">
        <v>134</v>
      </c>
      <c r="C14" s="219"/>
      <c r="D14" s="220"/>
      <c r="E14" s="127" t="s">
        <v>127</v>
      </c>
      <c r="F14" s="127" t="s">
        <v>129</v>
      </c>
      <c r="G14" s="127" t="s">
        <v>127</v>
      </c>
      <c r="H14" s="127" t="s">
        <v>120</v>
      </c>
      <c r="I14" s="128" t="s">
        <v>182</v>
      </c>
      <c r="J14" s="127" t="s">
        <v>128</v>
      </c>
      <c r="K14" s="127" t="s">
        <v>127</v>
      </c>
      <c r="L14" s="127" t="s">
        <v>126</v>
      </c>
      <c r="M14" s="127" t="s">
        <v>127</v>
      </c>
      <c r="N14" s="127" t="s">
        <v>129</v>
      </c>
      <c r="O14" s="127" t="s">
        <v>127</v>
      </c>
      <c r="P14" s="127" t="s">
        <v>120</v>
      </c>
      <c r="Q14" s="128" t="s">
        <v>135</v>
      </c>
    </row>
    <row r="15" spans="1:22" x14ac:dyDescent="0.25">
      <c r="A15" s="112" t="s">
        <v>131</v>
      </c>
      <c r="B15" s="221">
        <f>630.68-329.24-20-101</f>
        <v>180.43999999999994</v>
      </c>
      <c r="C15" s="222"/>
      <c r="D15" s="223"/>
      <c r="E15" s="123">
        <f>B15/$B$17</f>
        <v>0.35402605556427552</v>
      </c>
      <c r="F15" s="122">
        <f>121-20</f>
        <v>101</v>
      </c>
      <c r="G15" s="123">
        <f>F15/$F$17</f>
        <v>0.83471074380165289</v>
      </c>
      <c r="H15" s="122">
        <f>B15+F15</f>
        <v>281.43999999999994</v>
      </c>
      <c r="I15" s="124">
        <f>H15/H17</f>
        <v>0.4462484936893511</v>
      </c>
      <c r="J15" s="122"/>
      <c r="K15" s="123"/>
      <c r="L15" s="122"/>
      <c r="M15" s="123"/>
      <c r="N15" s="122"/>
      <c r="O15" s="123"/>
      <c r="P15" s="122"/>
      <c r="Q15" s="125" t="e">
        <f>P15/P17</f>
        <v>#DIV/0!</v>
      </c>
    </row>
    <row r="16" spans="1:22" x14ac:dyDescent="0.25">
      <c r="A16" s="112" t="s">
        <v>136</v>
      </c>
      <c r="B16" s="221">
        <v>329.24</v>
      </c>
      <c r="C16" s="222"/>
      <c r="D16" s="223"/>
      <c r="E16" s="123">
        <f>B16/$B$17</f>
        <v>0.64597394443572442</v>
      </c>
      <c r="F16" s="122">
        <v>20</v>
      </c>
      <c r="G16" s="123">
        <f>F16/$F$17</f>
        <v>0.16528925619834711</v>
      </c>
      <c r="H16" s="122">
        <f>B16+F16</f>
        <v>349.24</v>
      </c>
      <c r="I16" s="124">
        <f>H16/H17</f>
        <v>0.55375150631064884</v>
      </c>
      <c r="J16" s="122"/>
      <c r="K16" s="123"/>
      <c r="L16" s="122"/>
      <c r="M16" s="123"/>
      <c r="N16" s="122"/>
      <c r="O16" s="123"/>
      <c r="P16" s="122"/>
      <c r="Q16" s="125" t="e">
        <f>P16/P17</f>
        <v>#DIV/0!</v>
      </c>
    </row>
    <row r="17" spans="1:17" x14ac:dyDescent="0.25">
      <c r="A17" s="113" t="s">
        <v>120</v>
      </c>
      <c r="B17" s="221">
        <f>SUM(B15+B16)</f>
        <v>509.67999999999995</v>
      </c>
      <c r="C17" s="222"/>
      <c r="D17" s="223"/>
      <c r="E17" s="123"/>
      <c r="F17" s="120">
        <f t="shared" ref="F17" si="3">SUM(F15:F16)</f>
        <v>121</v>
      </c>
      <c r="G17" s="123"/>
      <c r="H17" s="120">
        <f t="shared" ref="H17:Q17" si="4">SUM(H15:H16)</f>
        <v>630.67999999999995</v>
      </c>
      <c r="I17" s="129">
        <f t="shared" si="4"/>
        <v>1</v>
      </c>
      <c r="J17" s="120">
        <f t="shared" si="4"/>
        <v>0</v>
      </c>
      <c r="K17" s="123">
        <f t="shared" si="4"/>
        <v>0</v>
      </c>
      <c r="L17" s="120">
        <f t="shared" si="4"/>
        <v>0</v>
      </c>
      <c r="M17" s="123">
        <f t="shared" si="4"/>
        <v>0</v>
      </c>
      <c r="N17" s="120">
        <f t="shared" si="4"/>
        <v>0</v>
      </c>
      <c r="O17" s="123">
        <f t="shared" si="4"/>
        <v>0</v>
      </c>
      <c r="P17" s="120">
        <f t="shared" si="4"/>
        <v>0</v>
      </c>
      <c r="Q17" s="129" t="e">
        <f t="shared" si="4"/>
        <v>#DIV/0!</v>
      </c>
    </row>
    <row r="20" spans="1:17" hidden="1" x14ac:dyDescent="0.25">
      <c r="A20" s="114" t="s">
        <v>123</v>
      </c>
      <c r="B20" s="117"/>
      <c r="C20" s="117"/>
      <c r="D20" s="117"/>
      <c r="E20" s="117"/>
      <c r="F20" s="117"/>
      <c r="G20" s="117"/>
      <c r="H20" s="117"/>
    </row>
    <row r="21" spans="1:17" hidden="1" x14ac:dyDescent="0.25">
      <c r="A21" s="114" t="str">
        <f>A3</f>
        <v>Revenue from Operations</v>
      </c>
      <c r="B21" s="117"/>
      <c r="C21" s="117"/>
      <c r="D21" s="117"/>
      <c r="E21" s="117"/>
      <c r="F21" s="117"/>
      <c r="G21" s="117"/>
      <c r="H21" s="114" t="s">
        <v>124</v>
      </c>
      <c r="J21" s="114"/>
    </row>
    <row r="22" spans="1:17" hidden="1" x14ac:dyDescent="0.25">
      <c r="A22" s="217" t="s">
        <v>125</v>
      </c>
      <c r="B22" s="211" t="s">
        <v>139</v>
      </c>
      <c r="C22" s="211"/>
      <c r="D22" s="211"/>
      <c r="E22" s="211"/>
      <c r="F22" s="211"/>
      <c r="G22" s="211"/>
      <c r="H22" s="211"/>
      <c r="I22" s="211"/>
      <c r="J22" s="211" t="s">
        <v>140</v>
      </c>
      <c r="K22" s="211"/>
      <c r="L22" s="211"/>
      <c r="M22" s="211"/>
      <c r="N22" s="211"/>
      <c r="O22" s="211"/>
      <c r="P22" s="211"/>
      <c r="Q22" s="211"/>
    </row>
    <row r="23" spans="1:17" ht="45" hidden="1" x14ac:dyDescent="0.25">
      <c r="A23" s="217"/>
      <c r="B23" s="127" t="s">
        <v>128</v>
      </c>
      <c r="C23" s="127" t="s">
        <v>127</v>
      </c>
      <c r="D23" s="127" t="s">
        <v>126</v>
      </c>
      <c r="E23" s="127" t="s">
        <v>127</v>
      </c>
      <c r="F23" s="127" t="s">
        <v>129</v>
      </c>
      <c r="G23" s="127" t="s">
        <v>127</v>
      </c>
      <c r="H23" s="127" t="s">
        <v>120</v>
      </c>
      <c r="I23" s="128" t="s">
        <v>135</v>
      </c>
      <c r="J23" s="127" t="s">
        <v>128</v>
      </c>
      <c r="K23" s="127" t="s">
        <v>127</v>
      </c>
      <c r="L23" s="127" t="s">
        <v>126</v>
      </c>
      <c r="M23" s="127" t="s">
        <v>127</v>
      </c>
      <c r="N23" s="127" t="s">
        <v>129</v>
      </c>
      <c r="O23" s="127" t="s">
        <v>127</v>
      </c>
      <c r="P23" s="127" t="s">
        <v>120</v>
      </c>
      <c r="Q23" s="128" t="s">
        <v>135</v>
      </c>
    </row>
    <row r="24" spans="1:17" hidden="1" x14ac:dyDescent="0.25">
      <c r="A24" s="112" t="s">
        <v>131</v>
      </c>
      <c r="B24" s="122">
        <v>8534.9883287500015</v>
      </c>
      <c r="C24" s="123"/>
      <c r="D24" s="122">
        <v>2334</v>
      </c>
      <c r="E24" s="123"/>
      <c r="F24" s="122"/>
      <c r="G24" s="123"/>
      <c r="H24" s="122"/>
      <c r="I24" s="124" t="e">
        <f>H24/H26</f>
        <v>#DIV/0!</v>
      </c>
      <c r="J24" s="122"/>
      <c r="K24" s="123"/>
      <c r="L24" s="122"/>
      <c r="M24" s="123"/>
      <c r="N24" s="122"/>
      <c r="O24" s="123"/>
      <c r="P24" s="122"/>
      <c r="Q24" s="125" t="e">
        <f>P24/P26</f>
        <v>#DIV/0!</v>
      </c>
    </row>
    <row r="25" spans="1:17" hidden="1" x14ac:dyDescent="0.25">
      <c r="A25" s="112" t="s">
        <v>136</v>
      </c>
      <c r="B25" s="122">
        <v>922.13357670000016</v>
      </c>
      <c r="C25" s="123"/>
      <c r="D25" s="122">
        <v>5010</v>
      </c>
      <c r="E25" s="123"/>
      <c r="F25" s="122"/>
      <c r="G25" s="123"/>
      <c r="H25" s="122"/>
      <c r="I25" s="124" t="e">
        <f>H25/H26</f>
        <v>#DIV/0!</v>
      </c>
      <c r="J25" s="122"/>
      <c r="K25" s="123"/>
      <c r="L25" s="122"/>
      <c r="M25" s="123"/>
      <c r="N25" s="122"/>
      <c r="O25" s="123"/>
      <c r="P25" s="122"/>
      <c r="Q25" s="125" t="e">
        <f>P25/P26</f>
        <v>#DIV/0!</v>
      </c>
    </row>
    <row r="26" spans="1:17" hidden="1" x14ac:dyDescent="0.25">
      <c r="A26" s="113" t="s">
        <v>120</v>
      </c>
      <c r="B26" s="120">
        <f t="shared" ref="B26:G26" si="5">SUM(B24:B25)</f>
        <v>9457.1219054500016</v>
      </c>
      <c r="C26" s="123">
        <f t="shared" si="5"/>
        <v>0</v>
      </c>
      <c r="D26" s="120">
        <f t="shared" si="5"/>
        <v>7344</v>
      </c>
      <c r="E26" s="123">
        <f t="shared" si="5"/>
        <v>0</v>
      </c>
      <c r="F26" s="120">
        <f t="shared" si="5"/>
        <v>0</v>
      </c>
      <c r="G26" s="123">
        <f t="shared" si="5"/>
        <v>0</v>
      </c>
      <c r="H26" s="120">
        <f t="shared" ref="H26:Q26" si="6">SUM(H24:H25)</f>
        <v>0</v>
      </c>
      <c r="I26" s="129" t="e">
        <f t="shared" si="6"/>
        <v>#DIV/0!</v>
      </c>
      <c r="J26" s="120">
        <f t="shared" si="6"/>
        <v>0</v>
      </c>
      <c r="K26" s="123">
        <f t="shared" si="6"/>
        <v>0</v>
      </c>
      <c r="L26" s="120">
        <f t="shared" si="6"/>
        <v>0</v>
      </c>
      <c r="M26" s="123">
        <f t="shared" si="6"/>
        <v>0</v>
      </c>
      <c r="N26" s="120">
        <f t="shared" si="6"/>
        <v>0</v>
      </c>
      <c r="O26" s="123">
        <f t="shared" si="6"/>
        <v>0</v>
      </c>
      <c r="P26" s="120">
        <f t="shared" si="6"/>
        <v>0</v>
      </c>
      <c r="Q26" s="129" t="e">
        <f t="shared" si="6"/>
        <v>#DIV/0!</v>
      </c>
    </row>
    <row r="27" spans="1:17" hidden="1" x14ac:dyDescent="0.25"/>
    <row r="28" spans="1:17" hidden="1" x14ac:dyDescent="0.25"/>
    <row r="29" spans="1:17" hidden="1" x14ac:dyDescent="0.25"/>
    <row r="30" spans="1:17" hidden="1" x14ac:dyDescent="0.25">
      <c r="A30" s="114" t="s">
        <v>123</v>
      </c>
      <c r="B30" s="117"/>
      <c r="C30" s="117"/>
      <c r="D30" s="117"/>
      <c r="E30" s="117"/>
      <c r="F30" s="117"/>
      <c r="G30" s="117"/>
      <c r="H30" s="117"/>
    </row>
    <row r="31" spans="1:17" hidden="1" x14ac:dyDescent="0.25">
      <c r="A31" s="114" t="s">
        <v>133</v>
      </c>
      <c r="B31" s="117"/>
      <c r="C31" s="117"/>
      <c r="D31" s="117"/>
      <c r="E31" s="117"/>
      <c r="F31" s="117"/>
      <c r="G31" s="117"/>
      <c r="H31" s="114" t="s">
        <v>124</v>
      </c>
      <c r="J31" s="114"/>
    </row>
    <row r="32" spans="1:17" hidden="1" x14ac:dyDescent="0.25">
      <c r="A32" s="217" t="s">
        <v>125</v>
      </c>
      <c r="B32" s="211" t="s">
        <v>139</v>
      </c>
      <c r="C32" s="211"/>
      <c r="D32" s="211"/>
      <c r="E32" s="211"/>
      <c r="F32" s="211"/>
      <c r="G32" s="211"/>
      <c r="H32" s="211"/>
      <c r="I32" s="211"/>
      <c r="J32" s="211" t="s">
        <v>140</v>
      </c>
      <c r="K32" s="211"/>
      <c r="L32" s="211"/>
      <c r="M32" s="211"/>
      <c r="N32" s="211"/>
      <c r="O32" s="211"/>
      <c r="P32" s="211"/>
      <c r="Q32" s="211"/>
    </row>
    <row r="33" spans="1:17" ht="45" hidden="1" x14ac:dyDescent="0.25">
      <c r="A33" s="217"/>
      <c r="B33" s="218" t="s">
        <v>134</v>
      </c>
      <c r="C33" s="219"/>
      <c r="D33" s="220"/>
      <c r="E33" s="127" t="s">
        <v>127</v>
      </c>
      <c r="F33" s="127" t="s">
        <v>129</v>
      </c>
      <c r="G33" s="127" t="s">
        <v>127</v>
      </c>
      <c r="H33" s="127" t="s">
        <v>120</v>
      </c>
      <c r="I33" s="128" t="s">
        <v>135</v>
      </c>
      <c r="J33" s="127" t="s">
        <v>128</v>
      </c>
      <c r="K33" s="127" t="s">
        <v>127</v>
      </c>
      <c r="L33" s="127" t="s">
        <v>126</v>
      </c>
      <c r="M33" s="127" t="s">
        <v>127</v>
      </c>
      <c r="N33" s="127" t="s">
        <v>129</v>
      </c>
      <c r="O33" s="127" t="s">
        <v>127</v>
      </c>
      <c r="P33" s="127" t="s">
        <v>120</v>
      </c>
      <c r="Q33" s="128" t="s">
        <v>135</v>
      </c>
    </row>
    <row r="34" spans="1:17" hidden="1" x14ac:dyDescent="0.25">
      <c r="A34" s="112" t="s">
        <v>131</v>
      </c>
      <c r="B34" s="221"/>
      <c r="C34" s="222"/>
      <c r="D34" s="223"/>
      <c r="E34" s="123"/>
      <c r="F34" s="122"/>
      <c r="G34" s="123"/>
      <c r="H34" s="122"/>
      <c r="I34" s="124" t="e">
        <f>H34/H36</f>
        <v>#DIV/0!</v>
      </c>
      <c r="J34" s="122"/>
      <c r="K34" s="123"/>
      <c r="L34" s="122"/>
      <c r="M34" s="123"/>
      <c r="N34" s="122"/>
      <c r="O34" s="123"/>
      <c r="P34" s="122"/>
      <c r="Q34" s="125" t="e">
        <f>P34/P36</f>
        <v>#DIV/0!</v>
      </c>
    </row>
    <row r="35" spans="1:17" hidden="1" x14ac:dyDescent="0.25">
      <c r="A35" s="112" t="s">
        <v>136</v>
      </c>
      <c r="B35" s="221"/>
      <c r="C35" s="222"/>
      <c r="D35" s="223"/>
      <c r="E35" s="123"/>
      <c r="F35" s="122"/>
      <c r="G35" s="123"/>
      <c r="H35" s="122"/>
      <c r="I35" s="124" t="e">
        <f>H35/H36</f>
        <v>#DIV/0!</v>
      </c>
      <c r="J35" s="122"/>
      <c r="K35" s="123"/>
      <c r="L35" s="122"/>
      <c r="M35" s="123"/>
      <c r="N35" s="122"/>
      <c r="O35" s="123"/>
      <c r="P35" s="122"/>
      <c r="Q35" s="125" t="e">
        <f>P35/P36</f>
        <v>#DIV/0!</v>
      </c>
    </row>
    <row r="36" spans="1:17" hidden="1" x14ac:dyDescent="0.25">
      <c r="A36" s="113" t="s">
        <v>120</v>
      </c>
      <c r="B36" s="221">
        <f>SUM(B34+B35)</f>
        <v>0</v>
      </c>
      <c r="C36" s="222"/>
      <c r="D36" s="223"/>
      <c r="E36" s="123">
        <f t="shared" ref="E36:G36" si="7">SUM(E34:E35)</f>
        <v>0</v>
      </c>
      <c r="F36" s="120">
        <f t="shared" si="7"/>
        <v>0</v>
      </c>
      <c r="G36" s="123">
        <f t="shared" si="7"/>
        <v>0</v>
      </c>
      <c r="H36" s="120">
        <f t="shared" ref="H36:Q36" si="8">SUM(H34:H35)</f>
        <v>0</v>
      </c>
      <c r="I36" s="129" t="e">
        <f t="shared" si="8"/>
        <v>#DIV/0!</v>
      </c>
      <c r="J36" s="120">
        <f t="shared" si="8"/>
        <v>0</v>
      </c>
      <c r="K36" s="123">
        <f t="shared" si="8"/>
        <v>0</v>
      </c>
      <c r="L36" s="120">
        <f t="shared" si="8"/>
        <v>0</v>
      </c>
      <c r="M36" s="123">
        <f t="shared" si="8"/>
        <v>0</v>
      </c>
      <c r="N36" s="120">
        <f t="shared" si="8"/>
        <v>0</v>
      </c>
      <c r="O36" s="123">
        <f t="shared" si="8"/>
        <v>0</v>
      </c>
      <c r="P36" s="120">
        <f t="shared" si="8"/>
        <v>0</v>
      </c>
      <c r="Q36" s="129" t="e">
        <f t="shared" si="8"/>
        <v>#DIV/0!</v>
      </c>
    </row>
    <row r="37" spans="1:17" hidden="1" x14ac:dyDescent="0.25"/>
    <row r="38" spans="1:17" hidden="1" x14ac:dyDescent="0.25"/>
    <row r="39" spans="1:17" hidden="1" x14ac:dyDescent="0.25"/>
    <row r="40" spans="1:17" hidden="1" x14ac:dyDescent="0.25"/>
    <row r="41" spans="1:17" hidden="1" x14ac:dyDescent="0.25"/>
    <row r="42" spans="1:17" hidden="1" x14ac:dyDescent="0.25"/>
    <row r="43" spans="1:17" hidden="1" x14ac:dyDescent="0.25"/>
    <row r="44" spans="1:17" hidden="1" x14ac:dyDescent="0.25"/>
    <row r="45" spans="1:17" hidden="1" x14ac:dyDescent="0.25"/>
    <row r="46" spans="1:17" hidden="1" x14ac:dyDescent="0.25"/>
    <row r="47" spans="1:17" hidden="1" x14ac:dyDescent="0.25"/>
    <row r="48" spans="1:17" hidden="1" x14ac:dyDescent="0.25"/>
  </sheetData>
  <mergeCells count="20">
    <mergeCell ref="B36:D36"/>
    <mergeCell ref="A32:A33"/>
    <mergeCell ref="B32:I32"/>
    <mergeCell ref="J32:Q32"/>
    <mergeCell ref="B33:D33"/>
    <mergeCell ref="B34:D34"/>
    <mergeCell ref="B35:D35"/>
    <mergeCell ref="J22:Q22"/>
    <mergeCell ref="A4:A5"/>
    <mergeCell ref="B4:I4"/>
    <mergeCell ref="J4:Q4"/>
    <mergeCell ref="A13:A14"/>
    <mergeCell ref="B13:I13"/>
    <mergeCell ref="J13:Q13"/>
    <mergeCell ref="B14:D14"/>
    <mergeCell ref="B15:D15"/>
    <mergeCell ref="B16:D16"/>
    <mergeCell ref="B17:D17"/>
    <mergeCell ref="A22:A23"/>
    <mergeCell ref="B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sheet- CONSOLIDATED</vt:lpstr>
      <vt:lpstr>ES</vt:lpstr>
      <vt:lpstr>Forex Gain Loss</vt:lpstr>
      <vt:lpstr>Import Export</vt:lpstr>
      <vt:lpstr>'Summary sheet- CONSOLIDATED'!Print_Area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2021-02-09T04:50:32Z</cp:lastPrinted>
  <dcterms:created xsi:type="dcterms:W3CDTF">2017-09-19T08:05:47Z</dcterms:created>
  <dcterms:modified xsi:type="dcterms:W3CDTF">2024-08-09T12:28:22Z</dcterms:modified>
</cp:coreProperties>
</file>