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hwini Raj\Downloads\"/>
    </mc:Choice>
  </mc:AlternateContent>
  <xr:revisionPtr revIDLastSave="0" documentId="8_{A700CF14-BC82-4EE7-8DDF-3D1D4FF517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Sheet" sheetId="10" r:id="rId1"/>
    <sheet name="Peer Comparison" sheetId="5" state="hidden" r:id="rId2"/>
    <sheet name="Working" sheetId="6" state="hidden" r:id="rId3"/>
    <sheet name="Peer Comparison ." sheetId="7" state="hidden" r:id="rId4"/>
    <sheet name="Quarterly" sheetId="9" state="hidden" r:id="rId5"/>
    <sheet name="Workin." sheetId="8" state="hidden" r:id="rId6"/>
  </sheets>
  <externalReferences>
    <externalReference r:id="rId7"/>
  </externalReferences>
  <definedNames>
    <definedName name="CIQWBGuid" hidden="1">"adbd3fb0-c754-4820-acde-c5f2da1f4f06"</definedName>
    <definedName name="CIQWBInfo" hidden="1">"{ ""CIQVersion"":""9.49.2423.4439"" }"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"07/31/2022 17:48:24"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0" l="1"/>
  <c r="J51" i="10"/>
  <c r="J54" i="10"/>
  <c r="J56" i="10" s="1"/>
  <c r="J62" i="10"/>
  <c r="J60" i="10"/>
  <c r="J63" i="10" s="1"/>
  <c r="U62" i="10"/>
  <c r="U59" i="10"/>
  <c r="U30" i="10"/>
  <c r="U54" i="10" s="1"/>
  <c r="U43" i="10"/>
  <c r="U41" i="10" s="1"/>
  <c r="U55" i="10" s="1"/>
  <c r="U6" i="10"/>
  <c r="U11" i="10" s="1"/>
  <c r="J9" i="10"/>
  <c r="J18" i="10" s="1"/>
  <c r="J5" i="10"/>
  <c r="J6" i="10" s="1"/>
  <c r="I62" i="10"/>
  <c r="J14" i="10"/>
  <c r="U60" i="10" l="1"/>
  <c r="U63" i="10" s="1"/>
  <c r="J29" i="10"/>
  <c r="J22" i="10"/>
  <c r="U13" i="10"/>
  <c r="U49" i="10"/>
  <c r="J11" i="10"/>
  <c r="T71" i="10"/>
  <c r="T69" i="10"/>
  <c r="S41" i="10" l="1"/>
  <c r="S30" i="10"/>
  <c r="T41" i="10"/>
  <c r="T30" i="10"/>
  <c r="I41" i="10"/>
  <c r="I15" i="10"/>
  <c r="I9" i="10"/>
  <c r="I18" i="10" s="1"/>
  <c r="I29" i="10" s="1"/>
  <c r="J32" i="10" l="1"/>
  <c r="J33" i="10" s="1"/>
  <c r="J31" i="10"/>
  <c r="T49" i="10"/>
  <c r="I31" i="10"/>
  <c r="I12" i="10"/>
  <c r="I11" i="10"/>
  <c r="H12" i="10"/>
  <c r="G11" i="10"/>
  <c r="H11" i="10"/>
  <c r="I8" i="10"/>
  <c r="H8" i="10"/>
  <c r="I7" i="10"/>
  <c r="H7" i="10"/>
  <c r="J36" i="10" l="1"/>
  <c r="H51" i="10"/>
  <c r="I51" i="10"/>
  <c r="T54" i="10"/>
  <c r="I40" i="10"/>
  <c r="G8" i="10"/>
  <c r="F8" i="10"/>
  <c r="E8" i="10"/>
  <c r="G7" i="10"/>
  <c r="F7" i="10"/>
  <c r="E7" i="10"/>
  <c r="D7" i="10"/>
  <c r="C7" i="10"/>
  <c r="C6" i="10"/>
  <c r="M75" i="10" s="1"/>
  <c r="D6" i="10"/>
  <c r="N70" i="10" s="1"/>
  <c r="E6" i="10"/>
  <c r="O70" i="10" s="1"/>
  <c r="F6" i="10"/>
  <c r="Q65" i="10" s="1"/>
  <c r="G6" i="10"/>
  <c r="Q70" i="10" s="1"/>
  <c r="H6" i="10"/>
  <c r="R70" i="10" s="1"/>
  <c r="C9" i="10"/>
  <c r="C18" i="10" s="1"/>
  <c r="C29" i="10" s="1"/>
  <c r="D9" i="10"/>
  <c r="E9" i="10"/>
  <c r="E18" i="10" s="1"/>
  <c r="E29" i="10" s="1"/>
  <c r="F9" i="10"/>
  <c r="F18" i="10" s="1"/>
  <c r="G9" i="10"/>
  <c r="G18" i="10" s="1"/>
  <c r="G29" i="10" s="1"/>
  <c r="H9" i="10"/>
  <c r="H18" i="10" s="1"/>
  <c r="H29" i="10" s="1"/>
  <c r="B6" i="10"/>
  <c r="B7" i="10" s="1"/>
  <c r="I6" i="10"/>
  <c r="M6" i="10"/>
  <c r="M11" i="10" s="1"/>
  <c r="N6" i="10"/>
  <c r="N11" i="10" s="1"/>
  <c r="O6" i="10"/>
  <c r="O11" i="10" s="1"/>
  <c r="P6" i="10"/>
  <c r="P11" i="10" s="1"/>
  <c r="Q6" i="10"/>
  <c r="Q11" i="10" s="1"/>
  <c r="R6" i="10"/>
  <c r="R11" i="10" s="1"/>
  <c r="S6" i="10"/>
  <c r="S11" i="10" s="1"/>
  <c r="T6" i="10"/>
  <c r="B9" i="10"/>
  <c r="B18" i="10" s="1"/>
  <c r="B22" i="10" s="1"/>
  <c r="M10" i="10"/>
  <c r="C61" i="10" s="1"/>
  <c r="N10" i="10"/>
  <c r="O10" i="10"/>
  <c r="P10" i="10"/>
  <c r="Q10" i="10"/>
  <c r="R10" i="10"/>
  <c r="S10" i="10"/>
  <c r="C11" i="10"/>
  <c r="D11" i="10"/>
  <c r="E11" i="10"/>
  <c r="F11" i="10"/>
  <c r="D12" i="10"/>
  <c r="E12" i="10"/>
  <c r="F12" i="10"/>
  <c r="G12" i="10"/>
  <c r="C14" i="10"/>
  <c r="D14" i="10"/>
  <c r="E14" i="10"/>
  <c r="F14" i="10"/>
  <c r="G14" i="10"/>
  <c r="H14" i="10"/>
  <c r="I14" i="10"/>
  <c r="D15" i="10"/>
  <c r="E15" i="10"/>
  <c r="F15" i="10"/>
  <c r="G15" i="10"/>
  <c r="H15" i="10"/>
  <c r="F24" i="10"/>
  <c r="M30" i="10"/>
  <c r="M54" i="10" s="1"/>
  <c r="N30" i="10"/>
  <c r="N54" i="10" s="1"/>
  <c r="O30" i="10"/>
  <c r="O54" i="10" s="1"/>
  <c r="P30" i="10"/>
  <c r="Q30" i="10"/>
  <c r="Q54" i="10" s="1"/>
  <c r="R30" i="10"/>
  <c r="R54" i="10" s="1"/>
  <c r="I32" i="10"/>
  <c r="I33" i="10" s="1"/>
  <c r="D35" i="10"/>
  <c r="E35" i="10"/>
  <c r="F35" i="10"/>
  <c r="G35" i="10"/>
  <c r="B40" i="10"/>
  <c r="D40" i="10"/>
  <c r="E40" i="10"/>
  <c r="F40" i="10"/>
  <c r="G40" i="10"/>
  <c r="H40" i="10"/>
  <c r="M41" i="10"/>
  <c r="N41" i="10"/>
  <c r="O41" i="10"/>
  <c r="P41" i="10"/>
  <c r="F41" i="10"/>
  <c r="G41" i="10"/>
  <c r="H41" i="10"/>
  <c r="Q43" i="10"/>
  <c r="Q41" i="10" s="1"/>
  <c r="R43" i="10"/>
  <c r="S49" i="10"/>
  <c r="G49" i="10"/>
  <c r="G50" i="10"/>
  <c r="B52" i="10"/>
  <c r="C52" i="10"/>
  <c r="D47" i="10" s="1"/>
  <c r="D52" i="10" s="1"/>
  <c r="E47" i="10" s="1"/>
  <c r="E52" i="10" s="1"/>
  <c r="F47" i="10" s="1"/>
  <c r="F52" i="10" s="1"/>
  <c r="G47" i="10" s="1"/>
  <c r="G52" i="10" s="1"/>
  <c r="H47" i="10" s="1"/>
  <c r="S54" i="10"/>
  <c r="B54" i="10"/>
  <c r="B56" i="10" s="1"/>
  <c r="C54" i="10"/>
  <c r="C56" i="10" s="1"/>
  <c r="D54" i="10"/>
  <c r="D56" i="10" s="1"/>
  <c r="E54" i="10"/>
  <c r="E56" i="10" s="1"/>
  <c r="F54" i="10"/>
  <c r="G54" i="10"/>
  <c r="H54" i="10"/>
  <c r="H56" i="10" s="1"/>
  <c r="I54" i="10"/>
  <c r="I56" i="10" s="1"/>
  <c r="T55" i="10"/>
  <c r="F55" i="10"/>
  <c r="G55" i="10"/>
  <c r="M59" i="10"/>
  <c r="M62" i="10" s="1"/>
  <c r="N59" i="10"/>
  <c r="N62" i="10" s="1"/>
  <c r="O59" i="10"/>
  <c r="O62" i="10" s="1"/>
  <c r="P59" i="10"/>
  <c r="P62" i="10" s="1"/>
  <c r="Q59" i="10"/>
  <c r="Q62" i="10" s="1"/>
  <c r="R59" i="10"/>
  <c r="R62" i="10" s="1"/>
  <c r="M60" i="10"/>
  <c r="M63" i="10" s="1"/>
  <c r="B60" i="10"/>
  <c r="C60" i="10"/>
  <c r="D60" i="10"/>
  <c r="E60" i="10"/>
  <c r="F60" i="10"/>
  <c r="G60" i="10"/>
  <c r="H60" i="10"/>
  <c r="I60" i="10"/>
  <c r="B61" i="10"/>
  <c r="S62" i="10"/>
  <c r="T62" i="10"/>
  <c r="B62" i="10"/>
  <c r="C62" i="10"/>
  <c r="D62" i="10"/>
  <c r="E62" i="10"/>
  <c r="F62" i="10"/>
  <c r="G62" i="10"/>
  <c r="H62" i="10"/>
  <c r="N69" i="10"/>
  <c r="O69" i="10"/>
  <c r="P69" i="10"/>
  <c r="Q69" i="10"/>
  <c r="R69" i="10"/>
  <c r="S69" i="10"/>
  <c r="N71" i="10"/>
  <c r="O71" i="10"/>
  <c r="P71" i="10"/>
  <c r="Q75" i="10"/>
  <c r="F29" i="10" l="1"/>
  <c r="D18" i="10"/>
  <c r="D29" i="10" s="1"/>
  <c r="N49" i="10"/>
  <c r="T75" i="10"/>
  <c r="T70" i="10"/>
  <c r="T13" i="10"/>
  <c r="T60" i="10"/>
  <c r="Q49" i="10"/>
  <c r="P55" i="10"/>
  <c r="I63" i="10"/>
  <c r="T64" i="10" s="1"/>
  <c r="Q55" i="10"/>
  <c r="G63" i="10"/>
  <c r="R64" i="10" s="1"/>
  <c r="E61" i="10"/>
  <c r="E63" i="10" s="1"/>
  <c r="P64" i="10" s="1"/>
  <c r="O72" i="10"/>
  <c r="S60" i="10"/>
  <c r="S63" i="10" s="1"/>
  <c r="M49" i="10"/>
  <c r="M73" i="10" s="1"/>
  <c r="M13" i="10"/>
  <c r="M68" i="10"/>
  <c r="N72" i="10"/>
  <c r="H52" i="10"/>
  <c r="I52" i="10" s="1"/>
  <c r="J47" i="10" s="1"/>
  <c r="J52" i="10" s="1"/>
  <c r="H63" i="10"/>
  <c r="S64" i="10" s="1"/>
  <c r="Q60" i="10"/>
  <c r="Q63" i="10" s="1"/>
  <c r="G34" i="7" s="1"/>
  <c r="G56" i="10"/>
  <c r="Q71" i="10"/>
  <c r="Q72" i="10" s="1"/>
  <c r="C19" i="10"/>
  <c r="M66" i="10"/>
  <c r="O55" i="10"/>
  <c r="O75" i="10"/>
  <c r="B43" i="5" s="1"/>
  <c r="O60" i="10"/>
  <c r="O63" i="10" s="1"/>
  <c r="P49" i="10"/>
  <c r="N68" i="10"/>
  <c r="F63" i="10"/>
  <c r="Q64" i="10" s="1"/>
  <c r="M67" i="10"/>
  <c r="O13" i="10"/>
  <c r="N67" i="10"/>
  <c r="B63" i="10"/>
  <c r="R75" i="10"/>
  <c r="P75" i="10"/>
  <c r="N75" i="10"/>
  <c r="P70" i="10"/>
  <c r="P72" i="10" s="1"/>
  <c r="C63" i="10"/>
  <c r="N64" i="10" s="1"/>
  <c r="T63" i="10"/>
  <c r="R60" i="10"/>
  <c r="R63" i="10" s="1"/>
  <c r="P60" i="10"/>
  <c r="P63" i="10" s="1"/>
  <c r="N60" i="10"/>
  <c r="N63" i="10" s="1"/>
  <c r="M55" i="10"/>
  <c r="F56" i="10"/>
  <c r="P54" i="10"/>
  <c r="N55" i="10"/>
  <c r="O49" i="10"/>
  <c r="B19" i="10"/>
  <c r="R13" i="10"/>
  <c r="N13" i="10"/>
  <c r="P66" i="10"/>
  <c r="B42" i="7" s="1"/>
  <c r="E22" i="10"/>
  <c r="B9" i="5" s="1"/>
  <c r="E21" i="10"/>
  <c r="Q66" i="10"/>
  <c r="I21" i="10"/>
  <c r="F19" i="10"/>
  <c r="F22" i="10"/>
  <c r="B9" i="7" s="1"/>
  <c r="F21" i="10"/>
  <c r="F31" i="10"/>
  <c r="S66" i="10"/>
  <c r="I19" i="10"/>
  <c r="H21" i="10"/>
  <c r="H19" i="10"/>
  <c r="H22" i="10"/>
  <c r="R66" i="10"/>
  <c r="G19" i="10"/>
  <c r="G22" i="10"/>
  <c r="O66" i="10"/>
  <c r="S75" i="10"/>
  <c r="S70" i="10"/>
  <c r="Q13" i="10"/>
  <c r="N66" i="10"/>
  <c r="R41" i="10"/>
  <c r="R55" i="10" s="1"/>
  <c r="S71" i="10"/>
  <c r="R71" i="10"/>
  <c r="R72" i="10" s="1"/>
  <c r="D61" i="10"/>
  <c r="D63" i="10" s="1"/>
  <c r="O64" i="10" s="1"/>
  <c r="P13" i="10"/>
  <c r="T65" i="10"/>
  <c r="I36" i="10"/>
  <c r="I38" i="10" s="1"/>
  <c r="C22" i="10"/>
  <c r="T11" i="10"/>
  <c r="T66" i="10" s="1"/>
  <c r="T73" i="10"/>
  <c r="T72" i="10"/>
  <c r="I22" i="10"/>
  <c r="S55" i="10"/>
  <c r="B29" i="10"/>
  <c r="S13" i="10"/>
  <c r="B7" i="8"/>
  <c r="C7" i="8"/>
  <c r="D7" i="8"/>
  <c r="E7" i="8"/>
  <c r="F7" i="8"/>
  <c r="G7" i="8"/>
  <c r="J8" i="8"/>
  <c r="J28" i="8" s="1"/>
  <c r="K8" i="8"/>
  <c r="L8" i="8"/>
  <c r="L39" i="8" s="1"/>
  <c r="M8" i="8"/>
  <c r="M40" i="8" s="1"/>
  <c r="N8" i="8"/>
  <c r="N28" i="8" s="1"/>
  <c r="J9" i="8"/>
  <c r="J38" i="8" s="1"/>
  <c r="K9" i="8"/>
  <c r="K38" i="8" s="1"/>
  <c r="L9" i="8"/>
  <c r="L38" i="8" s="1"/>
  <c r="M9" i="8"/>
  <c r="M38" i="8" s="1"/>
  <c r="N9" i="8"/>
  <c r="N38" i="8" s="1"/>
  <c r="B12" i="8"/>
  <c r="C12" i="8"/>
  <c r="D12" i="8"/>
  <c r="E12" i="8"/>
  <c r="F12" i="8"/>
  <c r="G12" i="8"/>
  <c r="B13" i="8"/>
  <c r="C13" i="8"/>
  <c r="D13" i="8"/>
  <c r="E13" i="8"/>
  <c r="F13" i="8"/>
  <c r="G13" i="8"/>
  <c r="J20" i="8"/>
  <c r="J47" i="8" s="1"/>
  <c r="K20" i="8"/>
  <c r="K47" i="8" s="1"/>
  <c r="L20" i="8"/>
  <c r="L47" i="8" s="1"/>
  <c r="M20" i="8"/>
  <c r="N20" i="8"/>
  <c r="N47" i="8" s="1"/>
  <c r="B27" i="8"/>
  <c r="C27" i="8"/>
  <c r="D27" i="8"/>
  <c r="E27" i="8"/>
  <c r="F27" i="8"/>
  <c r="G27" i="8"/>
  <c r="J27" i="8"/>
  <c r="K27" i="8"/>
  <c r="L27" i="8"/>
  <c r="M27" i="8"/>
  <c r="N27" i="8"/>
  <c r="J29" i="8"/>
  <c r="K29" i="8"/>
  <c r="L29" i="8"/>
  <c r="M29" i="8"/>
  <c r="N29" i="8"/>
  <c r="J32" i="8"/>
  <c r="J34" i="8" s="1"/>
  <c r="K32" i="8"/>
  <c r="K34" i="8" s="1"/>
  <c r="L32" i="8"/>
  <c r="L34" i="8" s="1"/>
  <c r="M32" i="8"/>
  <c r="M34" i="8" s="1"/>
  <c r="N32" i="8"/>
  <c r="N34" i="8" s="1"/>
  <c r="J33" i="8"/>
  <c r="J35" i="8" s="1"/>
  <c r="K33" i="8"/>
  <c r="K35" i="8" s="1"/>
  <c r="L33" i="8"/>
  <c r="L35" i="8" s="1"/>
  <c r="M33" i="8"/>
  <c r="M35" i="8" s="1"/>
  <c r="N33" i="8"/>
  <c r="N35" i="8" s="1"/>
  <c r="J37" i="8"/>
  <c r="K37" i="8"/>
  <c r="L37" i="8"/>
  <c r="M37" i="8"/>
  <c r="N37" i="8"/>
  <c r="K40" i="8"/>
  <c r="J42" i="8"/>
  <c r="K42" i="8"/>
  <c r="L42" i="8"/>
  <c r="M42" i="8"/>
  <c r="N42" i="8"/>
  <c r="J43" i="8"/>
  <c r="K43" i="8"/>
  <c r="L43" i="8"/>
  <c r="M43" i="8"/>
  <c r="N43" i="8"/>
  <c r="J44" i="8"/>
  <c r="K44" i="8"/>
  <c r="L44" i="8"/>
  <c r="M44" i="8"/>
  <c r="N44" i="8"/>
  <c r="J45" i="8"/>
  <c r="K45" i="8"/>
  <c r="L45" i="8"/>
  <c r="M45" i="8"/>
  <c r="N45" i="8"/>
  <c r="M47" i="8"/>
  <c r="J49" i="8"/>
  <c r="K49" i="8"/>
  <c r="L49" i="8"/>
  <c r="M49" i="8"/>
  <c r="N49" i="8"/>
  <c r="J50" i="8"/>
  <c r="K50" i="8"/>
  <c r="L50" i="8"/>
  <c r="M50" i="8"/>
  <c r="N50" i="8"/>
  <c r="J3" i="9"/>
  <c r="F4" i="9"/>
  <c r="G4" i="9"/>
  <c r="J5" i="9"/>
  <c r="B6" i="9"/>
  <c r="B7" i="9" s="1"/>
  <c r="C6" i="9"/>
  <c r="D6" i="9"/>
  <c r="E6" i="9"/>
  <c r="F6" i="9"/>
  <c r="G6" i="9"/>
  <c r="I6" i="9"/>
  <c r="B9" i="9"/>
  <c r="B18" i="9" s="1"/>
  <c r="B22" i="9" s="1"/>
  <c r="C9" i="9"/>
  <c r="C18" i="9" s="1"/>
  <c r="D9" i="9"/>
  <c r="D18" i="9" s="1"/>
  <c r="D29" i="9" s="1"/>
  <c r="D31" i="9" s="1"/>
  <c r="E9" i="9"/>
  <c r="E18" i="9" s="1"/>
  <c r="E22" i="9" s="1"/>
  <c r="F9" i="9"/>
  <c r="F18" i="9" s="1"/>
  <c r="G9" i="9"/>
  <c r="G18" i="9" s="1"/>
  <c r="G22" i="9" s="1"/>
  <c r="I9" i="9"/>
  <c r="I18" i="9" s="1"/>
  <c r="I29" i="9" s="1"/>
  <c r="J10" i="9"/>
  <c r="J13" i="9"/>
  <c r="J16" i="9"/>
  <c r="C11" i="9"/>
  <c r="D11" i="9"/>
  <c r="E11" i="9"/>
  <c r="F11" i="9"/>
  <c r="G11" i="9"/>
  <c r="I11" i="9"/>
  <c r="D12" i="9"/>
  <c r="E12" i="9"/>
  <c r="F12" i="9"/>
  <c r="G12" i="9"/>
  <c r="C14" i="9"/>
  <c r="D14" i="9"/>
  <c r="E14" i="9"/>
  <c r="F14" i="9"/>
  <c r="G14" i="9"/>
  <c r="I14" i="9"/>
  <c r="D15" i="9"/>
  <c r="E15" i="9"/>
  <c r="F15" i="9"/>
  <c r="G15" i="9"/>
  <c r="J24" i="9"/>
  <c r="J25" i="9"/>
  <c r="I30" i="9"/>
  <c r="I34" i="9"/>
  <c r="F35" i="9"/>
  <c r="I35" i="9"/>
  <c r="D40" i="9"/>
  <c r="E40" i="9"/>
  <c r="F40" i="9"/>
  <c r="G40" i="9"/>
  <c r="F41" i="9"/>
  <c r="G41" i="9"/>
  <c r="B5" i="7"/>
  <c r="G5" i="7"/>
  <c r="B7" i="7"/>
  <c r="G7" i="7"/>
  <c r="C9" i="7"/>
  <c r="D9" i="7"/>
  <c r="E9" i="7"/>
  <c r="G9" i="7"/>
  <c r="C12" i="7"/>
  <c r="D12" i="7"/>
  <c r="E12" i="7"/>
  <c r="B13" i="7"/>
  <c r="B19" i="7"/>
  <c r="B20" i="7"/>
  <c r="G24" i="7"/>
  <c r="B46" i="7"/>
  <c r="B7" i="6"/>
  <c r="C7" i="6"/>
  <c r="D7" i="6"/>
  <c r="D6" i="5" s="1"/>
  <c r="E7" i="6"/>
  <c r="E6" i="5" s="1"/>
  <c r="F7" i="6"/>
  <c r="F6" i="5" s="1"/>
  <c r="G7" i="6"/>
  <c r="J8" i="6"/>
  <c r="J28" i="6" s="1"/>
  <c r="K8" i="6"/>
  <c r="K40" i="6" s="1"/>
  <c r="C50" i="5" s="1"/>
  <c r="L8" i="6"/>
  <c r="L40" i="6" s="1"/>
  <c r="D50" i="5" s="1"/>
  <c r="M8" i="6"/>
  <c r="M28" i="6" s="1"/>
  <c r="N8" i="6"/>
  <c r="N28" i="6" s="1"/>
  <c r="J9" i="6"/>
  <c r="J38" i="6" s="1"/>
  <c r="K9" i="6"/>
  <c r="K38" i="6" s="1"/>
  <c r="C42" i="5" s="1"/>
  <c r="L9" i="6"/>
  <c r="L38" i="6" s="1"/>
  <c r="D42" i="5" s="1"/>
  <c r="M9" i="6"/>
  <c r="M38" i="6" s="1"/>
  <c r="N9" i="6"/>
  <c r="N38" i="6" s="1"/>
  <c r="F42" i="5" s="1"/>
  <c r="B12" i="6"/>
  <c r="C12" i="6"/>
  <c r="D12" i="6"/>
  <c r="E12" i="6"/>
  <c r="E7" i="5" s="1"/>
  <c r="F12" i="6"/>
  <c r="F7" i="5" s="1"/>
  <c r="G12" i="6"/>
  <c r="B13" i="6"/>
  <c r="C13" i="6"/>
  <c r="D13" i="6"/>
  <c r="E13" i="6"/>
  <c r="F13" i="6"/>
  <c r="G13" i="6"/>
  <c r="J20" i="6"/>
  <c r="J47" i="6" s="1"/>
  <c r="K20" i="6"/>
  <c r="K47" i="6" s="1"/>
  <c r="C48" i="5" s="1"/>
  <c r="L20" i="6"/>
  <c r="L47" i="6" s="1"/>
  <c r="D48" i="5" s="1"/>
  <c r="M20" i="6"/>
  <c r="M47" i="6" s="1"/>
  <c r="E48" i="5" s="1"/>
  <c r="N20" i="6"/>
  <c r="N47" i="6" s="1"/>
  <c r="F48" i="5" s="1"/>
  <c r="B27" i="6"/>
  <c r="C27" i="6"/>
  <c r="C11" i="5" s="1"/>
  <c r="D27" i="6"/>
  <c r="D11" i="5" s="1"/>
  <c r="E27" i="6"/>
  <c r="E11" i="5" s="1"/>
  <c r="F27" i="6"/>
  <c r="F11" i="5" s="1"/>
  <c r="G27" i="6"/>
  <c r="J27" i="6"/>
  <c r="K27" i="6"/>
  <c r="L27" i="6"/>
  <c r="M27" i="6"/>
  <c r="E27" i="5" s="1"/>
  <c r="N27" i="6"/>
  <c r="J29" i="6"/>
  <c r="K29" i="6"/>
  <c r="L29" i="6"/>
  <c r="M29" i="6"/>
  <c r="N29" i="6"/>
  <c r="J32" i="6"/>
  <c r="J34" i="6" s="1"/>
  <c r="K32" i="6"/>
  <c r="K34" i="6" s="1"/>
  <c r="C32" i="5" s="1"/>
  <c r="L32" i="6"/>
  <c r="L34" i="6" s="1"/>
  <c r="D32" i="5" s="1"/>
  <c r="M32" i="6"/>
  <c r="N32" i="6"/>
  <c r="N34" i="6" s="1"/>
  <c r="F32" i="5" s="1"/>
  <c r="J33" i="6"/>
  <c r="J35" i="6" s="1"/>
  <c r="K33" i="6"/>
  <c r="C40" i="5" s="1"/>
  <c r="L33" i="6"/>
  <c r="L35" i="6" s="1"/>
  <c r="D34" i="5" s="1"/>
  <c r="M33" i="6"/>
  <c r="N33" i="6"/>
  <c r="M34" i="6"/>
  <c r="E32" i="5" s="1"/>
  <c r="J37" i="6"/>
  <c r="K37" i="6"/>
  <c r="L37" i="6"/>
  <c r="D41" i="5" s="1"/>
  <c r="M37" i="6"/>
  <c r="E41" i="5" s="1"/>
  <c r="N37" i="6"/>
  <c r="F41" i="5" s="1"/>
  <c r="J42" i="6"/>
  <c r="K42" i="6"/>
  <c r="C33" i="5" s="1"/>
  <c r="L42" i="6"/>
  <c r="D33" i="5" s="1"/>
  <c r="M42" i="6"/>
  <c r="E33" i="5" s="1"/>
  <c r="N42" i="6"/>
  <c r="F33" i="5" s="1"/>
  <c r="J43" i="6"/>
  <c r="K43" i="6"/>
  <c r="C44" i="5" s="1"/>
  <c r="L43" i="6"/>
  <c r="M43" i="6"/>
  <c r="E44" i="5" s="1"/>
  <c r="N43" i="6"/>
  <c r="F44" i="5" s="1"/>
  <c r="J44" i="6"/>
  <c r="K44" i="6"/>
  <c r="C46" i="5" s="1"/>
  <c r="L44" i="6"/>
  <c r="D46" i="5" s="1"/>
  <c r="M44" i="6"/>
  <c r="E46" i="5" s="1"/>
  <c r="N44" i="6"/>
  <c r="F46" i="5" s="1"/>
  <c r="J45" i="6"/>
  <c r="K45" i="6"/>
  <c r="C45" i="5" s="1"/>
  <c r="L45" i="6"/>
  <c r="D45" i="5" s="1"/>
  <c r="M45" i="6"/>
  <c r="N45" i="6"/>
  <c r="F45" i="5" s="1"/>
  <c r="K48" i="6"/>
  <c r="C52" i="5" s="1"/>
  <c r="J49" i="6"/>
  <c r="K49" i="6"/>
  <c r="C43" i="5" s="1"/>
  <c r="L49" i="6"/>
  <c r="D43" i="5" s="1"/>
  <c r="M49" i="6"/>
  <c r="E43" i="5" s="1"/>
  <c r="N49" i="6"/>
  <c r="F43" i="5" s="1"/>
  <c r="J50" i="6"/>
  <c r="K50" i="6"/>
  <c r="C51" i="5" s="1"/>
  <c r="L50" i="6"/>
  <c r="D51" i="5" s="1"/>
  <c r="M50" i="6"/>
  <c r="E51" i="5" s="1"/>
  <c r="N50" i="6"/>
  <c r="F51" i="5" s="1"/>
  <c r="C5" i="5"/>
  <c r="D5" i="5"/>
  <c r="E5" i="5"/>
  <c r="F5" i="5"/>
  <c r="C6" i="5"/>
  <c r="B7" i="5"/>
  <c r="C10" i="5"/>
  <c r="D10" i="5"/>
  <c r="E10" i="5"/>
  <c r="F10" i="5"/>
  <c r="B13" i="5"/>
  <c r="C13" i="5"/>
  <c r="D13" i="5"/>
  <c r="E13" i="5"/>
  <c r="F13" i="5"/>
  <c r="C17" i="5"/>
  <c r="D17" i="5"/>
  <c r="E17" i="5"/>
  <c r="F17" i="5"/>
  <c r="B19" i="5"/>
  <c r="C19" i="5"/>
  <c r="D19" i="5"/>
  <c r="E19" i="5"/>
  <c r="F19" i="5"/>
  <c r="B20" i="5"/>
  <c r="C20" i="5"/>
  <c r="D20" i="5"/>
  <c r="E20" i="5"/>
  <c r="F20" i="5"/>
  <c r="D27" i="5"/>
  <c r="C41" i="5"/>
  <c r="E42" i="5"/>
  <c r="B45" i="5"/>
  <c r="B52" i="5"/>
  <c r="B5" i="5"/>
  <c r="B6" i="5"/>
  <c r="B6" i="7"/>
  <c r="B10" i="7"/>
  <c r="B24" i="7"/>
  <c r="B32" i="5"/>
  <c r="B32" i="7"/>
  <c r="G32" i="7"/>
  <c r="B27" i="5"/>
  <c r="G27" i="7"/>
  <c r="B46" i="5"/>
  <c r="D19" i="10" l="1"/>
  <c r="E19" i="10"/>
  <c r="D22" i="10"/>
  <c r="G21" i="10"/>
  <c r="L28" i="6"/>
  <c r="E12" i="5"/>
  <c r="K39" i="6"/>
  <c r="C49" i="5" s="1"/>
  <c r="L28" i="8"/>
  <c r="L40" i="8"/>
  <c r="L48" i="8"/>
  <c r="E29" i="9"/>
  <c r="S72" i="10"/>
  <c r="B44" i="7"/>
  <c r="N73" i="10"/>
  <c r="Q73" i="10"/>
  <c r="M64" i="10"/>
  <c r="R49" i="10"/>
  <c r="R73" i="10" s="1"/>
  <c r="P73" i="10"/>
  <c r="O73" i="10"/>
  <c r="B31" i="10"/>
  <c r="B32" i="10"/>
  <c r="F14" i="8"/>
  <c r="H31" i="10"/>
  <c r="H32" i="10"/>
  <c r="H33" i="10" s="1"/>
  <c r="S73" i="10"/>
  <c r="C31" i="10"/>
  <c r="C32" i="10"/>
  <c r="C33" i="10" s="1"/>
  <c r="E32" i="10"/>
  <c r="E33" i="10" s="1"/>
  <c r="E31" i="10"/>
  <c r="D32" i="10"/>
  <c r="D33" i="10" s="1"/>
  <c r="D31" i="10"/>
  <c r="G32" i="10"/>
  <c r="G33" i="10" s="1"/>
  <c r="G31" i="10"/>
  <c r="B50" i="7"/>
  <c r="F12" i="5"/>
  <c r="L48" i="6"/>
  <c r="D52" i="5" s="1"/>
  <c r="M46" i="6"/>
  <c r="E47" i="5" s="1"/>
  <c r="L39" i="6"/>
  <c r="D49" i="5" s="1"/>
  <c r="B40" i="7"/>
  <c r="B14" i="6"/>
  <c r="I7" i="9"/>
  <c r="F7" i="9"/>
  <c r="K46" i="8"/>
  <c r="G14" i="6"/>
  <c r="B14" i="8"/>
  <c r="F14" i="6"/>
  <c r="J46" i="6"/>
  <c r="N40" i="6"/>
  <c r="F50" i="5" s="1"/>
  <c r="E14" i="6"/>
  <c r="I32" i="9"/>
  <c r="I36" i="9" s="1"/>
  <c r="B25" i="7"/>
  <c r="K28" i="6"/>
  <c r="J46" i="8"/>
  <c r="M39" i="8"/>
  <c r="F9" i="5"/>
  <c r="C14" i="6"/>
  <c r="C8" i="5" s="1"/>
  <c r="J14" i="9"/>
  <c r="E8" i="9"/>
  <c r="D7" i="9"/>
  <c r="L46" i="8"/>
  <c r="N46" i="8"/>
  <c r="F8" i="9"/>
  <c r="M48" i="8"/>
  <c r="M28" i="8"/>
  <c r="M30" i="8" s="1"/>
  <c r="M36" i="8" s="1"/>
  <c r="B17" i="5"/>
  <c r="B42" i="5"/>
  <c r="I31" i="9"/>
  <c r="C22" i="9"/>
  <c r="F21" i="9"/>
  <c r="D40" i="5"/>
  <c r="B50" i="5"/>
  <c r="E45" i="5"/>
  <c r="C12" i="5"/>
  <c r="C7" i="5"/>
  <c r="C9" i="5" s="1"/>
  <c r="K35" i="6"/>
  <c r="C34" i="5" s="1"/>
  <c r="G14" i="8"/>
  <c r="C14" i="8"/>
  <c r="E14" i="8"/>
  <c r="D14" i="8"/>
  <c r="E21" i="9"/>
  <c r="G8" i="9"/>
  <c r="L30" i="8"/>
  <c r="L36" i="8" s="1"/>
  <c r="B12" i="7"/>
  <c r="E9" i="5"/>
  <c r="L30" i="6"/>
  <c r="L36" i="6" s="1"/>
  <c r="D35" i="5" s="1"/>
  <c r="B29" i="9"/>
  <c r="B32" i="9" s="1"/>
  <c r="B36" i="9" s="1"/>
  <c r="D22" i="9"/>
  <c r="E19" i="9"/>
  <c r="G7" i="9"/>
  <c r="B8" i="5"/>
  <c r="B47" i="7"/>
  <c r="G17" i="7"/>
  <c r="K39" i="8"/>
  <c r="K48" i="8"/>
  <c r="M35" i="6"/>
  <c r="E34" i="5" s="1"/>
  <c r="E40" i="5"/>
  <c r="F27" i="5"/>
  <c r="N30" i="6"/>
  <c r="N36" i="6" s="1"/>
  <c r="F35" i="5" s="1"/>
  <c r="N46" i="6"/>
  <c r="F47" i="5" s="1"/>
  <c r="K28" i="8"/>
  <c r="L46" i="6"/>
  <c r="D47" i="5" s="1"/>
  <c r="D44" i="5"/>
  <c r="C27" i="5"/>
  <c r="K30" i="6"/>
  <c r="K36" i="6" s="1"/>
  <c r="C35" i="5" s="1"/>
  <c r="M30" i="6"/>
  <c r="M36" i="6" s="1"/>
  <c r="E35" i="5" s="1"/>
  <c r="J30" i="6"/>
  <c r="J36" i="6" s="1"/>
  <c r="M46" i="8"/>
  <c r="B34" i="7"/>
  <c r="B27" i="7"/>
  <c r="B40" i="5"/>
  <c r="B34" i="5"/>
  <c r="B8" i="7"/>
  <c r="B35" i="7"/>
  <c r="B49" i="7"/>
  <c r="B17" i="7"/>
  <c r="D12" i="5"/>
  <c r="D7" i="5"/>
  <c r="D9" i="5" s="1"/>
  <c r="D14" i="6"/>
  <c r="N39" i="6"/>
  <c r="F49" i="5" s="1"/>
  <c r="N48" i="6"/>
  <c r="F52" i="5" s="1"/>
  <c r="J39" i="6"/>
  <c r="J48" i="6"/>
  <c r="J40" i="6"/>
  <c r="E32" i="9"/>
  <c r="E31" i="9"/>
  <c r="I22" i="9"/>
  <c r="G21" i="9"/>
  <c r="G29" i="9"/>
  <c r="G19" i="9"/>
  <c r="F19" i="9"/>
  <c r="F22" i="9"/>
  <c r="F29" i="9"/>
  <c r="J30" i="8"/>
  <c r="J36" i="8" s="1"/>
  <c r="J39" i="8"/>
  <c r="J48" i="8"/>
  <c r="J40" i="8"/>
  <c r="M39" i="6"/>
  <c r="E49" i="5" s="1"/>
  <c r="M48" i="6"/>
  <c r="E52" i="5" s="1"/>
  <c r="M40" i="6"/>
  <c r="E50" i="5" s="1"/>
  <c r="N30" i="8"/>
  <c r="N36" i="8" s="1"/>
  <c r="K30" i="8"/>
  <c r="K36" i="8" s="1"/>
  <c r="N39" i="8"/>
  <c r="N48" i="8"/>
  <c r="N40" i="8"/>
  <c r="J11" i="9"/>
  <c r="J9" i="9"/>
  <c r="J18" i="9" s="1"/>
  <c r="J12" i="9"/>
  <c r="B49" i="5"/>
  <c r="K46" i="6"/>
  <c r="C47" i="5" s="1"/>
  <c r="N35" i="6"/>
  <c r="F34" i="5" s="1"/>
  <c r="F40" i="5"/>
  <c r="D32" i="9"/>
  <c r="D19" i="9"/>
  <c r="C29" i="9"/>
  <c r="C19" i="9"/>
  <c r="J6" i="9"/>
  <c r="E7" i="9"/>
  <c r="I8" i="9"/>
  <c r="B33" i="9" l="1"/>
  <c r="N65" i="10"/>
  <c r="C36" i="10"/>
  <c r="M65" i="10"/>
  <c r="R65" i="10"/>
  <c r="G12" i="7"/>
  <c r="G36" i="10"/>
  <c r="G10" i="7"/>
  <c r="S65" i="10"/>
  <c r="H36" i="10"/>
  <c r="O65" i="10"/>
  <c r="B41" i="5" s="1"/>
  <c r="D36" i="10"/>
  <c r="B36" i="10"/>
  <c r="B37" i="10" s="1"/>
  <c r="B33" i="10"/>
  <c r="I33" i="9"/>
  <c r="P65" i="10"/>
  <c r="B41" i="7" s="1"/>
  <c r="B12" i="5"/>
  <c r="E36" i="10"/>
  <c r="B10" i="5"/>
  <c r="B31" i="9"/>
  <c r="B48" i="5"/>
  <c r="B44" i="5"/>
  <c r="B47" i="5"/>
  <c r="J7" i="9"/>
  <c r="J8" i="9"/>
  <c r="D33" i="9"/>
  <c r="D36" i="9"/>
  <c r="B28" i="5"/>
  <c r="B35" i="5"/>
  <c r="F32" i="9"/>
  <c r="F31" i="9"/>
  <c r="G31" i="9"/>
  <c r="G32" i="9"/>
  <c r="G35" i="7"/>
  <c r="G28" i="7"/>
  <c r="C31" i="9"/>
  <c r="C32" i="9"/>
  <c r="J22" i="9"/>
  <c r="J29" i="9"/>
  <c r="E33" i="9"/>
  <c r="E36" i="9"/>
  <c r="D37" i="10" l="1"/>
  <c r="G37" i="10"/>
  <c r="G38" i="10"/>
  <c r="I37" i="10"/>
  <c r="H38" i="10"/>
  <c r="H37" i="10"/>
  <c r="E37" i="10"/>
  <c r="F37" i="10"/>
  <c r="E38" i="10"/>
  <c r="C37" i="10"/>
  <c r="F38" i="10"/>
  <c r="C36" i="9"/>
  <c r="C37" i="9" s="1"/>
  <c r="C33" i="9"/>
  <c r="J30" i="9"/>
  <c r="J31" i="9" s="1"/>
  <c r="G36" i="9"/>
  <c r="G33" i="9"/>
  <c r="E38" i="9"/>
  <c r="E37" i="9"/>
  <c r="F36" i="9"/>
  <c r="F33" i="9"/>
  <c r="J32" i="9" l="1"/>
  <c r="J33" i="9" s="1"/>
  <c r="D37" i="9"/>
  <c r="B11" i="7"/>
  <c r="F38" i="9"/>
  <c r="F37" i="9"/>
  <c r="G38" i="9"/>
  <c r="G37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Admin</author>
  </authors>
  <commentList>
    <comment ref="B32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Administrator: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includes prior period item
</t>
        </r>
      </text>
    </comment>
    <comment ref="B52" authorId="1" shapeId="0" xr:uid="{00000000-0006-0000-0000-000002000000}">
      <text>
        <r>
          <rPr>
            <b/>
            <sz val="9"/>
            <color rgb="FF000000"/>
            <rFont val="Tahoma"/>
            <family val="2"/>
          </rPr>
          <t>Includes effect of changes in forex rateson cash and cash equivalents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tc={262EE705-F68C-42A1-8750-F20EE0F10593}</author>
  </authors>
  <commentList>
    <comment ref="J5" authorId="0" shapeId="0" xr:uid="{00000000-0006-0000-0400-000001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Average of Last 3 years FY19-FY21</t>
        </r>
      </text>
    </comment>
  </commentList>
</comments>
</file>

<file path=xl/sharedStrings.xml><?xml version="1.0" encoding="utf-8"?>
<sst xmlns="http://schemas.openxmlformats.org/spreadsheetml/2006/main" count="509" uniqueCount="236">
  <si>
    <t>Y/E, Mar (Rs. mn)</t>
  </si>
  <si>
    <t>Income</t>
  </si>
  <si>
    <t>Growth (%)</t>
  </si>
  <si>
    <t>Expenditure</t>
  </si>
  <si>
    <t>EBITDA</t>
  </si>
  <si>
    <t>EBITDA margin (%)</t>
  </si>
  <si>
    <t>Other Income</t>
  </si>
  <si>
    <t>Depreciation</t>
  </si>
  <si>
    <t>Interest</t>
  </si>
  <si>
    <t>Excp Item</t>
  </si>
  <si>
    <t>PBT</t>
  </si>
  <si>
    <t>Tax</t>
  </si>
  <si>
    <t>Effective tax rate (%)</t>
  </si>
  <si>
    <t>PAT</t>
  </si>
  <si>
    <t>Minority Interest</t>
  </si>
  <si>
    <t>PAT After MI</t>
  </si>
  <si>
    <t>Cash Flow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</si>
  <si>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</si>
  <si>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</si>
  <si>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</si>
  <si>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</si>
  <si>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 xml:space="preserve">Operating Cash Inflow </t>
  </si>
  <si>
    <t>Capital Expenditure</t>
  </si>
  <si>
    <t>FCF</t>
  </si>
  <si>
    <t xml:space="preserve"> </t>
  </si>
  <si>
    <t>FY16</t>
  </si>
  <si>
    <t>FY17</t>
  </si>
  <si>
    <t>Share Capital</t>
  </si>
  <si>
    <t>Reserves &amp; Surplus</t>
  </si>
  <si>
    <t>Networth/Shareholders Fund/ Book Value</t>
  </si>
  <si>
    <t>Minority Int</t>
  </si>
  <si>
    <t>Long Term Debt</t>
  </si>
  <si>
    <t>Short Term Debt</t>
  </si>
  <si>
    <t>Loans</t>
  </si>
  <si>
    <t>Capital Employed</t>
  </si>
  <si>
    <t>CURRENT ASSETS, LOANS &amp; ADVANCES</t>
  </si>
  <si>
    <t>Cash &amp; Bank Balances</t>
  </si>
  <si>
    <t>CURRENT LIABILITIES &amp; PROVISIONS</t>
  </si>
  <si>
    <t>NET CURRENT ASSETS</t>
  </si>
  <si>
    <t>Key ratios</t>
  </si>
  <si>
    <t xml:space="preserve">Y/E, Mar 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</si>
  <si>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</si>
  <si>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</si>
  <si>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</si>
  <si>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</si>
  <si>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</si>
  <si>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</si>
  <si>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</si>
  <si>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</si>
  <si>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</si>
  <si>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</si>
  <si>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</si>
  <si>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</si>
  <si>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</si>
  <si>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</si>
  <si>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</si>
  <si>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Working Capital Days</t>
  </si>
  <si>
    <t>Employee Benefit Expense</t>
  </si>
  <si>
    <t>Other Comprehensive Income</t>
  </si>
  <si>
    <t>Long term Provision</t>
  </si>
  <si>
    <t>Cash and Cash Equivalents at End of the year</t>
  </si>
  <si>
    <t>No. of Shares</t>
  </si>
  <si>
    <t>Market Cap</t>
  </si>
  <si>
    <t>Cash</t>
  </si>
  <si>
    <t>EV</t>
  </si>
  <si>
    <t>Total Debt</t>
  </si>
  <si>
    <t>Cash Flow from Investing Activities</t>
  </si>
  <si>
    <t>PAT margin (%)</t>
  </si>
  <si>
    <t>Cash Conversion cycle</t>
  </si>
  <si>
    <t>FY18</t>
  </si>
  <si>
    <t>Interest Cost</t>
  </si>
  <si>
    <t>Gross Block</t>
  </si>
  <si>
    <t>TOTAL ASSETS</t>
  </si>
  <si>
    <t>TOTAL LIABILITIES</t>
  </si>
  <si>
    <t>Net Income</t>
  </si>
  <si>
    <t>Balance Sheet</t>
  </si>
  <si>
    <t>Income Statement</t>
  </si>
  <si>
    <t>Diluted EPS</t>
  </si>
  <si>
    <t>FY19</t>
  </si>
  <si>
    <t>CAGR (%) - 3 Years</t>
  </si>
  <si>
    <t>CAGR (%)- 3 Years</t>
  </si>
  <si>
    <t>Peer Comparison Analysis - BCL Industries Ltd.</t>
  </si>
  <si>
    <t>BCL - FY19</t>
  </si>
  <si>
    <t>Gokul Agro</t>
  </si>
  <si>
    <t>Gokul Agro-FY19</t>
  </si>
  <si>
    <t>IFB Agro</t>
  </si>
  <si>
    <t>IFB Agro-FY19</t>
  </si>
  <si>
    <t>Ruchi Soya-FY19</t>
  </si>
  <si>
    <t>Globus Spirits</t>
  </si>
  <si>
    <t>Globus Spirits-FY19</t>
  </si>
  <si>
    <t>P&amp;L Comparision (As on FY19)</t>
  </si>
  <si>
    <t>3 Years CAGR (%)</t>
  </si>
  <si>
    <t>EBITDA Margin (%)</t>
  </si>
  <si>
    <t>PAT Margin (%)</t>
  </si>
  <si>
    <t>EPS</t>
  </si>
  <si>
    <t>Balance Sheet Comparision</t>
  </si>
  <si>
    <t>Total Networth</t>
  </si>
  <si>
    <t>Long Term</t>
  </si>
  <si>
    <t>Short Term</t>
  </si>
  <si>
    <t>CFO</t>
  </si>
  <si>
    <t>VALUATIONS COMPARISION</t>
  </si>
  <si>
    <t>Stock P:E</t>
  </si>
  <si>
    <t>Price:Book Value</t>
  </si>
  <si>
    <t>EV/ EBITDA</t>
  </si>
  <si>
    <t>OPERATIONAL RATIOS COMPARISION</t>
  </si>
  <si>
    <t>CMP (As on XXXX)</t>
  </si>
  <si>
    <t>Book Value (Rs.)</t>
  </si>
  <si>
    <t>Book Value per Share</t>
  </si>
  <si>
    <t>ROE</t>
  </si>
  <si>
    <t>ROCE</t>
  </si>
  <si>
    <t>Fixed Asset Turnover</t>
  </si>
  <si>
    <t>Receivable days</t>
  </si>
  <si>
    <t>Payable days</t>
  </si>
  <si>
    <t>Cash Conversion Cycle</t>
  </si>
  <si>
    <t>Gross Debt/Equity</t>
  </si>
  <si>
    <t>Net Debt/Equity</t>
  </si>
  <si>
    <t>Interest Coverage Ratio</t>
  </si>
  <si>
    <t>Interest Cost (%)</t>
  </si>
  <si>
    <t>Net Sales(INR MN)</t>
  </si>
  <si>
    <t>Enterprise Value(Mn)</t>
  </si>
  <si>
    <t>Peer Analysis FY19</t>
  </si>
  <si>
    <t>BCL Industries</t>
  </si>
  <si>
    <t xml:space="preserve">BCL </t>
  </si>
  <si>
    <t xml:space="preserve">Ruchi Soya </t>
  </si>
  <si>
    <t>Peer 5</t>
  </si>
  <si>
    <t>Total Income 2019</t>
  </si>
  <si>
    <t>Net Worth</t>
  </si>
  <si>
    <t>Total Income 2016</t>
  </si>
  <si>
    <t>CAGR 3 YRS</t>
  </si>
  <si>
    <t>Purchase</t>
  </si>
  <si>
    <t>Change in Inventories</t>
  </si>
  <si>
    <t>Non Current Asset</t>
  </si>
  <si>
    <t>Current Asset</t>
  </si>
  <si>
    <t>EBITDA 2019</t>
  </si>
  <si>
    <t>Inventories 2019</t>
  </si>
  <si>
    <t>EBITDA 2016</t>
  </si>
  <si>
    <t>Inventories 2018</t>
  </si>
  <si>
    <t>Sundry Debtors 2019</t>
  </si>
  <si>
    <t>Sundry Debtors 2018</t>
  </si>
  <si>
    <t>Depriciation 2019</t>
  </si>
  <si>
    <t>Interest 2019</t>
  </si>
  <si>
    <t>Current Liabilites</t>
  </si>
  <si>
    <t>Trade Payables 2019</t>
  </si>
  <si>
    <t>Depriciation 2016</t>
  </si>
  <si>
    <t>Trade Payables 2018</t>
  </si>
  <si>
    <t>Interest 2016</t>
  </si>
  <si>
    <t>PBT 2019</t>
  </si>
  <si>
    <t>PBT 2016</t>
  </si>
  <si>
    <t>PAT 2019</t>
  </si>
  <si>
    <t>PAT 2016</t>
  </si>
  <si>
    <t>EPS 2019</t>
  </si>
  <si>
    <t>DPS</t>
  </si>
  <si>
    <t>Asset T/O ratio</t>
  </si>
  <si>
    <t>Inerest Coverage Ratio</t>
  </si>
  <si>
    <t>Income Statement(INR Mn)</t>
  </si>
  <si>
    <t>Matrimony.com Ltd (Consolidated)</t>
  </si>
  <si>
    <t>Advertisement and business promotion expense</t>
  </si>
  <si>
    <t>trade receivables</t>
  </si>
  <si>
    <t>Other non-current liabilities</t>
  </si>
  <si>
    <t>Property plant and equipment</t>
  </si>
  <si>
    <t>Financial assets - security deposits</t>
  </si>
  <si>
    <t>financial assets - bank balance</t>
  </si>
  <si>
    <t>deferred tax assets</t>
  </si>
  <si>
    <t>income tax assets</t>
  </si>
  <si>
    <t>other non current assets</t>
  </si>
  <si>
    <t>cash and equivalents</t>
  </si>
  <si>
    <t>bank balance</t>
  </si>
  <si>
    <t>investments</t>
  </si>
  <si>
    <t>derivative instruments</t>
  </si>
  <si>
    <t>other financial assets</t>
  </si>
  <si>
    <t>other current assets</t>
  </si>
  <si>
    <t>financial liabilities - borrowings</t>
  </si>
  <si>
    <t>trade payables</t>
  </si>
  <si>
    <t>others payables</t>
  </si>
  <si>
    <t>other current liabilities</t>
  </si>
  <si>
    <t>provisions</t>
  </si>
  <si>
    <t>liabilities for current tax</t>
  </si>
  <si>
    <t>Rights of use assets</t>
  </si>
  <si>
    <t>lease liabilities</t>
  </si>
  <si>
    <t>financial liabilities - lease liabilities</t>
  </si>
  <si>
    <t>Interest income</t>
  </si>
  <si>
    <t>FY20</t>
  </si>
  <si>
    <t>Investment in associate</t>
  </si>
  <si>
    <t>Total Income 2020</t>
  </si>
  <si>
    <t>Total Income 2017</t>
  </si>
  <si>
    <t>Depriciation 2020</t>
  </si>
  <si>
    <t>Interest 2020</t>
  </si>
  <si>
    <t>Depriciation 2017</t>
  </si>
  <si>
    <t>Interest 2017</t>
  </si>
  <si>
    <t>PBT 2020</t>
  </si>
  <si>
    <t>PBT 2017</t>
  </si>
  <si>
    <t>PAT 2020</t>
  </si>
  <si>
    <t>PAT 2017</t>
  </si>
  <si>
    <t>EPS 2020</t>
  </si>
  <si>
    <t>P&amp;L Comparision (As on FY20)</t>
  </si>
  <si>
    <t>Dividend Yield (%)</t>
  </si>
  <si>
    <t>Matrimony FY20</t>
  </si>
  <si>
    <t>Info Edge FY20</t>
  </si>
  <si>
    <t>Just Dial FY20</t>
  </si>
  <si>
    <t>Indiamart FY20</t>
  </si>
  <si>
    <t>NA</t>
  </si>
  <si>
    <t>Fixed Asset Turnover (%)</t>
  </si>
  <si>
    <t>Matrimony H1-FY21</t>
  </si>
  <si>
    <t>Info Edge H1-FY21</t>
  </si>
  <si>
    <t>Just Dial H1-FY21</t>
  </si>
  <si>
    <t>Indiamart H1-FY21</t>
  </si>
  <si>
    <t>Other Expenses</t>
  </si>
  <si>
    <t>FY21</t>
  </si>
  <si>
    <t>Q1FY22</t>
  </si>
  <si>
    <t>H1FY22</t>
  </si>
  <si>
    <t>Goodwill</t>
  </si>
  <si>
    <t>Deffered Tax Liability (net)</t>
  </si>
  <si>
    <t>Q3FY21</t>
  </si>
  <si>
    <t>Q4FY21</t>
  </si>
  <si>
    <t>Q2FY22</t>
  </si>
  <si>
    <t>TTM EPS (Rs)</t>
  </si>
  <si>
    <t>FY22E</t>
  </si>
  <si>
    <t>% Revenue</t>
  </si>
  <si>
    <t>Q1FY21</t>
  </si>
  <si>
    <t>Q2FY21</t>
  </si>
  <si>
    <t>Share of Profit/Loss from Associates</t>
  </si>
  <si>
    <t>Total Income</t>
  </si>
  <si>
    <t>Growth (%) YoY</t>
  </si>
  <si>
    <t>Share of Profits/ Loss</t>
  </si>
  <si>
    <t>FY22</t>
  </si>
  <si>
    <t>Loan to Associates</t>
  </si>
  <si>
    <t>Assets Held for Sale</t>
  </si>
  <si>
    <t>Financial assets - Investments</t>
  </si>
  <si>
    <t>Intangible assets under development</t>
  </si>
  <si>
    <t>Intangible assets</t>
  </si>
  <si>
    <t>FY23</t>
  </si>
  <si>
    <t>Net Current Liabilities</t>
  </si>
  <si>
    <t>FY24</t>
  </si>
  <si>
    <t>H1-FY25</t>
  </si>
  <si>
    <t>Finance Cost</t>
  </si>
  <si>
    <t>Financial assets - Other financial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</si>
</sst>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0.0"/>
    <numFmt numFmtId="166" formatCode="0.0%"/>
    <numFmt numFmtId="167" formatCode="_ * #,##0_ ;_ * \-#,##0_ ;_ * &quot;-&quot;??_ ;_ @_ "/>
    <numFmt numFmtId="168" formatCode="_ * #,##0.0_ ;_ * \-#,##0.0_ ;_ * &quot;-&quot;??_ ;_ @_ "/>
    <numFmt numFmtId="169" formatCode="0.000%"/>
    <numFmt numFmtId="170" formatCode="_ * #,##0.0_ ;_ * \-#,##0.0_ ;_ * &quot;-&quot;?_ ;_ @_ "/>
  </numFmts>
  <fonts count="20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rgb="FFFFFFFF"/>
      <name val="Arial"/>
      <family val="2"/>
    </font>
    <font>
      <i/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u/>
      <sz val="9"/>
      <color theme="1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MyFirstFont"/>
    </font>
    <font>
      <sz val="11"/>
      <color rgb="FF333333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0"/>
      <color rgb="FF000000"/>
      <name val="MyFirstFont"/>
    </font>
  </fonts>
  <fills count="1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1" fillId="0" borderId="0"/>
    <xf numFmtId="0" fontId="11" fillId="0" borderId="0"/>
  </cellStyleXfs>
  <cellXfs count="296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165" fontId="4" fillId="0" borderId="1" xfId="0" applyNumberFormat="1" applyFont="1" applyBorder="1"/>
    <xf numFmtId="0" fontId="1" fillId="0" borderId="1" xfId="0" applyFont="1" applyBorder="1"/>
    <xf numFmtId="165" fontId="1" fillId="0" borderId="1" xfId="0" applyNumberFormat="1" applyFont="1" applyBorder="1"/>
    <xf numFmtId="0" fontId="5" fillId="0" borderId="0" xfId="0" applyFont="1"/>
    <xf numFmtId="0" fontId="4" fillId="0" borderId="2" xfId="0" applyFont="1" applyBorder="1"/>
    <xf numFmtId="165" fontId="7" fillId="0" borderId="1" xfId="0" applyNumberFormat="1" applyFont="1" applyBorder="1"/>
    <xf numFmtId="165" fontId="7" fillId="0" borderId="0" xfId="0" applyNumberFormat="1" applyFont="1"/>
    <xf numFmtId="0" fontId="9" fillId="0" borderId="1" xfId="0" applyFont="1" applyBorder="1" applyAlignment="1">
      <alignment horizontal="right"/>
    </xf>
    <xf numFmtId="0" fontId="3" fillId="3" borderId="1" xfId="0" applyFont="1" applyFill="1" applyBorder="1"/>
    <xf numFmtId="0" fontId="4" fillId="3" borderId="1" xfId="0" applyFont="1" applyFill="1" applyBorder="1"/>
    <xf numFmtId="165" fontId="4" fillId="3" borderId="1" xfId="0" applyNumberFormat="1" applyFont="1" applyFill="1" applyBorder="1"/>
    <xf numFmtId="10" fontId="4" fillId="3" borderId="1" xfId="0" applyNumberFormat="1" applyFont="1" applyFill="1" applyBorder="1"/>
    <xf numFmtId="10" fontId="4" fillId="3" borderId="1" xfId="1" applyNumberFormat="1" applyFont="1" applyFill="1" applyBorder="1"/>
    <xf numFmtId="0" fontId="1" fillId="3" borderId="1" xfId="0" applyFont="1" applyFill="1" applyBorder="1"/>
    <xf numFmtId="166" fontId="1" fillId="3" borderId="1" xfId="0" applyNumberFormat="1" applyFont="1" applyFill="1" applyBorder="1"/>
    <xf numFmtId="2" fontId="1" fillId="3" borderId="1" xfId="0" applyNumberFormat="1" applyFont="1" applyFill="1" applyBorder="1"/>
    <xf numFmtId="164" fontId="1" fillId="3" borderId="1" xfId="2" applyFont="1" applyFill="1" applyBorder="1"/>
    <xf numFmtId="164" fontId="4" fillId="3" borderId="1" xfId="2" applyFont="1" applyFill="1" applyBorder="1"/>
    <xf numFmtId="165" fontId="1" fillId="3" borderId="1" xfId="0" applyNumberFormat="1" applyFont="1" applyFill="1" applyBorder="1"/>
    <xf numFmtId="164" fontId="4" fillId="0" borderId="1" xfId="2" applyFont="1" applyBorder="1"/>
    <xf numFmtId="168" fontId="4" fillId="0" borderId="1" xfId="2" applyNumberFormat="1" applyFont="1" applyBorder="1"/>
    <xf numFmtId="168" fontId="9" fillId="0" borderId="1" xfId="2" applyNumberFormat="1" applyFont="1" applyFill="1" applyBorder="1"/>
    <xf numFmtId="168" fontId="1" fillId="0" borderId="1" xfId="2" applyNumberFormat="1" applyFont="1" applyBorder="1"/>
    <xf numFmtId="168" fontId="7" fillId="0" borderId="1" xfId="2" applyNumberFormat="1" applyFont="1" applyFill="1" applyBorder="1"/>
    <xf numFmtId="168" fontId="4" fillId="3" borderId="1" xfId="2" applyNumberFormat="1" applyFont="1" applyFill="1" applyBorder="1"/>
    <xf numFmtId="168" fontId="9" fillId="3" borderId="1" xfId="2" applyNumberFormat="1" applyFont="1" applyFill="1" applyBorder="1"/>
    <xf numFmtId="168" fontId="7" fillId="0" borderId="1" xfId="2" applyNumberFormat="1" applyFont="1" applyBorder="1"/>
    <xf numFmtId="164" fontId="4" fillId="0" borderId="1" xfId="2" applyFont="1" applyFill="1" applyBorder="1"/>
    <xf numFmtId="164" fontId="9" fillId="0" borderId="1" xfId="2" applyFont="1" applyFill="1" applyBorder="1"/>
    <xf numFmtId="10" fontId="1" fillId="3" borderId="1" xfId="0" applyNumberFormat="1" applyFont="1" applyFill="1" applyBorder="1"/>
    <xf numFmtId="168" fontId="4" fillId="0" borderId="1" xfId="2" applyNumberFormat="1" applyFont="1" applyFill="1" applyBorder="1"/>
    <xf numFmtId="168" fontId="1" fillId="3" borderId="1" xfId="2" applyNumberFormat="1" applyFont="1" applyFill="1" applyBorder="1"/>
    <xf numFmtId="168" fontId="7" fillId="3" borderId="1" xfId="2" applyNumberFormat="1" applyFont="1" applyFill="1" applyBorder="1"/>
    <xf numFmtId="168" fontId="1" fillId="0" borderId="1" xfId="2" applyNumberFormat="1" applyFont="1" applyFill="1" applyBorder="1"/>
    <xf numFmtId="167" fontId="7" fillId="0" borderId="1" xfId="2" applyNumberFormat="1" applyFont="1" applyFill="1" applyBorder="1"/>
    <xf numFmtId="168" fontId="7" fillId="0" borderId="3" xfId="2" applyNumberFormat="1" applyFont="1" applyBorder="1"/>
    <xf numFmtId="168" fontId="1" fillId="0" borderId="2" xfId="2" applyNumberFormat="1" applyFont="1" applyBorder="1"/>
    <xf numFmtId="164" fontId="9" fillId="0" borderId="1" xfId="2" applyFont="1" applyBorder="1"/>
    <xf numFmtId="10" fontId="7" fillId="3" borderId="1" xfId="0" applyNumberFormat="1" applyFont="1" applyFill="1" applyBorder="1"/>
    <xf numFmtId="10" fontId="1" fillId="3" borderId="1" xfId="1" applyNumberFormat="1" applyFont="1" applyFill="1" applyBorder="1"/>
    <xf numFmtId="1" fontId="1" fillId="3" borderId="1" xfId="0" applyNumberFormat="1" applyFont="1" applyFill="1" applyBorder="1"/>
    <xf numFmtId="1" fontId="7" fillId="3" borderId="1" xfId="0" applyNumberFormat="1" applyFont="1" applyFill="1" applyBorder="1"/>
    <xf numFmtId="0" fontId="4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8" fontId="10" fillId="4" borderId="1" xfId="2" applyNumberFormat="1" applyFont="1" applyFill="1" applyBorder="1" applyAlignment="1">
      <alignment vertical="center"/>
    </xf>
    <xf numFmtId="165" fontId="10" fillId="0" borderId="1" xfId="2" applyNumberFormat="1" applyFont="1" applyBorder="1" applyAlignment="1">
      <alignment vertical="center"/>
    </xf>
    <xf numFmtId="168" fontId="10" fillId="0" borderId="1" xfId="2" applyNumberFormat="1" applyFont="1" applyBorder="1" applyAlignment="1">
      <alignment vertical="center"/>
    </xf>
    <xf numFmtId="168" fontId="10" fillId="0" borderId="1" xfId="2" applyNumberFormat="1" applyFont="1" applyFill="1" applyBorder="1" applyAlignment="1">
      <alignment vertical="center"/>
    </xf>
    <xf numFmtId="165" fontId="7" fillId="0" borderId="1" xfId="2" applyNumberFormat="1" applyFont="1" applyBorder="1" applyAlignment="1">
      <alignment vertical="center"/>
    </xf>
    <xf numFmtId="165" fontId="10" fillId="0" borderId="1" xfId="2" applyNumberFormat="1" applyFont="1" applyFill="1" applyBorder="1" applyAlignment="1">
      <alignment vertical="center"/>
    </xf>
    <xf numFmtId="168" fontId="7" fillId="0" borderId="1" xfId="2" applyNumberFormat="1" applyFont="1" applyBorder="1" applyAlignment="1">
      <alignment vertical="center"/>
    </xf>
    <xf numFmtId="168" fontId="7" fillId="0" borderId="1" xfId="2" applyNumberFormat="1" applyFont="1" applyBorder="1" applyAlignment="1">
      <alignment horizontal="center" vertical="center"/>
    </xf>
    <xf numFmtId="164" fontId="5" fillId="0" borderId="0" xfId="0" applyNumberFormat="1" applyFont="1"/>
    <xf numFmtId="168" fontId="7" fillId="0" borderId="1" xfId="2" applyNumberFormat="1" applyFont="1" applyFill="1" applyBorder="1" applyAlignment="1">
      <alignment vertical="center"/>
    </xf>
    <xf numFmtId="0" fontId="1" fillId="0" borderId="0" xfId="0" applyFont="1" applyAlignment="1">
      <alignment horizontal="right"/>
    </xf>
    <xf numFmtId="165" fontId="7" fillId="0" borderId="1" xfId="2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/>
    </xf>
    <xf numFmtId="10" fontId="5" fillId="3" borderId="1" xfId="0" applyNumberFormat="1" applyFont="1" applyFill="1" applyBorder="1"/>
    <xf numFmtId="165" fontId="9" fillId="0" borderId="1" xfId="0" applyNumberFormat="1" applyFont="1" applyBorder="1"/>
    <xf numFmtId="168" fontId="7" fillId="0" borderId="3" xfId="2" applyNumberFormat="1" applyFont="1" applyFill="1" applyBorder="1"/>
    <xf numFmtId="0" fontId="0" fillId="0" borderId="1" xfId="0" applyBorder="1"/>
    <xf numFmtId="4" fontId="0" fillId="4" borderId="1" xfId="0" applyNumberFormat="1" applyFill="1" applyBorder="1"/>
    <xf numFmtId="4" fontId="0" fillId="4" borderId="3" xfId="0" applyNumberFormat="1" applyFill="1" applyBorder="1"/>
    <xf numFmtId="0" fontId="0" fillId="4" borderId="7" xfId="0" applyFill="1" applyBorder="1"/>
    <xf numFmtId="0" fontId="0" fillId="3" borderId="1" xfId="0" applyFill="1" applyBorder="1"/>
    <xf numFmtId="10" fontId="0" fillId="3" borderId="1" xfId="1" applyNumberFormat="1" applyFont="1" applyFill="1" applyBorder="1"/>
    <xf numFmtId="10" fontId="0" fillId="0" borderId="1" xfId="1" applyNumberFormat="1" applyFont="1" applyBorder="1"/>
    <xf numFmtId="0" fontId="0" fillId="0" borderId="1" xfId="1" applyNumberFormat="1" applyFont="1" applyBorder="1"/>
    <xf numFmtId="3" fontId="15" fillId="0" borderId="0" xfId="0" applyNumberFormat="1" applyFont="1"/>
    <xf numFmtId="3" fontId="15" fillId="5" borderId="0" xfId="0" applyNumberFormat="1" applyFont="1" applyFill="1" applyAlignment="1">
      <alignment horizontal="right" vertical="center" wrapText="1" indent="1"/>
    </xf>
    <xf numFmtId="2" fontId="0" fillId="3" borderId="1" xfId="0" applyNumberFormat="1" applyFill="1" applyBorder="1"/>
    <xf numFmtId="2" fontId="1" fillId="3" borderId="1" xfId="2" applyNumberFormat="1" applyFont="1" applyFill="1" applyBorder="1"/>
    <xf numFmtId="10" fontId="0" fillId="3" borderId="1" xfId="0" applyNumberFormat="1" applyFill="1" applyBorder="1"/>
    <xf numFmtId="1" fontId="0" fillId="3" borderId="1" xfId="0" applyNumberFormat="1" applyFill="1" applyBorder="1"/>
    <xf numFmtId="0" fontId="12" fillId="6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4" fontId="0" fillId="10" borderId="4" xfId="0" applyNumberFormat="1" applyFill="1" applyBorder="1" applyAlignment="1">
      <alignment horizontal="center"/>
    </xf>
    <xf numFmtId="4" fontId="0" fillId="4" borderId="4" xfId="0" applyNumberFormat="1" applyFill="1" applyBorder="1" applyAlignment="1">
      <alignment horizontal="center"/>
    </xf>
    <xf numFmtId="10" fontId="0" fillId="8" borderId="1" xfId="0" applyNumberFormat="1" applyFill="1" applyBorder="1" applyAlignment="1">
      <alignment horizontal="center"/>
    </xf>
    <xf numFmtId="10" fontId="0" fillId="4" borderId="1" xfId="0" applyNumberForma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4" fontId="0" fillId="8" borderId="4" xfId="0" applyNumberFormat="1" applyFill="1" applyBorder="1" applyAlignment="1">
      <alignment horizontal="center"/>
    </xf>
    <xf numFmtId="10" fontId="0" fillId="9" borderId="1" xfId="0" applyNumberFormat="1" applyFill="1" applyBorder="1" applyAlignment="1">
      <alignment horizontal="center"/>
    </xf>
    <xf numFmtId="4" fontId="13" fillId="4" borderId="1" xfId="0" applyNumberFormat="1" applyFont="1" applyFill="1" applyBorder="1" applyAlignment="1">
      <alignment horizontal="center"/>
    </xf>
    <xf numFmtId="4" fontId="0" fillId="4" borderId="0" xfId="0" applyNumberFormat="1" applyFill="1" applyAlignment="1">
      <alignment horizontal="center"/>
    </xf>
    <xf numFmtId="10" fontId="12" fillId="9" borderId="1" xfId="0" applyNumberFormat="1" applyFont="1" applyFill="1" applyBorder="1" applyAlignment="1">
      <alignment horizontal="center"/>
    </xf>
    <xf numFmtId="10" fontId="12" fillId="4" borderId="1" xfId="0" applyNumberFormat="1" applyFont="1" applyFill="1" applyBorder="1" applyAlignment="1">
      <alignment horizontal="center"/>
    </xf>
    <xf numFmtId="10" fontId="13" fillId="4" borderId="1" xfId="1" applyNumberFormat="1" applyFont="1" applyFill="1" applyBorder="1" applyAlignment="1">
      <alignment horizontal="center"/>
    </xf>
    <xf numFmtId="10" fontId="13" fillId="4" borderId="1" xfId="0" applyNumberFormat="1" applyFont="1" applyFill="1" applyBorder="1" applyAlignment="1">
      <alignment horizontal="center"/>
    </xf>
    <xf numFmtId="4" fontId="0" fillId="9" borderId="4" xfId="0" applyNumberForma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4" fontId="14" fillId="4" borderId="1" xfId="0" applyNumberFormat="1" applyFont="1" applyFill="1" applyBorder="1" applyAlignment="1">
      <alignment horizontal="center"/>
    </xf>
    <xf numFmtId="9" fontId="13" fillId="4" borderId="1" xfId="1" applyFont="1" applyFill="1" applyBorder="1" applyAlignment="1">
      <alignment horizontal="center"/>
    </xf>
    <xf numFmtId="10" fontId="0" fillId="9" borderId="1" xfId="1" applyNumberFormat="1" applyFont="1" applyFill="1" applyBorder="1" applyAlignment="1">
      <alignment horizontal="center"/>
    </xf>
    <xf numFmtId="10" fontId="0" fillId="4" borderId="1" xfId="1" applyNumberFormat="1" applyFont="1" applyFill="1" applyBorder="1" applyAlignment="1">
      <alignment horizontal="center"/>
    </xf>
    <xf numFmtId="10" fontId="14" fillId="4" borderId="1" xfId="1" applyNumberFormat="1" applyFont="1" applyFill="1" applyBorder="1" applyAlignment="1">
      <alignment horizontal="center"/>
    </xf>
    <xf numFmtId="10" fontId="14" fillId="4" borderId="1" xfId="0" applyNumberFormat="1" applyFont="1" applyFill="1" applyBorder="1" applyAlignment="1">
      <alignment horizontal="center"/>
    </xf>
    <xf numFmtId="164" fontId="0" fillId="8" borderId="1" xfId="0" applyNumberFormat="1" applyFill="1" applyBorder="1" applyAlignment="1">
      <alignment horizontal="center"/>
    </xf>
    <xf numFmtId="169" fontId="13" fillId="4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9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9" fontId="0" fillId="9" borderId="1" xfId="1" applyFon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2" fontId="0" fillId="9" borderId="1" xfId="0" applyNumberFormat="1" applyFill="1" applyBorder="1" applyAlignment="1">
      <alignment horizontal="center"/>
    </xf>
    <xf numFmtId="2" fontId="0" fillId="8" borderId="1" xfId="0" applyNumberFormat="1" applyFill="1" applyBorder="1" applyAlignment="1">
      <alignment horizontal="center"/>
    </xf>
    <xf numFmtId="2" fontId="0" fillId="10" borderId="1" xfId="0" applyNumberFormat="1" applyFill="1" applyBorder="1" applyAlignment="1">
      <alignment horizontal="center"/>
    </xf>
    <xf numFmtId="165" fontId="0" fillId="8" borderId="0" xfId="0" applyNumberFormat="1" applyFill="1" applyAlignment="1">
      <alignment horizontal="center"/>
    </xf>
    <xf numFmtId="165" fontId="0" fillId="0" borderId="0" xfId="0" applyNumberFormat="1" applyAlignment="1">
      <alignment horizontal="center"/>
    </xf>
    <xf numFmtId="164" fontId="0" fillId="8" borderId="1" xfId="0" applyNumberFormat="1" applyFill="1" applyBorder="1" applyAlignment="1">
      <alignment horizontal="left"/>
    </xf>
    <xf numFmtId="9" fontId="1" fillId="0" borderId="0" xfId="1" applyFont="1"/>
    <xf numFmtId="164" fontId="1" fillId="0" borderId="0" xfId="0" applyNumberFormat="1" applyFont="1"/>
    <xf numFmtId="168" fontId="7" fillId="0" borderId="3" xfId="2" applyNumberFormat="1" applyFont="1" applyBorder="1" applyAlignment="1">
      <alignment vertical="center"/>
    </xf>
    <xf numFmtId="167" fontId="0" fillId="0" borderId="1" xfId="2" applyNumberFormat="1" applyFont="1" applyFill="1" applyBorder="1" applyAlignment="1">
      <alignment horizontal="right"/>
    </xf>
    <xf numFmtId="0" fontId="12" fillId="6" borderId="1" xfId="0" applyFont="1" applyFill="1" applyBorder="1"/>
    <xf numFmtId="0" fontId="12" fillId="0" borderId="1" xfId="0" applyFont="1" applyBorder="1"/>
    <xf numFmtId="0" fontId="12" fillId="7" borderId="1" xfId="0" applyFont="1" applyFill="1" applyBorder="1"/>
    <xf numFmtId="0" fontId="12" fillId="4" borderId="1" xfId="0" applyFont="1" applyFill="1" applyBorder="1"/>
    <xf numFmtId="0" fontId="0" fillId="4" borderId="1" xfId="0" applyFill="1" applyBorder="1"/>
    <xf numFmtId="4" fontId="0" fillId="3" borderId="4" xfId="0" applyNumberFormat="1" applyFill="1" applyBorder="1"/>
    <xf numFmtId="167" fontId="0" fillId="0" borderId="1" xfId="2" applyNumberFormat="1" applyFont="1" applyFill="1" applyBorder="1" applyAlignment="1"/>
    <xf numFmtId="10" fontId="0" fillId="4" borderId="1" xfId="0" applyNumberFormat="1" applyFill="1" applyBorder="1"/>
    <xf numFmtId="4" fontId="0" fillId="4" borderId="4" xfId="0" applyNumberFormat="1" applyFill="1" applyBorder="1"/>
    <xf numFmtId="10" fontId="0" fillId="0" borderId="1" xfId="0" applyNumberFormat="1" applyBorder="1"/>
    <xf numFmtId="4" fontId="0" fillId="4" borderId="0" xfId="0" applyNumberFormat="1" applyFill="1"/>
    <xf numFmtId="10" fontId="12" fillId="10" borderId="1" xfId="0" applyNumberFormat="1" applyFont="1" applyFill="1" applyBorder="1"/>
    <xf numFmtId="10" fontId="12" fillId="4" borderId="1" xfId="0" applyNumberFormat="1" applyFont="1" applyFill="1" applyBorder="1"/>
    <xf numFmtId="10" fontId="0" fillId="3" borderId="1" xfId="1" applyNumberFormat="1" applyFont="1" applyFill="1" applyBorder="1" applyAlignment="1"/>
    <xf numFmtId="10" fontId="0" fillId="4" borderId="1" xfId="1" applyNumberFormat="1" applyFont="1" applyFill="1" applyBorder="1" applyAlignment="1"/>
    <xf numFmtId="164" fontId="0" fillId="3" borderId="1" xfId="0" applyNumberFormat="1" applyFill="1" applyBorder="1"/>
    <xf numFmtId="2" fontId="0" fillId="0" borderId="8" xfId="1" applyNumberFormat="1" applyFont="1" applyFill="1" applyBorder="1" applyAlignment="1"/>
    <xf numFmtId="4" fontId="0" fillId="0" borderId="4" xfId="0" applyNumberFormat="1" applyBorder="1"/>
    <xf numFmtId="4" fontId="0" fillId="9" borderId="4" xfId="0" applyNumberFormat="1" applyFill="1" applyBorder="1"/>
    <xf numFmtId="165" fontId="0" fillId="0" borderId="0" xfId="0" applyNumberFormat="1"/>
    <xf numFmtId="4" fontId="16" fillId="0" borderId="0" xfId="0" applyNumberFormat="1" applyFont="1"/>
    <xf numFmtId="2" fontId="0" fillId="4" borderId="1" xfId="0" applyNumberFormat="1" applyFill="1" applyBorder="1"/>
    <xf numFmtId="9" fontId="0" fillId="0" borderId="1" xfId="1" applyFont="1" applyFill="1" applyBorder="1" applyAlignment="1"/>
    <xf numFmtId="164" fontId="0" fillId="4" borderId="1" xfId="0" applyNumberFormat="1" applyFill="1" applyBorder="1"/>
    <xf numFmtId="164" fontId="0" fillId="0" borderId="1" xfId="0" applyNumberFormat="1" applyBorder="1"/>
    <xf numFmtId="2" fontId="0" fillId="0" borderId="1" xfId="0" applyNumberFormat="1" applyBorder="1"/>
    <xf numFmtId="2" fontId="0" fillId="11" borderId="1" xfId="0" applyNumberFormat="1" applyFill="1" applyBorder="1"/>
    <xf numFmtId="168" fontId="7" fillId="0" borderId="0" xfId="2" applyNumberFormat="1" applyFont="1" applyFill="1" applyBorder="1"/>
    <xf numFmtId="0" fontId="2" fillId="2" borderId="0" xfId="0" applyFont="1" applyFill="1" applyAlignment="1">
      <alignment vertical="center"/>
    </xf>
    <xf numFmtId="164" fontId="1" fillId="0" borderId="1" xfId="0" applyNumberFormat="1" applyFont="1" applyBorder="1"/>
    <xf numFmtId="10" fontId="0" fillId="0" borderId="0" xfId="0" applyNumberFormat="1"/>
    <xf numFmtId="167" fontId="0" fillId="0" borderId="0" xfId="2" applyNumberFormat="1" applyFont="1" applyFill="1" applyBorder="1" applyAlignment="1"/>
    <xf numFmtId="9" fontId="0" fillId="0" borderId="0" xfId="0" applyNumberFormat="1"/>
    <xf numFmtId="2" fontId="0" fillId="0" borderId="0" xfId="0" applyNumberFormat="1"/>
    <xf numFmtId="4" fontId="1" fillId="0" borderId="0" xfId="0" applyNumberFormat="1" applyFont="1"/>
    <xf numFmtId="168" fontId="10" fillId="0" borderId="1" xfId="2" applyNumberFormat="1" applyFont="1" applyBorder="1" applyAlignment="1">
      <alignment horizontal="right" vertical="center"/>
    </xf>
    <xf numFmtId="10" fontId="7" fillId="3" borderId="1" xfId="1" applyNumberFormat="1" applyFont="1" applyFill="1" applyBorder="1" applyAlignment="1">
      <alignment horizontal="right"/>
    </xf>
    <xf numFmtId="10" fontId="1" fillId="3" borderId="1" xfId="1" applyNumberFormat="1" applyFont="1" applyFill="1" applyBorder="1" applyAlignment="1">
      <alignment horizontal="right"/>
    </xf>
    <xf numFmtId="164" fontId="7" fillId="3" borderId="1" xfId="2" applyFont="1" applyFill="1" applyBorder="1"/>
    <xf numFmtId="0" fontId="7" fillId="3" borderId="1" xfId="0" applyFont="1" applyFill="1" applyBorder="1"/>
    <xf numFmtId="165" fontId="10" fillId="0" borderId="0" xfId="2" applyNumberFormat="1" applyFont="1" applyBorder="1" applyAlignment="1">
      <alignment vertical="center"/>
    </xf>
    <xf numFmtId="0" fontId="9" fillId="0" borderId="3" xfId="0" applyFont="1" applyBorder="1" applyAlignment="1">
      <alignment horizontal="right"/>
    </xf>
    <xf numFmtId="168" fontId="4" fillId="3" borderId="3" xfId="2" applyNumberFormat="1" applyFont="1" applyFill="1" applyBorder="1"/>
    <xf numFmtId="168" fontId="9" fillId="3" borderId="3" xfId="2" applyNumberFormat="1" applyFont="1" applyFill="1" applyBorder="1"/>
    <xf numFmtId="168" fontId="10" fillId="0" borderId="0" xfId="2" applyNumberFormat="1" applyFont="1" applyFill="1" applyBorder="1" applyAlignment="1">
      <alignment vertical="center"/>
    </xf>
    <xf numFmtId="164" fontId="4" fillId="0" borderId="0" xfId="2" applyFont="1" applyBorder="1"/>
    <xf numFmtId="10" fontId="1" fillId="3" borderId="1" xfId="0" applyNumberFormat="1" applyFont="1" applyFill="1" applyBorder="1" applyAlignment="1">
      <alignment horizontal="right"/>
    </xf>
    <xf numFmtId="0" fontId="1" fillId="4" borderId="0" xfId="0" applyFont="1" applyFill="1"/>
    <xf numFmtId="0" fontId="1" fillId="4" borderId="1" xfId="0" applyFont="1" applyFill="1" applyBorder="1"/>
    <xf numFmtId="168" fontId="1" fillId="4" borderId="1" xfId="2" applyNumberFormat="1" applyFont="1" applyFill="1" applyBorder="1"/>
    <xf numFmtId="165" fontId="10" fillId="4" borderId="1" xfId="2" applyNumberFormat="1" applyFont="1" applyFill="1" applyBorder="1" applyAlignment="1">
      <alignment vertical="center"/>
    </xf>
    <xf numFmtId="165" fontId="1" fillId="4" borderId="1" xfId="0" applyNumberFormat="1" applyFont="1" applyFill="1" applyBorder="1"/>
    <xf numFmtId="164" fontId="1" fillId="4" borderId="1" xfId="0" applyNumberFormat="1" applyFont="1" applyFill="1" applyBorder="1"/>
    <xf numFmtId="0" fontId="9" fillId="4" borderId="1" xfId="0" applyFont="1" applyFill="1" applyBorder="1" applyAlignment="1">
      <alignment horizontal="right"/>
    </xf>
    <xf numFmtId="164" fontId="4" fillId="4" borderId="1" xfId="2" applyFont="1" applyFill="1" applyBorder="1"/>
    <xf numFmtId="0" fontId="9" fillId="0" borderId="3" xfId="0" applyFont="1" applyBorder="1" applyAlignment="1">
      <alignment horizontal="center"/>
    </xf>
    <xf numFmtId="168" fontId="10" fillId="4" borderId="3" xfId="2" applyNumberFormat="1" applyFont="1" applyFill="1" applyBorder="1" applyAlignment="1">
      <alignment vertical="center"/>
    </xf>
    <xf numFmtId="165" fontId="10" fillId="0" borderId="3" xfId="2" applyNumberFormat="1" applyFont="1" applyBorder="1" applyAlignment="1">
      <alignment vertical="center"/>
    </xf>
    <xf numFmtId="10" fontId="1" fillId="3" borderId="3" xfId="0" applyNumberFormat="1" applyFont="1" applyFill="1" applyBorder="1"/>
    <xf numFmtId="10" fontId="1" fillId="3" borderId="3" xfId="0" applyNumberFormat="1" applyFont="1" applyFill="1" applyBorder="1" applyAlignment="1">
      <alignment horizontal="right"/>
    </xf>
    <xf numFmtId="10" fontId="4" fillId="3" borderId="3" xfId="0" applyNumberFormat="1" applyFont="1" applyFill="1" applyBorder="1"/>
    <xf numFmtId="10" fontId="4" fillId="3" borderId="3" xfId="1" applyNumberFormat="1" applyFont="1" applyFill="1" applyBorder="1"/>
    <xf numFmtId="165" fontId="9" fillId="0" borderId="3" xfId="0" applyNumberFormat="1" applyFont="1" applyBorder="1"/>
    <xf numFmtId="165" fontId="4" fillId="3" borderId="3" xfId="0" applyNumberFormat="1" applyFont="1" applyFill="1" applyBorder="1"/>
    <xf numFmtId="164" fontId="9" fillId="0" borderId="3" xfId="2" applyFont="1" applyFill="1" applyBorder="1"/>
    <xf numFmtId="0" fontId="5" fillId="0" borderId="1" xfId="0" applyFont="1" applyBorder="1"/>
    <xf numFmtId="0" fontId="1" fillId="8" borderId="1" xfId="0" applyFont="1" applyFill="1" applyBorder="1"/>
    <xf numFmtId="168" fontId="10" fillId="8" borderId="1" xfId="2" applyNumberFormat="1" applyFont="1" applyFill="1" applyBorder="1" applyAlignment="1">
      <alignment vertical="center"/>
    </xf>
    <xf numFmtId="9" fontId="10" fillId="8" borderId="1" xfId="1" applyFont="1" applyFill="1" applyBorder="1" applyAlignment="1">
      <alignment vertical="center"/>
    </xf>
    <xf numFmtId="165" fontId="10" fillId="8" borderId="1" xfId="2" applyNumberFormat="1" applyFont="1" applyFill="1" applyBorder="1" applyAlignment="1">
      <alignment vertical="center"/>
    </xf>
    <xf numFmtId="10" fontId="7" fillId="3" borderId="3" xfId="0" applyNumberFormat="1" applyFont="1" applyFill="1" applyBorder="1"/>
    <xf numFmtId="10" fontId="1" fillId="8" borderId="1" xfId="0" applyNumberFormat="1" applyFont="1" applyFill="1" applyBorder="1"/>
    <xf numFmtId="10" fontId="1" fillId="0" borderId="1" xfId="0" applyNumberFormat="1" applyFont="1" applyBorder="1"/>
    <xf numFmtId="0" fontId="3" fillId="8" borderId="1" xfId="0" applyFont="1" applyFill="1" applyBorder="1"/>
    <xf numFmtId="168" fontId="4" fillId="0" borderId="3" xfId="2" applyNumberFormat="1" applyFont="1" applyFill="1" applyBorder="1"/>
    <xf numFmtId="0" fontId="4" fillId="12" borderId="1" xfId="0" applyFont="1" applyFill="1" applyBorder="1"/>
    <xf numFmtId="168" fontId="10" fillId="12" borderId="1" xfId="2" applyNumberFormat="1" applyFont="1" applyFill="1" applyBorder="1" applyAlignment="1">
      <alignment vertical="center"/>
    </xf>
    <xf numFmtId="168" fontId="10" fillId="12" borderId="3" xfId="2" applyNumberFormat="1" applyFont="1" applyFill="1" applyBorder="1" applyAlignment="1">
      <alignment vertical="center"/>
    </xf>
    <xf numFmtId="0" fontId="3" fillId="0" borderId="1" xfId="0" applyFont="1" applyBorder="1"/>
    <xf numFmtId="10" fontId="1" fillId="0" borderId="3" xfId="0" applyNumberFormat="1" applyFont="1" applyBorder="1"/>
    <xf numFmtId="10" fontId="5" fillId="0" borderId="1" xfId="0" applyNumberFormat="1" applyFont="1" applyBorder="1"/>
    <xf numFmtId="0" fontId="1" fillId="13" borderId="1" xfId="0" applyFont="1" applyFill="1" applyBorder="1"/>
    <xf numFmtId="168" fontId="10" fillId="13" borderId="1" xfId="2" applyNumberFormat="1" applyFont="1" applyFill="1" applyBorder="1" applyAlignment="1">
      <alignment vertical="center"/>
    </xf>
    <xf numFmtId="168" fontId="10" fillId="13" borderId="1" xfId="2" applyNumberFormat="1" applyFont="1" applyFill="1" applyBorder="1" applyAlignment="1">
      <alignment horizontal="right" vertical="center"/>
    </xf>
    <xf numFmtId="168" fontId="10" fillId="13" borderId="3" xfId="2" applyNumberFormat="1" applyFont="1" applyFill="1" applyBorder="1" applyAlignment="1">
      <alignment horizontal="right" vertical="center"/>
    </xf>
    <xf numFmtId="165" fontId="10" fillId="13" borderId="1" xfId="2" applyNumberFormat="1" applyFont="1" applyFill="1" applyBorder="1" applyAlignment="1">
      <alignment vertical="center"/>
    </xf>
    <xf numFmtId="0" fontId="7" fillId="13" borderId="0" xfId="0" applyFont="1" applyFill="1"/>
    <xf numFmtId="167" fontId="10" fillId="13" borderId="1" xfId="2" applyNumberFormat="1" applyFont="1" applyFill="1" applyBorder="1" applyAlignment="1">
      <alignment vertical="center"/>
    </xf>
    <xf numFmtId="167" fontId="10" fillId="13" borderId="3" xfId="2" applyNumberFormat="1" applyFont="1" applyFill="1" applyBorder="1" applyAlignment="1">
      <alignment vertical="center"/>
    </xf>
    <xf numFmtId="165" fontId="10" fillId="13" borderId="3" xfId="2" applyNumberFormat="1" applyFont="1" applyFill="1" applyBorder="1" applyAlignment="1">
      <alignment vertical="center"/>
    </xf>
    <xf numFmtId="0" fontId="4" fillId="13" borderId="1" xfId="0" applyFont="1" applyFill="1" applyBorder="1"/>
    <xf numFmtId="167" fontId="4" fillId="13" borderId="3" xfId="2" applyNumberFormat="1" applyFont="1" applyFill="1" applyBorder="1"/>
    <xf numFmtId="10" fontId="4" fillId="13" borderId="1" xfId="0" applyNumberFormat="1" applyFont="1" applyFill="1" applyBorder="1"/>
    <xf numFmtId="10" fontId="4" fillId="13" borderId="3" xfId="0" applyNumberFormat="1" applyFont="1" applyFill="1" applyBorder="1"/>
    <xf numFmtId="10" fontId="1" fillId="0" borderId="3" xfId="0" applyNumberFormat="1" applyFont="1" applyBorder="1" applyAlignment="1">
      <alignment horizontal="right"/>
    </xf>
    <xf numFmtId="10" fontId="1" fillId="0" borderId="1" xfId="0" applyNumberFormat="1" applyFont="1" applyBorder="1" applyAlignment="1">
      <alignment horizontal="right"/>
    </xf>
    <xf numFmtId="168" fontId="4" fillId="0" borderId="0" xfId="2" applyNumberFormat="1" applyFont="1" applyFill="1" applyBorder="1"/>
    <xf numFmtId="168" fontId="9" fillId="0" borderId="0" xfId="2" applyNumberFormat="1" applyFont="1" applyFill="1" applyBorder="1"/>
    <xf numFmtId="165" fontId="1" fillId="0" borderId="0" xfId="0" applyNumberFormat="1" applyFont="1"/>
    <xf numFmtId="9" fontId="1" fillId="0" borderId="0" xfId="0" applyNumberFormat="1" applyFont="1"/>
    <xf numFmtId="164" fontId="4" fillId="0" borderId="0" xfId="2" applyFont="1" applyFill="1" applyBorder="1"/>
    <xf numFmtId="164" fontId="1" fillId="0" borderId="0" xfId="2" applyFont="1" applyFill="1" applyBorder="1"/>
    <xf numFmtId="164" fontId="7" fillId="0" borderId="0" xfId="2" applyFont="1" applyFill="1" applyBorder="1"/>
    <xf numFmtId="10" fontId="1" fillId="0" borderId="0" xfId="0" applyNumberFormat="1" applyFont="1"/>
    <xf numFmtId="2" fontId="1" fillId="0" borderId="0" xfId="0" applyNumberFormat="1" applyFont="1"/>
    <xf numFmtId="10" fontId="1" fillId="0" borderId="0" xfId="1" applyNumberFormat="1" applyFont="1" applyFill="1" applyBorder="1"/>
    <xf numFmtId="1" fontId="1" fillId="0" borderId="0" xfId="0" applyNumberFormat="1" applyFont="1"/>
    <xf numFmtId="1" fontId="7" fillId="0" borderId="0" xfId="0" applyNumberFormat="1" applyFont="1"/>
    <xf numFmtId="10" fontId="7" fillId="0" borderId="0" xfId="1" applyNumberFormat="1" applyFont="1" applyFill="1" applyBorder="1" applyAlignment="1">
      <alignment horizontal="right"/>
    </xf>
    <xf numFmtId="168" fontId="10" fillId="0" borderId="3" xfId="2" applyNumberFormat="1" applyFont="1" applyBorder="1" applyAlignment="1">
      <alignment horizontal="right" vertical="center"/>
    </xf>
    <xf numFmtId="9" fontId="10" fillId="8" borderId="3" xfId="1" applyFont="1" applyFill="1" applyBorder="1" applyAlignment="1">
      <alignment vertical="center"/>
    </xf>
    <xf numFmtId="0" fontId="5" fillId="0" borderId="3" xfId="0" applyFont="1" applyBorder="1"/>
    <xf numFmtId="167" fontId="4" fillId="3" borderId="1" xfId="2" applyNumberFormat="1" applyFont="1" applyFill="1" applyBorder="1"/>
    <xf numFmtId="0" fontId="2" fillId="2" borderId="9" xfId="0" applyFont="1" applyFill="1" applyBorder="1" applyAlignment="1">
      <alignment vertical="center"/>
    </xf>
    <xf numFmtId="168" fontId="7" fillId="0" borderId="1" xfId="2" applyNumberFormat="1" applyFont="1" applyBorder="1" applyAlignment="1">
      <alignment horizontal="right"/>
    </xf>
    <xf numFmtId="0" fontId="1" fillId="4" borderId="3" xfId="0" applyFont="1" applyFill="1" applyBorder="1"/>
    <xf numFmtId="168" fontId="1" fillId="4" borderId="3" xfId="2" applyNumberFormat="1" applyFont="1" applyFill="1" applyBorder="1"/>
    <xf numFmtId="165" fontId="10" fillId="4" borderId="3" xfId="2" applyNumberFormat="1" applyFont="1" applyFill="1" applyBorder="1" applyAlignment="1">
      <alignment vertical="center"/>
    </xf>
    <xf numFmtId="165" fontId="1" fillId="4" borderId="3" xfId="0" applyNumberFormat="1" applyFont="1" applyFill="1" applyBorder="1"/>
    <xf numFmtId="0" fontId="9" fillId="4" borderId="3" xfId="0" applyFont="1" applyFill="1" applyBorder="1" applyAlignment="1">
      <alignment horizontal="right"/>
    </xf>
    <xf numFmtId="164" fontId="4" fillId="4" borderId="3" xfId="2" applyFont="1" applyFill="1" applyBorder="1"/>
    <xf numFmtId="164" fontId="4" fillId="3" borderId="3" xfId="2" applyFont="1" applyFill="1" applyBorder="1"/>
    <xf numFmtId="164" fontId="1" fillId="3" borderId="3" xfId="2" applyFont="1" applyFill="1" applyBorder="1"/>
    <xf numFmtId="164" fontId="7" fillId="3" borderId="3" xfId="2" applyFont="1" applyFill="1" applyBorder="1"/>
    <xf numFmtId="10" fontId="1" fillId="3" borderId="3" xfId="1" applyNumberFormat="1" applyFont="1" applyFill="1" applyBorder="1"/>
    <xf numFmtId="1" fontId="1" fillId="3" borderId="3" xfId="0" applyNumberFormat="1" applyFont="1" applyFill="1" applyBorder="1"/>
    <xf numFmtId="1" fontId="7" fillId="3" borderId="3" xfId="0" applyNumberFormat="1" applyFont="1" applyFill="1" applyBorder="1"/>
    <xf numFmtId="10" fontId="7" fillId="3" borderId="3" xfId="1" applyNumberFormat="1" applyFont="1" applyFill="1" applyBorder="1" applyAlignment="1">
      <alignment horizontal="right"/>
    </xf>
    <xf numFmtId="165" fontId="1" fillId="3" borderId="3" xfId="0" applyNumberFormat="1" applyFont="1" applyFill="1" applyBorder="1"/>
    <xf numFmtId="0" fontId="1" fillId="0" borderId="1" xfId="0" applyFont="1" applyBorder="1" applyAlignment="1">
      <alignment horizontal="right"/>
    </xf>
    <xf numFmtId="168" fontId="4" fillId="3" borderId="1" xfId="2" applyNumberFormat="1" applyFont="1" applyFill="1" applyBorder="1" applyAlignment="1">
      <alignment horizontal="right"/>
    </xf>
    <xf numFmtId="168" fontId="1" fillId="0" borderId="1" xfId="2" applyNumberFormat="1" applyFont="1" applyFill="1" applyBorder="1" applyAlignment="1">
      <alignment horizontal="right"/>
    </xf>
    <xf numFmtId="168" fontId="9" fillId="3" borderId="1" xfId="2" applyNumberFormat="1" applyFont="1" applyFill="1" applyBorder="1" applyAlignment="1">
      <alignment horizontal="right"/>
    </xf>
    <xf numFmtId="170" fontId="9" fillId="3" borderId="1" xfId="2" applyNumberFormat="1" applyFont="1" applyFill="1" applyBorder="1" applyAlignment="1">
      <alignment horizontal="right"/>
    </xf>
    <xf numFmtId="164" fontId="4" fillId="0" borderId="1" xfId="2" applyFont="1" applyFill="1" applyBorder="1" applyAlignment="1">
      <alignment horizontal="right"/>
    </xf>
    <xf numFmtId="168" fontId="1" fillId="3" borderId="1" xfId="2" applyNumberFormat="1" applyFont="1" applyFill="1" applyBorder="1" applyAlignment="1">
      <alignment horizontal="right"/>
    </xf>
    <xf numFmtId="164" fontId="9" fillId="0" borderId="3" xfId="2" applyFont="1" applyBorder="1"/>
    <xf numFmtId="164" fontId="1" fillId="0" borderId="1" xfId="2" applyFont="1" applyBorder="1" applyAlignment="1">
      <alignment horizontal="right"/>
    </xf>
    <xf numFmtId="164" fontId="7" fillId="0" borderId="1" xfId="2" applyFont="1" applyBorder="1" applyAlignment="1">
      <alignment horizontal="right"/>
    </xf>
    <xf numFmtId="164" fontId="7" fillId="0" borderId="3" xfId="2" applyFont="1" applyBorder="1" applyAlignment="1">
      <alignment horizontal="right"/>
    </xf>
    <xf numFmtId="164" fontId="1" fillId="0" borderId="1" xfId="2" applyFont="1" applyBorder="1"/>
    <xf numFmtId="164" fontId="7" fillId="0" borderId="1" xfId="2" applyFont="1" applyBorder="1"/>
    <xf numFmtId="164" fontId="7" fillId="0" borderId="3" xfId="2" applyFont="1" applyBorder="1"/>
    <xf numFmtId="168" fontId="10" fillId="0" borderId="1" xfId="2" applyNumberFormat="1" applyFont="1" applyFill="1" applyBorder="1" applyAlignment="1">
      <alignment horizontal="right" vertical="center"/>
    </xf>
    <xf numFmtId="2" fontId="9" fillId="0" borderId="1" xfId="0" applyNumberFormat="1" applyFont="1" applyBorder="1"/>
    <xf numFmtId="165" fontId="1" fillId="0" borderId="3" xfId="0" applyNumberFormat="1" applyFont="1" applyBorder="1"/>
    <xf numFmtId="165" fontId="1" fillId="0" borderId="1" xfId="0" applyNumberFormat="1" applyFont="1" applyBorder="1" applyAlignment="1">
      <alignment horizontal="right"/>
    </xf>
    <xf numFmtId="168" fontId="10" fillId="0" borderId="3" xfId="2" applyNumberFormat="1" applyFont="1" applyFill="1" applyBorder="1" applyAlignment="1">
      <alignment vertical="center"/>
    </xf>
    <xf numFmtId="0" fontId="1" fillId="0" borderId="3" xfId="0" applyFont="1" applyBorder="1"/>
    <xf numFmtId="168" fontId="1" fillId="0" borderId="3" xfId="0" applyNumberFormat="1" applyFont="1" applyBorder="1"/>
    <xf numFmtId="168" fontId="7" fillId="0" borderId="1" xfId="2" applyNumberFormat="1" applyFont="1" applyFill="1" applyBorder="1" applyAlignment="1">
      <alignment horizontal="right"/>
    </xf>
    <xf numFmtId="0" fontId="1" fillId="3" borderId="3" xfId="0" applyFont="1" applyFill="1" applyBorder="1" applyAlignment="1">
      <alignment horizontal="right"/>
    </xf>
    <xf numFmtId="164" fontId="1" fillId="3" borderId="1" xfId="2" applyFont="1" applyFill="1" applyBorder="1" applyAlignment="1">
      <alignment horizontal="right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64" fontId="9" fillId="3" borderId="1" xfId="2" applyFont="1" applyFill="1" applyBorder="1"/>
    <xf numFmtId="0" fontId="19" fillId="0" borderId="1" xfId="0" applyFont="1" applyBorder="1"/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8" fontId="1" fillId="0" borderId="3" xfId="2" applyNumberFormat="1" applyFont="1" applyBorder="1"/>
    <xf numFmtId="168" fontId="1" fillId="0" borderId="1" xfId="2" applyNumberFormat="1" applyFont="1" applyBorder="1" applyAlignment="1">
      <alignment horizontal="right"/>
    </xf>
    <xf numFmtId="2" fontId="1" fillId="3" borderId="1" xfId="0" applyNumberFormat="1" applyFont="1" applyFill="1" applyBorder="1" applyAlignment="1">
      <alignment horizontal="right"/>
    </xf>
  </cellXfs>
  <cellStyles count="5">
    <cellStyle name="Comma" xfId="2" builtinId="3"/>
    <cellStyle name="Normal" xfId="0" builtinId="0"/>
    <cellStyle name="Normal 2" xfId="4" xr:uid="{00000000-0005-0000-0000-000002000000}"/>
    <cellStyle name="Percent" xfId="1" builtinId="5"/>
    <cellStyle name="Style 1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ulik/BCL%20industries/summary%20sheet/BCL%20Industries%20-%20Summary%20Sheet%20-%20july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luding Other Income"/>
      <sheetName val="Peer Comparison"/>
      <sheetName val="Working"/>
    </sheetNames>
    <sheetDataSet>
      <sheetData sheetId="0">
        <row r="6">
          <cell r="I6">
            <v>9255.0540000000001</v>
          </cell>
        </row>
        <row r="63">
          <cell r="S63">
            <v>71.973852070201815</v>
          </cell>
        </row>
      </sheetData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Nimesh Singh" id="{2C8D47A6-757A-42CF-B557-13AA5345F78E}" userId="Nimesh Singh" providerId="None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5" dT="2022-01-09T09:29:54.36" personId="{2C8D47A6-757A-42CF-B557-13AA5345F78E}" id="{262EE705-F68C-42A1-8750-F20EE0F10593}">
    <text>Average of Last 3 years FY19-FY21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7"/>
  <sheetViews>
    <sheetView tabSelected="1" zoomScale="70" zoomScaleNormal="70" workbookViewId="0">
      <selection activeCell="W46" sqref="W46"/>
    </sheetView>
  </sheetViews>
  <sheetFormatPr defaultColWidth="9.109375" defaultRowHeight="11.4"/>
  <cols>
    <col min="1" max="1" width="45.44140625" style="1" customWidth="1"/>
    <col min="2" max="2" width="11.109375" style="8" hidden="1" customWidth="1"/>
    <col min="3" max="3" width="11.44140625" style="1" bestFit="1" customWidth="1"/>
    <col min="4" max="4" width="11.44140625" style="8" bestFit="1" customWidth="1"/>
    <col min="5" max="5" width="11.109375" style="8" bestFit="1" customWidth="1"/>
    <col min="6" max="8" width="10.88671875" style="8" bestFit="1" customWidth="1"/>
    <col min="9" max="9" width="11.109375" style="8" bestFit="1" customWidth="1"/>
    <col min="10" max="10" width="11.109375" style="8" customWidth="1"/>
    <col min="11" max="11" width="11.88671875" style="1" customWidth="1"/>
    <col min="12" max="12" width="40.5546875" style="1" customWidth="1"/>
    <col min="13" max="13" width="0.44140625" style="1" customWidth="1"/>
    <col min="14" max="14" width="9.5546875" style="11" bestFit="1" customWidth="1"/>
    <col min="15" max="15" width="9.109375" style="1" bestFit="1"/>
    <col min="16" max="16" width="9.5546875" style="1" bestFit="1" customWidth="1"/>
    <col min="17" max="17" width="10.88671875" style="1" customWidth="1"/>
    <col min="18" max="18" width="9.5546875" style="171" bestFit="1" customWidth="1"/>
    <col min="19" max="19" width="9.5546875" style="1" bestFit="1" customWidth="1"/>
    <col min="20" max="20" width="12.33203125" style="1" customWidth="1"/>
    <col min="21" max="21" width="11.5546875" style="1" customWidth="1"/>
    <col min="22" max="22" width="9.88671875" style="1" bestFit="1" customWidth="1"/>
    <col min="23" max="16384" width="9.109375" style="1"/>
  </cols>
  <sheetData>
    <row r="1" spans="1:34" ht="15" customHeight="1">
      <c r="A1" s="237"/>
      <c r="B1" s="152"/>
      <c r="C1" s="152"/>
      <c r="D1" s="152"/>
      <c r="E1" s="152"/>
      <c r="F1" s="152"/>
      <c r="G1" s="152"/>
      <c r="H1" s="152"/>
      <c r="I1" s="152" t="s">
        <v>155</v>
      </c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</row>
    <row r="2" spans="1:34" ht="15" customHeight="1">
      <c r="A2" s="289" t="s">
        <v>76</v>
      </c>
      <c r="B2" s="290"/>
      <c r="C2" s="290"/>
      <c r="D2" s="290"/>
      <c r="E2" s="290"/>
      <c r="F2" s="290"/>
      <c r="G2" s="290"/>
      <c r="H2" s="290"/>
      <c r="I2" s="290"/>
      <c r="J2" s="290"/>
      <c r="K2" s="2"/>
      <c r="L2" s="289" t="s">
        <v>75</v>
      </c>
      <c r="M2" s="290"/>
      <c r="N2" s="290"/>
      <c r="O2" s="290"/>
      <c r="P2" s="290"/>
      <c r="Q2" s="290"/>
      <c r="R2" s="290"/>
      <c r="S2" s="290"/>
      <c r="T2" s="290"/>
      <c r="U2" s="290"/>
    </row>
    <row r="3" spans="1:34" ht="15" customHeight="1">
      <c r="A3" s="277" t="s">
        <v>0</v>
      </c>
      <c r="B3" s="278" t="s">
        <v>25</v>
      </c>
      <c r="C3" s="279" t="s">
        <v>69</v>
      </c>
      <c r="D3" s="279" t="s">
        <v>78</v>
      </c>
      <c r="E3" s="280" t="s">
        <v>181</v>
      </c>
      <c r="F3" s="280" t="s">
        <v>207</v>
      </c>
      <c r="G3" s="281" t="s">
        <v>224</v>
      </c>
      <c r="H3" s="280" t="s">
        <v>230</v>
      </c>
      <c r="I3" s="280" t="s">
        <v>232</v>
      </c>
      <c r="J3" s="280" t="s">
        <v>233</v>
      </c>
      <c r="K3" s="2"/>
      <c r="L3" s="282" t="s">
        <v>0</v>
      </c>
      <c r="M3" s="283" t="s">
        <v>26</v>
      </c>
      <c r="N3" s="284" t="s">
        <v>69</v>
      </c>
      <c r="O3" s="280" t="s">
        <v>78</v>
      </c>
      <c r="P3" s="280" t="s">
        <v>181</v>
      </c>
      <c r="Q3" s="283" t="s">
        <v>207</v>
      </c>
      <c r="R3" s="285" t="s">
        <v>224</v>
      </c>
      <c r="S3" s="286" t="s">
        <v>230</v>
      </c>
      <c r="T3" s="283" t="s">
        <v>232</v>
      </c>
      <c r="U3" s="280" t="s">
        <v>233</v>
      </c>
    </row>
    <row r="4" spans="1:34" ht="15" customHeight="1">
      <c r="A4" s="3" t="s">
        <v>1</v>
      </c>
      <c r="B4" s="51">
        <v>2548.1999999999998</v>
      </c>
      <c r="C4" s="51">
        <v>3354.4</v>
      </c>
      <c r="D4" s="51">
        <v>3484.2750000000001</v>
      </c>
      <c r="E4" s="51">
        <v>3718</v>
      </c>
      <c r="F4" s="51">
        <v>3778.79</v>
      </c>
      <c r="G4" s="180">
        <v>4344.9560000000001</v>
      </c>
      <c r="H4" s="54">
        <v>4557.6899999999996</v>
      </c>
      <c r="I4" s="54">
        <v>4813.6000000000004</v>
      </c>
      <c r="J4" s="54">
        <v>2360.9</v>
      </c>
      <c r="K4" s="120"/>
      <c r="L4" s="6" t="s">
        <v>27</v>
      </c>
      <c r="M4" s="52">
        <v>106.2</v>
      </c>
      <c r="N4" s="52">
        <v>113.6</v>
      </c>
      <c r="O4" s="52">
        <v>113.64700000000001</v>
      </c>
      <c r="P4" s="52">
        <v>113.831</v>
      </c>
      <c r="Q4" s="6">
        <v>114.358</v>
      </c>
      <c r="R4" s="172">
        <v>114.494</v>
      </c>
      <c r="S4" s="269">
        <v>111.277</v>
      </c>
      <c r="T4" s="253">
        <v>111.3</v>
      </c>
      <c r="U4" s="253">
        <v>111.3</v>
      </c>
    </row>
    <row r="5" spans="1:34" ht="15" customHeight="1">
      <c r="A5" s="6" t="s">
        <v>6</v>
      </c>
      <c r="B5" s="52">
        <v>0.61</v>
      </c>
      <c r="C5" s="52">
        <v>0.69</v>
      </c>
      <c r="D5" s="52">
        <v>139</v>
      </c>
      <c r="E5" s="52">
        <v>163</v>
      </c>
      <c r="F5" s="52">
        <v>144</v>
      </c>
      <c r="G5" s="181">
        <v>150</v>
      </c>
      <c r="H5" s="56">
        <v>243.845</v>
      </c>
      <c r="I5" s="56">
        <v>261.5</v>
      </c>
      <c r="J5" s="56">
        <f>152.1+2.2</f>
        <v>154.29999999999998</v>
      </c>
      <c r="L5" s="6" t="s">
        <v>28</v>
      </c>
      <c r="M5" s="52">
        <v>-401.4</v>
      </c>
      <c r="N5" s="53">
        <v>1562.9369999999999</v>
      </c>
      <c r="O5" s="53">
        <v>1911.4690000000001</v>
      </c>
      <c r="P5" s="53">
        <v>2168.5810000000001</v>
      </c>
      <c r="Q5" s="27">
        <v>2518.6170000000002</v>
      </c>
      <c r="R5" s="173">
        <v>2989.0369999999998</v>
      </c>
      <c r="S5" s="293">
        <v>2418.7399999999998</v>
      </c>
      <c r="T5" s="294">
        <v>2803.7</v>
      </c>
      <c r="U5" s="294">
        <v>2964.2</v>
      </c>
    </row>
    <row r="6" spans="1:34" ht="15" customHeight="1">
      <c r="A6" s="14" t="s">
        <v>74</v>
      </c>
      <c r="B6" s="29">
        <f t="shared" ref="B6:I6" si="0">B4+B5</f>
        <v>2548.81</v>
      </c>
      <c r="C6" s="29">
        <f t="shared" si="0"/>
        <v>3355.09</v>
      </c>
      <c r="D6" s="29">
        <f t="shared" si="0"/>
        <v>3623.2750000000001</v>
      </c>
      <c r="E6" s="29">
        <f t="shared" si="0"/>
        <v>3881</v>
      </c>
      <c r="F6" s="29">
        <f t="shared" si="0"/>
        <v>3922.79</v>
      </c>
      <c r="G6" s="29">
        <f t="shared" si="0"/>
        <v>4494.9560000000001</v>
      </c>
      <c r="H6" s="29">
        <f t="shared" si="0"/>
        <v>4801.5349999999999</v>
      </c>
      <c r="I6" s="29">
        <f t="shared" si="0"/>
        <v>5075.1000000000004</v>
      </c>
      <c r="J6" s="29">
        <f>J4+J5</f>
        <v>2515.2000000000003</v>
      </c>
      <c r="L6" s="14" t="s">
        <v>29</v>
      </c>
      <c r="M6" s="29">
        <f>(M4+M5)</f>
        <v>-295.2</v>
      </c>
      <c r="N6" s="29">
        <f>(N4+N5+N7)</f>
        <v>1676.5369999999998</v>
      </c>
      <c r="O6" s="29">
        <f t="shared" ref="O6:U6" si="1">(O4+O5)</f>
        <v>2025.116</v>
      </c>
      <c r="P6" s="29">
        <f t="shared" si="1"/>
        <v>2282.4120000000003</v>
      </c>
      <c r="Q6" s="29">
        <f t="shared" si="1"/>
        <v>2632.9750000000004</v>
      </c>
      <c r="R6" s="29">
        <f t="shared" si="1"/>
        <v>3103.5309999999999</v>
      </c>
      <c r="S6" s="166">
        <f t="shared" si="1"/>
        <v>2530.0169999999998</v>
      </c>
      <c r="T6" s="254">
        <f t="shared" si="1"/>
        <v>2915</v>
      </c>
      <c r="U6" s="254">
        <f t="shared" si="1"/>
        <v>3075.5</v>
      </c>
    </row>
    <row r="7" spans="1:34" ht="15" customHeight="1">
      <c r="A7" s="13" t="s">
        <v>2</v>
      </c>
      <c r="B7" s="34" t="e">
        <f>(B6/#REF!-1)</f>
        <v>#REF!</v>
      </c>
      <c r="C7" s="182">
        <f t="shared" ref="C7" si="2">(C4/B4-1)</f>
        <v>0.31638018993799566</v>
      </c>
      <c r="D7" s="182">
        <f t="shared" ref="D7" si="3">(D4/C4-1)</f>
        <v>3.8717803481993718E-2</v>
      </c>
      <c r="E7" s="182">
        <f t="shared" ref="E7" si="4">(E4/D4-1)</f>
        <v>6.7079952070373317E-2</v>
      </c>
      <c r="F7" s="182">
        <f t="shared" ref="F7" si="5">(F4/E4-1)</f>
        <v>1.6350188273265287E-2</v>
      </c>
      <c r="G7" s="182">
        <f t="shared" ref="G7" si="6">(G4/F4-1)</f>
        <v>0.14982732567832557</v>
      </c>
      <c r="H7" s="182">
        <f>(H4/G4-1)</f>
        <v>4.8961140227887112E-2</v>
      </c>
      <c r="I7" s="182">
        <f>(I4/H4-1)</f>
        <v>5.6149057965767968E-2</v>
      </c>
      <c r="J7" s="182"/>
      <c r="L7" s="6" t="s">
        <v>30</v>
      </c>
      <c r="M7" s="27">
        <v>0</v>
      </c>
      <c r="N7" s="53">
        <v>0</v>
      </c>
      <c r="O7" s="27">
        <v>0</v>
      </c>
      <c r="P7" s="27">
        <v>0</v>
      </c>
      <c r="Q7" s="27">
        <v>0</v>
      </c>
      <c r="R7" s="173">
        <v>0</v>
      </c>
      <c r="S7" s="240">
        <v>0</v>
      </c>
      <c r="T7" s="255">
        <v>0</v>
      </c>
      <c r="U7" s="255"/>
    </row>
    <row r="8" spans="1:34" ht="15" customHeight="1">
      <c r="A8" s="13" t="s">
        <v>79</v>
      </c>
      <c r="B8" s="64"/>
      <c r="C8" s="182"/>
      <c r="D8" s="182"/>
      <c r="E8" s="182">
        <f t="shared" ref="E8:G8" si="7">+((E4/B4)^(1/3)-1)</f>
        <v>0.13420604603584274</v>
      </c>
      <c r="F8" s="182">
        <f t="shared" si="7"/>
        <v>4.05093073618219E-2</v>
      </c>
      <c r="G8" s="182">
        <f t="shared" si="7"/>
        <v>7.6360254425182461E-2</v>
      </c>
      <c r="H8" s="182">
        <f>+((H4/E4)^(1/3)-1)</f>
        <v>7.0233314503202138E-2</v>
      </c>
      <c r="I8" s="182">
        <f>+((I4/F4)^(1/3)-1)</f>
        <v>8.4024456510108481E-2</v>
      </c>
      <c r="J8" s="182"/>
      <c r="L8" s="6" t="s">
        <v>31</v>
      </c>
      <c r="M8" s="52">
        <v>0</v>
      </c>
      <c r="N8" s="52">
        <v>0</v>
      </c>
      <c r="O8" s="52">
        <v>0</v>
      </c>
      <c r="P8" s="52">
        <v>0</v>
      </c>
      <c r="Q8" s="52">
        <v>0</v>
      </c>
      <c r="R8" s="174">
        <v>0</v>
      </c>
      <c r="S8" s="241">
        <v>0</v>
      </c>
      <c r="T8" s="241">
        <v>0</v>
      </c>
      <c r="U8" s="241">
        <v>0</v>
      </c>
    </row>
    <row r="9" spans="1:34" ht="15" customHeight="1">
      <c r="A9" s="14" t="s">
        <v>3</v>
      </c>
      <c r="B9" s="29">
        <f>SUM(B10:B17)</f>
        <v>0</v>
      </c>
      <c r="C9" s="29">
        <f t="shared" ref="C9:H9" si="8">C10+C13+C16</f>
        <v>2579.1999999999998</v>
      </c>
      <c r="D9" s="29">
        <f t="shared" si="8"/>
        <v>2741.4920000000002</v>
      </c>
      <c r="E9" s="29">
        <f t="shared" si="8"/>
        <v>3173.4219999999996</v>
      </c>
      <c r="F9" s="29">
        <f t="shared" si="8"/>
        <v>3103.4639999999999</v>
      </c>
      <c r="G9" s="29">
        <f t="shared" si="8"/>
        <v>3475.1790000000001</v>
      </c>
      <c r="H9" s="29">
        <f t="shared" si="8"/>
        <v>3883.3389999999999</v>
      </c>
      <c r="I9" s="29">
        <f>I10+I13+I16</f>
        <v>4092.2</v>
      </c>
      <c r="J9" s="29">
        <f>J10+J13+J16</f>
        <v>1985.9</v>
      </c>
      <c r="K9" s="121"/>
      <c r="L9" s="6" t="s">
        <v>32</v>
      </c>
      <c r="M9" s="52">
        <v>443.8</v>
      </c>
      <c r="N9" s="52">
        <v>64.099999999999994</v>
      </c>
      <c r="O9" s="52">
        <v>0</v>
      </c>
      <c r="P9" s="52">
        <v>0</v>
      </c>
      <c r="Q9" s="52">
        <v>0</v>
      </c>
      <c r="R9" s="174">
        <v>0</v>
      </c>
      <c r="S9" s="241">
        <v>0</v>
      </c>
      <c r="T9" s="241">
        <v>0</v>
      </c>
      <c r="U9" s="241">
        <v>0</v>
      </c>
    </row>
    <row r="10" spans="1:34" ht="15" customHeight="1">
      <c r="A10" s="6" t="s">
        <v>57</v>
      </c>
      <c r="B10" s="53"/>
      <c r="C10" s="53">
        <v>1328.9</v>
      </c>
      <c r="D10" s="53">
        <v>1414.806</v>
      </c>
      <c r="E10" s="53">
        <v>1534.6379999999999</v>
      </c>
      <c r="F10" s="159">
        <v>1272.587</v>
      </c>
      <c r="G10" s="233">
        <v>1323.1690000000001</v>
      </c>
      <c r="H10" s="267">
        <v>1440.96</v>
      </c>
      <c r="I10" s="267">
        <v>1396.8</v>
      </c>
      <c r="J10" s="267">
        <v>718.5</v>
      </c>
      <c r="K10" s="120"/>
      <c r="L10" s="14" t="s">
        <v>33</v>
      </c>
      <c r="M10" s="29">
        <f t="shared" ref="M10:S10" si="9">(M8+M9)</f>
        <v>443.8</v>
      </c>
      <c r="N10" s="29">
        <f t="shared" si="9"/>
        <v>64.099999999999994</v>
      </c>
      <c r="O10" s="29">
        <f t="shared" si="9"/>
        <v>0</v>
      </c>
      <c r="P10" s="29">
        <f t="shared" si="9"/>
        <v>0</v>
      </c>
      <c r="Q10" s="29">
        <f t="shared" si="9"/>
        <v>0</v>
      </c>
      <c r="R10" s="29">
        <f t="shared" si="9"/>
        <v>0</v>
      </c>
      <c r="S10" s="166">
        <f t="shared" si="9"/>
        <v>0</v>
      </c>
      <c r="T10" s="259">
        <v>0</v>
      </c>
      <c r="U10" s="259">
        <v>0</v>
      </c>
    </row>
    <row r="11" spans="1:34" ht="15" customHeight="1">
      <c r="A11" s="190" t="s">
        <v>217</v>
      </c>
      <c r="B11" s="191"/>
      <c r="C11" s="192">
        <f t="shared" ref="C11:F11" si="10">C10/C4</f>
        <v>0.3961662294300024</v>
      </c>
      <c r="D11" s="192">
        <f t="shared" si="10"/>
        <v>0.40605463116430246</v>
      </c>
      <c r="E11" s="192">
        <f t="shared" si="10"/>
        <v>0.41275901022054867</v>
      </c>
      <c r="F11" s="192">
        <f t="shared" si="10"/>
        <v>0.33677102987993512</v>
      </c>
      <c r="G11" s="234">
        <f>G10/G4</f>
        <v>0.30452989627512916</v>
      </c>
      <c r="H11" s="192">
        <f>H10/H4</f>
        <v>0.31616016008109377</v>
      </c>
      <c r="I11" s="192">
        <f>I10/I4</f>
        <v>0.29017782948313109</v>
      </c>
      <c r="J11" s="192">
        <f>J10/J4</f>
        <v>0.30433309331187258</v>
      </c>
      <c r="K11" s="120"/>
      <c r="L11" s="14" t="s">
        <v>34</v>
      </c>
      <c r="M11" s="29">
        <f t="shared" ref="M11:U11" si="11">M6+M8+SUM(M50:M53)</f>
        <v>-273.2</v>
      </c>
      <c r="N11" s="29">
        <f t="shared" si="11"/>
        <v>1683.5369999999998</v>
      </c>
      <c r="O11" s="29">
        <f t="shared" si="11"/>
        <v>2441.6480000000001</v>
      </c>
      <c r="P11" s="29">
        <f t="shared" si="11"/>
        <v>2747.1610000000001</v>
      </c>
      <c r="Q11" s="29">
        <f t="shared" si="11"/>
        <v>3112.0160000000005</v>
      </c>
      <c r="R11" s="29">
        <f t="shared" si="11"/>
        <v>3675.3850000000002</v>
      </c>
      <c r="S11" s="166">
        <f t="shared" si="11"/>
        <v>3067.308</v>
      </c>
      <c r="T11" s="29">
        <f t="shared" si="11"/>
        <v>3343.9</v>
      </c>
      <c r="U11" s="29">
        <f t="shared" si="11"/>
        <v>3473.8</v>
      </c>
    </row>
    <row r="12" spans="1:34" ht="15" customHeight="1">
      <c r="A12" s="6" t="s">
        <v>2</v>
      </c>
      <c r="B12" s="53"/>
      <c r="C12" s="34"/>
      <c r="D12" s="34">
        <f t="shared" ref="D12:I12" si="12">(D10/C10-1)</f>
        <v>6.4644442772217481E-2</v>
      </c>
      <c r="E12" s="34">
        <f t="shared" si="12"/>
        <v>8.4698538174138305E-2</v>
      </c>
      <c r="F12" s="34">
        <f t="shared" si="12"/>
        <v>-0.17075753369850089</v>
      </c>
      <c r="G12" s="182">
        <f t="shared" si="12"/>
        <v>3.9747380729176163E-2</v>
      </c>
      <c r="H12" s="182">
        <f t="shared" si="12"/>
        <v>8.902188609315953E-2</v>
      </c>
      <c r="I12" s="182">
        <f t="shared" si="12"/>
        <v>-3.0646235842771596E-2</v>
      </c>
      <c r="J12" s="182"/>
      <c r="L12" s="14"/>
      <c r="M12" s="29"/>
      <c r="N12" s="29"/>
      <c r="O12" s="29"/>
      <c r="P12" s="29"/>
      <c r="Q12" s="29"/>
      <c r="R12" s="29"/>
      <c r="S12" s="166"/>
      <c r="T12" s="254"/>
      <c r="U12" s="254"/>
    </row>
    <row r="13" spans="1:34" ht="15" customHeight="1">
      <c r="A13" s="6" t="s">
        <v>156</v>
      </c>
      <c r="B13" s="52"/>
      <c r="C13" s="11">
        <v>560.29999999999995</v>
      </c>
      <c r="D13" s="52">
        <v>810.38300000000004</v>
      </c>
      <c r="E13" s="52">
        <v>1034.3409999999999</v>
      </c>
      <c r="F13" s="52">
        <v>1368.079</v>
      </c>
      <c r="G13" s="181">
        <v>1621.21</v>
      </c>
      <c r="H13" s="56">
        <v>1823.06</v>
      </c>
      <c r="I13" s="56">
        <v>1868.2</v>
      </c>
      <c r="J13" s="56">
        <v>936.7</v>
      </c>
      <c r="K13" s="120"/>
      <c r="L13" s="14" t="s">
        <v>34</v>
      </c>
      <c r="M13" s="29">
        <f t="shared" ref="M13:U13" si="13">M6+M8+SUM(M50:M53)</f>
        <v>-273.2</v>
      </c>
      <c r="N13" s="29">
        <f t="shared" si="13"/>
        <v>1683.5369999999998</v>
      </c>
      <c r="O13" s="29">
        <f t="shared" si="13"/>
        <v>2441.6480000000001</v>
      </c>
      <c r="P13" s="29">
        <f t="shared" si="13"/>
        <v>2747.1610000000001</v>
      </c>
      <c r="Q13" s="29">
        <f t="shared" si="13"/>
        <v>3112.0160000000005</v>
      </c>
      <c r="R13" s="29">
        <f t="shared" si="13"/>
        <v>3675.3850000000002</v>
      </c>
      <c r="S13" s="166">
        <f t="shared" si="13"/>
        <v>3067.308</v>
      </c>
      <c r="T13" s="254">
        <f t="shared" si="13"/>
        <v>3343.9</v>
      </c>
      <c r="U13" s="254">
        <f t="shared" si="13"/>
        <v>3473.8</v>
      </c>
    </row>
    <row r="14" spans="1:34" ht="15" customHeight="1">
      <c r="A14" s="190" t="s">
        <v>217</v>
      </c>
      <c r="B14" s="193"/>
      <c r="C14" s="192">
        <f t="shared" ref="C14:I14" si="14">C13/C4</f>
        <v>0.16703434295253994</v>
      </c>
      <c r="D14" s="192">
        <f t="shared" si="14"/>
        <v>0.23258296202222845</v>
      </c>
      <c r="E14" s="192">
        <f t="shared" si="14"/>
        <v>0.27819822485207096</v>
      </c>
      <c r="F14" s="192">
        <f t="shared" si="14"/>
        <v>0.36204155298389168</v>
      </c>
      <c r="G14" s="234">
        <f t="shared" si="14"/>
        <v>0.37312460701558314</v>
      </c>
      <c r="H14" s="192">
        <f t="shared" si="14"/>
        <v>0.39999648944969934</v>
      </c>
      <c r="I14" s="192">
        <f t="shared" si="14"/>
        <v>0.38810869203922216</v>
      </c>
      <c r="J14" s="192">
        <f>J13/J4</f>
        <v>0.39675547460714133</v>
      </c>
      <c r="K14" s="120"/>
      <c r="L14" s="14"/>
      <c r="M14" s="30"/>
      <c r="N14" s="30"/>
      <c r="O14" s="30"/>
      <c r="P14" s="30"/>
      <c r="Q14" s="30"/>
      <c r="R14" s="30"/>
      <c r="S14" s="167"/>
      <c r="T14" s="256"/>
      <c r="U14" s="256"/>
    </row>
    <row r="15" spans="1:34" ht="15" customHeight="1">
      <c r="A15" s="6" t="s">
        <v>2</v>
      </c>
      <c r="B15" s="52"/>
      <c r="C15" s="34"/>
      <c r="D15" s="34">
        <f t="shared" ref="D15:H15" si="15">(D13/C13-1)</f>
        <v>0.44633767624486897</v>
      </c>
      <c r="E15" s="34">
        <f t="shared" si="15"/>
        <v>0.27636068377544909</v>
      </c>
      <c r="F15" s="34">
        <f t="shared" si="15"/>
        <v>0.32265761484848809</v>
      </c>
      <c r="G15" s="182">
        <f t="shared" si="15"/>
        <v>0.18502659568636037</v>
      </c>
      <c r="H15" s="34">
        <f t="shared" si="15"/>
        <v>0.12450577038138166</v>
      </c>
      <c r="I15" s="34">
        <f>(I13/H13-1)</f>
        <v>2.4760567397672073E-2</v>
      </c>
      <c r="J15" s="34"/>
      <c r="K15" s="120"/>
      <c r="L15" s="6" t="s">
        <v>71</v>
      </c>
      <c r="M15" s="38"/>
      <c r="N15" s="28"/>
      <c r="O15" s="38"/>
      <c r="P15" s="38"/>
      <c r="Q15" s="6"/>
      <c r="R15" s="172"/>
      <c r="S15" s="239"/>
      <c r="T15" s="253"/>
      <c r="U15" s="253"/>
    </row>
    <row r="16" spans="1:34" ht="15" customHeight="1">
      <c r="A16" s="6" t="s">
        <v>206</v>
      </c>
      <c r="B16" s="52"/>
      <c r="C16" s="52">
        <v>690</v>
      </c>
      <c r="D16" s="52">
        <v>516.303</v>
      </c>
      <c r="E16" s="52">
        <v>604.44299999999998</v>
      </c>
      <c r="F16" s="52">
        <v>462.798</v>
      </c>
      <c r="G16" s="181">
        <v>530.79999999999995</v>
      </c>
      <c r="H16" s="56">
        <v>619.31899999999996</v>
      </c>
      <c r="I16" s="56">
        <v>827.2</v>
      </c>
      <c r="J16" s="56">
        <v>330.7</v>
      </c>
      <c r="M16" s="41"/>
      <c r="N16" s="41"/>
      <c r="O16" s="41"/>
      <c r="P16" s="27"/>
      <c r="Q16" s="6"/>
      <c r="R16" s="172"/>
      <c r="S16" s="239"/>
      <c r="T16" s="253"/>
      <c r="U16" s="253"/>
    </row>
    <row r="17" spans="1:23" ht="15" customHeight="1">
      <c r="A17" s="6"/>
      <c r="B17" s="52"/>
      <c r="C17" s="52"/>
      <c r="D17" s="52"/>
      <c r="E17" s="52"/>
      <c r="F17" s="52"/>
      <c r="G17" s="235"/>
      <c r="H17" s="189"/>
      <c r="I17" s="189"/>
      <c r="J17" s="189"/>
      <c r="K17" s="121"/>
      <c r="L17" s="6" t="s">
        <v>159</v>
      </c>
      <c r="M17" s="54">
        <v>242.4</v>
      </c>
      <c r="N17" s="54">
        <v>624.54300000000001</v>
      </c>
      <c r="O17" s="54">
        <v>727.22299999999996</v>
      </c>
      <c r="P17" s="54">
        <v>729.67100000000005</v>
      </c>
      <c r="Q17" s="7">
        <v>702.70899999999995</v>
      </c>
      <c r="R17" s="175">
        <v>220.21299999999999</v>
      </c>
      <c r="S17" s="269">
        <v>183.54400000000001</v>
      </c>
      <c r="T17" s="270">
        <v>148.4</v>
      </c>
      <c r="U17" s="270">
        <v>151</v>
      </c>
      <c r="V17" s="222"/>
      <c r="W17" s="222"/>
    </row>
    <row r="18" spans="1:23" ht="15" customHeight="1">
      <c r="A18" s="14" t="s">
        <v>4</v>
      </c>
      <c r="B18" s="29">
        <f>(B4-B9)</f>
        <v>2548.1999999999998</v>
      </c>
      <c r="C18" s="236">
        <f>+C4-C9</f>
        <v>775.20000000000027</v>
      </c>
      <c r="D18" s="236">
        <f t="shared" ref="D18:I18" si="16">+D4-D9</f>
        <v>742.7829999999999</v>
      </c>
      <c r="E18" s="236">
        <f t="shared" si="16"/>
        <v>544.57800000000043</v>
      </c>
      <c r="F18" s="236">
        <f t="shared" si="16"/>
        <v>675.32600000000002</v>
      </c>
      <c r="G18" s="236">
        <f t="shared" si="16"/>
        <v>869.77700000000004</v>
      </c>
      <c r="H18" s="236">
        <f t="shared" si="16"/>
        <v>674.35099999999966</v>
      </c>
      <c r="I18" s="236">
        <f t="shared" si="16"/>
        <v>721.40000000000055</v>
      </c>
      <c r="J18" s="236">
        <f>J4-J9</f>
        <v>375</v>
      </c>
      <c r="L18" s="6" t="s">
        <v>177</v>
      </c>
      <c r="M18" s="54"/>
      <c r="N18" s="54"/>
      <c r="O18" s="54">
        <v>478.91199999999998</v>
      </c>
      <c r="P18" s="54">
        <v>568.99900000000002</v>
      </c>
      <c r="Q18" s="54">
        <v>534.68399999999997</v>
      </c>
      <c r="R18" s="51">
        <v>630.90099999999995</v>
      </c>
      <c r="S18" s="271">
        <v>609.76900000000001</v>
      </c>
      <c r="T18" s="267">
        <v>494.3</v>
      </c>
      <c r="U18" s="267">
        <v>482.2</v>
      </c>
      <c r="V18" s="168"/>
    </row>
    <row r="19" spans="1:23" ht="15" customHeight="1">
      <c r="A19" s="13" t="s">
        <v>2</v>
      </c>
      <c r="B19" s="34" t="e">
        <f>(B18/#REF!-1)</f>
        <v>#REF!</v>
      </c>
      <c r="C19" s="34">
        <f t="shared" ref="C19:H19" si="17">(C18/B18-1)</f>
        <v>-0.69578526018365894</v>
      </c>
      <c r="D19" s="34">
        <f t="shared" si="17"/>
        <v>-4.18175954592368E-2</v>
      </c>
      <c r="E19" s="34">
        <f t="shared" si="17"/>
        <v>-0.26684105586692142</v>
      </c>
      <c r="F19" s="34">
        <f t="shared" si="17"/>
        <v>0.24009049208745026</v>
      </c>
      <c r="G19" s="182">
        <f t="shared" si="17"/>
        <v>0.28793649289380241</v>
      </c>
      <c r="H19" s="34">
        <f t="shared" si="17"/>
        <v>-0.22468517792491682</v>
      </c>
      <c r="I19" s="34">
        <f>(I18/H18-1)</f>
        <v>6.9769304116107156E-2</v>
      </c>
      <c r="J19" s="34"/>
      <c r="L19" s="6" t="s">
        <v>229</v>
      </c>
      <c r="M19" s="55"/>
      <c r="N19" s="56">
        <v>51.561999999999998</v>
      </c>
      <c r="O19" s="56">
        <v>30.558</v>
      </c>
      <c r="P19" s="56">
        <v>32.793999999999997</v>
      </c>
      <c r="Q19" s="7">
        <v>29.463000000000001</v>
      </c>
      <c r="R19" s="175">
        <v>63.158000000000001</v>
      </c>
      <c r="S19" s="269">
        <v>50.206000000000003</v>
      </c>
      <c r="T19" s="270">
        <v>160</v>
      </c>
      <c r="U19" s="270">
        <v>145</v>
      </c>
      <c r="V19" s="222"/>
    </row>
    <row r="20" spans="1:23" ht="15" customHeight="1">
      <c r="A20" s="13"/>
      <c r="B20" s="34"/>
      <c r="C20" s="34"/>
      <c r="D20" s="34"/>
      <c r="E20" s="34"/>
      <c r="F20" s="34"/>
      <c r="G20" s="182"/>
      <c r="H20" s="34"/>
      <c r="I20" s="34"/>
      <c r="J20" s="34"/>
      <c r="L20" s="6" t="s">
        <v>228</v>
      </c>
      <c r="M20" s="55">
        <v>0</v>
      </c>
      <c r="N20" s="56">
        <v>0.23699999999999999</v>
      </c>
      <c r="O20" s="56">
        <v>0.47399999999999998</v>
      </c>
      <c r="P20" s="57">
        <v>0.66200000000000003</v>
      </c>
      <c r="Q20" s="7">
        <v>0</v>
      </c>
      <c r="R20" s="175">
        <v>0</v>
      </c>
      <c r="S20" s="269">
        <v>0</v>
      </c>
      <c r="T20" s="270">
        <v>0</v>
      </c>
      <c r="U20" s="270">
        <v>0</v>
      </c>
      <c r="V20" s="222"/>
    </row>
    <row r="21" spans="1:23" ht="15" customHeight="1">
      <c r="A21" s="13" t="s">
        <v>79</v>
      </c>
      <c r="B21" s="34"/>
      <c r="C21" s="34"/>
      <c r="D21" s="34"/>
      <c r="E21" s="34">
        <f t="shared" ref="E21:I21" si="18">+((E18/B18)^(1/3)-1)</f>
        <v>-0.4021271110530259</v>
      </c>
      <c r="F21" s="34">
        <f t="shared" si="18"/>
        <v>-4.4934328066675522E-2</v>
      </c>
      <c r="G21" s="183">
        <f t="shared" si="18"/>
        <v>5.401952158010892E-2</v>
      </c>
      <c r="H21" s="170">
        <f t="shared" si="18"/>
        <v>7.3845919193199938E-2</v>
      </c>
      <c r="I21" s="170">
        <f t="shared" si="18"/>
        <v>2.2243181763524911E-2</v>
      </c>
      <c r="J21" s="170"/>
      <c r="L21" s="6" t="s">
        <v>210</v>
      </c>
      <c r="M21" s="55"/>
      <c r="N21" s="56"/>
      <c r="O21" s="56"/>
      <c r="P21" s="57"/>
      <c r="Q21" s="7"/>
      <c r="R21" s="175">
        <v>86.694999999999993</v>
      </c>
      <c r="S21" s="269">
        <v>86.694999999999993</v>
      </c>
      <c r="T21" s="270">
        <v>86.694999999999993</v>
      </c>
      <c r="U21" s="270">
        <v>86.7</v>
      </c>
      <c r="V21" s="222"/>
    </row>
    <row r="22" spans="1:23" ht="15" customHeight="1">
      <c r="A22" s="14" t="s">
        <v>5</v>
      </c>
      <c r="B22" s="16">
        <f>(B18/B4)</f>
        <v>1</v>
      </c>
      <c r="C22" s="16">
        <f>(C18/C4)</f>
        <v>0.23109945146673033</v>
      </c>
      <c r="D22" s="16">
        <f>(D18/D4)</f>
        <v>0.21318150834822161</v>
      </c>
      <c r="E22" s="16">
        <f>(E18/E4)</f>
        <v>0.14647068316299097</v>
      </c>
      <c r="F22" s="16">
        <f>F18/F4</f>
        <v>0.17871487963078128</v>
      </c>
      <c r="G22" s="184">
        <f>G18/G4</f>
        <v>0.20018085338493646</v>
      </c>
      <c r="H22" s="16">
        <f>H18/H4</f>
        <v>0.14795894411423324</v>
      </c>
      <c r="I22" s="16">
        <f>I18/I6</f>
        <v>0.1421449823648796</v>
      </c>
      <c r="J22" s="16">
        <f>J18/J4</f>
        <v>0.15883773137362869</v>
      </c>
      <c r="K22" s="223"/>
      <c r="L22" s="6" t="s">
        <v>182</v>
      </c>
      <c r="M22" s="55"/>
      <c r="N22" s="56"/>
      <c r="O22" s="56">
        <v>0</v>
      </c>
      <c r="P22" s="57">
        <v>60.802</v>
      </c>
      <c r="Q22" s="7">
        <v>55.139000000000003</v>
      </c>
      <c r="R22" s="175">
        <v>47.344999999999999</v>
      </c>
      <c r="S22" s="269">
        <v>47.31</v>
      </c>
      <c r="T22" s="270">
        <v>47.2</v>
      </c>
      <c r="U22" s="270">
        <v>46.6</v>
      </c>
      <c r="V22" s="222"/>
    </row>
    <row r="23" spans="1:23" ht="15" customHeight="1">
      <c r="A23" s="14"/>
      <c r="B23" s="16"/>
      <c r="C23" s="16"/>
      <c r="D23" s="16"/>
      <c r="E23" s="16"/>
      <c r="F23" s="16"/>
      <c r="G23" s="184"/>
      <c r="H23" s="16"/>
      <c r="I23" s="16"/>
      <c r="J23" s="16"/>
      <c r="L23" s="6" t="s">
        <v>160</v>
      </c>
      <c r="M23" s="55"/>
      <c r="N23" s="56">
        <v>101.04900000000001</v>
      </c>
      <c r="O23" s="56">
        <v>81.152000000000001</v>
      </c>
      <c r="P23" s="27">
        <v>85.875</v>
      </c>
      <c r="Q23" s="7">
        <v>59.698999999999998</v>
      </c>
      <c r="R23" s="175">
        <v>76.015000000000001</v>
      </c>
      <c r="S23" s="269">
        <v>80.992000000000004</v>
      </c>
      <c r="T23" s="270">
        <v>80.5</v>
      </c>
      <c r="U23" s="270">
        <v>89.9</v>
      </c>
      <c r="V23" s="222"/>
    </row>
    <row r="24" spans="1:23" ht="15" customHeight="1">
      <c r="A24" s="6" t="s">
        <v>7</v>
      </c>
      <c r="B24" s="52"/>
      <c r="C24" s="52">
        <v>95.7</v>
      </c>
      <c r="D24" s="52">
        <v>265.101</v>
      </c>
      <c r="E24" s="52">
        <v>279.63600000000002</v>
      </c>
      <c r="F24" s="52">
        <f>259.308</f>
        <v>259.30799999999999</v>
      </c>
      <c r="G24" s="181">
        <v>269.06799999999998</v>
      </c>
      <c r="H24" s="56">
        <v>299.721</v>
      </c>
      <c r="I24" s="56">
        <v>284</v>
      </c>
      <c r="J24" s="56">
        <v>148.69999999999999</v>
      </c>
      <c r="L24" s="6" t="s">
        <v>161</v>
      </c>
      <c r="M24" s="57"/>
      <c r="N24" s="57">
        <v>7.4999999999999997E-2</v>
      </c>
      <c r="O24" s="57">
        <v>7.4999999999999997E-2</v>
      </c>
      <c r="P24" s="57">
        <v>7.4999999999999997E-2</v>
      </c>
      <c r="Q24" s="7">
        <v>7.4999999999999997E-2</v>
      </c>
      <c r="R24" s="175">
        <v>19.975000000000001</v>
      </c>
      <c r="S24" s="269">
        <v>2</v>
      </c>
      <c r="T24" s="270">
        <v>0</v>
      </c>
      <c r="U24" s="270">
        <v>0</v>
      </c>
      <c r="V24" s="222"/>
    </row>
    <row r="25" spans="1:23" ht="15" customHeight="1">
      <c r="A25" s="6" t="s">
        <v>234</v>
      </c>
      <c r="B25" s="52"/>
      <c r="C25" s="52">
        <v>15.32</v>
      </c>
      <c r="D25" s="52">
        <v>48.587000000000003</v>
      </c>
      <c r="E25" s="52">
        <v>52.494999999999997</v>
      </c>
      <c r="F25" s="52">
        <v>48.252000000000002</v>
      </c>
      <c r="G25" s="181">
        <v>53.6</v>
      </c>
      <c r="H25" s="56">
        <v>59.075000000000003</v>
      </c>
      <c r="I25" s="56">
        <v>51.7</v>
      </c>
      <c r="J25" s="56">
        <v>25</v>
      </c>
      <c r="L25" s="6" t="s">
        <v>227</v>
      </c>
      <c r="M25" s="57"/>
      <c r="N25" s="57"/>
      <c r="O25" s="57"/>
      <c r="P25" s="57"/>
      <c r="Q25" s="7"/>
      <c r="R25" s="175">
        <v>189.72399999999999</v>
      </c>
      <c r="S25" s="269">
        <v>212.56100000000001</v>
      </c>
      <c r="T25" s="270">
        <v>208.9</v>
      </c>
      <c r="U25" s="270">
        <v>208</v>
      </c>
      <c r="V25" s="222"/>
    </row>
    <row r="26" spans="1:23" ht="15" customHeight="1">
      <c r="A26" s="6" t="s">
        <v>8</v>
      </c>
      <c r="B26" s="52"/>
      <c r="C26" s="52">
        <v>-63.765999999999998</v>
      </c>
      <c r="D26" s="52"/>
      <c r="E26" s="52"/>
      <c r="F26" s="52"/>
      <c r="G26" s="181"/>
      <c r="H26" s="56"/>
      <c r="I26" s="56"/>
      <c r="J26" s="56"/>
      <c r="L26" s="6" t="s">
        <v>235</v>
      </c>
      <c r="M26" s="57"/>
      <c r="N26" s="57">
        <v>0</v>
      </c>
      <c r="O26" s="57">
        <v>0</v>
      </c>
      <c r="P26" s="57">
        <v>0</v>
      </c>
      <c r="Q26" s="7">
        <v>0</v>
      </c>
      <c r="R26" s="175">
        <v>0</v>
      </c>
      <c r="S26" s="269">
        <v>0</v>
      </c>
      <c r="T26" s="270">
        <v>0</v>
      </c>
      <c r="U26" s="270">
        <v>228.5</v>
      </c>
      <c r="V26" s="222"/>
    </row>
    <row r="27" spans="1:23" ht="15" customHeight="1">
      <c r="A27" s="6" t="s">
        <v>223</v>
      </c>
      <c r="B27" s="52"/>
      <c r="C27" s="52"/>
      <c r="D27" s="52"/>
      <c r="E27" s="52"/>
      <c r="F27" s="52"/>
      <c r="G27" s="181">
        <v>-7.8949999999999996</v>
      </c>
      <c r="H27" s="56">
        <v>-0.09</v>
      </c>
      <c r="I27" s="56">
        <v>-0.1</v>
      </c>
      <c r="J27" s="56">
        <v>-0.5</v>
      </c>
      <c r="L27" s="6" t="s">
        <v>162</v>
      </c>
      <c r="M27" s="54"/>
      <c r="N27" s="54">
        <v>28.061</v>
      </c>
      <c r="O27" s="27">
        <v>37.411000000000001</v>
      </c>
      <c r="P27" s="31">
        <v>18.111000000000001</v>
      </c>
      <c r="Q27" s="7">
        <v>19.518000000000001</v>
      </c>
      <c r="R27" s="175">
        <v>18.856000000000002</v>
      </c>
      <c r="S27" s="269">
        <v>54.335000000000001</v>
      </c>
      <c r="T27" s="270">
        <v>84.3</v>
      </c>
      <c r="U27" s="270">
        <v>78.099999999999994</v>
      </c>
      <c r="V27" s="222"/>
    </row>
    <row r="28" spans="1:23" ht="15" customHeight="1">
      <c r="A28" s="6" t="s">
        <v>9</v>
      </c>
      <c r="B28" s="27"/>
      <c r="C28" s="28">
        <v>-128.19999999999999</v>
      </c>
      <c r="D28" s="26">
        <v>0</v>
      </c>
      <c r="E28" s="26">
        <v>0</v>
      </c>
      <c r="F28" s="28"/>
      <c r="G28" s="66"/>
      <c r="H28" s="28"/>
      <c r="I28" s="28"/>
      <c r="J28" s="28"/>
      <c r="L28" s="6" t="s">
        <v>163</v>
      </c>
      <c r="M28" s="60"/>
      <c r="N28" s="54">
        <v>39.366</v>
      </c>
      <c r="O28" s="57">
        <v>34.021999999999998</v>
      </c>
      <c r="P28" s="31">
        <v>37.545000000000002</v>
      </c>
      <c r="Q28" s="7">
        <v>35.418999999999997</v>
      </c>
      <c r="R28" s="175">
        <v>35.85</v>
      </c>
      <c r="S28" s="269">
        <v>36.902999999999999</v>
      </c>
      <c r="T28" s="270">
        <v>38.4</v>
      </c>
      <c r="U28" s="270">
        <v>20.5</v>
      </c>
      <c r="V28" s="220"/>
    </row>
    <row r="29" spans="1:23" ht="15" customHeight="1">
      <c r="A29" s="14" t="s">
        <v>10</v>
      </c>
      <c r="B29" s="30">
        <f>(B18-B24-B26-B28)</f>
        <v>2548.1999999999998</v>
      </c>
      <c r="C29" s="30">
        <f t="shared" ref="C29:I29" si="19">C18-C24-C25+C27+C5</f>
        <v>664.87000000000023</v>
      </c>
      <c r="D29" s="30">
        <f t="shared" si="19"/>
        <v>568.09499999999991</v>
      </c>
      <c r="E29" s="30">
        <f t="shared" si="19"/>
        <v>375.4470000000004</v>
      </c>
      <c r="F29" s="30">
        <f t="shared" si="19"/>
        <v>511.76600000000002</v>
      </c>
      <c r="G29" s="30">
        <f t="shared" si="19"/>
        <v>689.21400000000006</v>
      </c>
      <c r="H29" s="30">
        <f t="shared" si="19"/>
        <v>559.30999999999972</v>
      </c>
      <c r="I29" s="30">
        <f t="shared" si="19"/>
        <v>647.10000000000059</v>
      </c>
      <c r="J29" s="30">
        <f>J18-J24-J25+J27+J5</f>
        <v>355.1</v>
      </c>
      <c r="L29" s="6" t="s">
        <v>164</v>
      </c>
      <c r="M29" s="55"/>
      <c r="N29" s="40">
        <v>33.395000000000003</v>
      </c>
      <c r="O29" s="27">
        <v>10.208</v>
      </c>
      <c r="P29" s="27">
        <v>14.907999999999999</v>
      </c>
      <c r="Q29" s="7">
        <v>25.18</v>
      </c>
      <c r="R29" s="175">
        <v>39.277000000000001</v>
      </c>
      <c r="S29" s="269">
        <v>26.425999999999998</v>
      </c>
      <c r="T29" s="270">
        <v>30</v>
      </c>
      <c r="U29" s="270">
        <v>29.2</v>
      </c>
      <c r="V29" s="222"/>
    </row>
    <row r="30" spans="1:23" ht="15" customHeight="1">
      <c r="A30" s="6" t="s">
        <v>11</v>
      </c>
      <c r="B30" s="27"/>
      <c r="C30" s="28">
        <v>117</v>
      </c>
      <c r="D30" s="28">
        <v>160</v>
      </c>
      <c r="E30" s="28">
        <v>95.417000000000002</v>
      </c>
      <c r="F30" s="28">
        <v>128.85400000000001</v>
      </c>
      <c r="G30" s="66">
        <v>182.70699999999999</v>
      </c>
      <c r="H30" s="28">
        <v>92.58</v>
      </c>
      <c r="I30" s="28">
        <v>151.6</v>
      </c>
      <c r="J30" s="28">
        <v>83.8</v>
      </c>
      <c r="L30" s="14" t="s">
        <v>35</v>
      </c>
      <c r="M30" s="29">
        <f t="shared" ref="M30:R30" si="20">SUM(M31:M40)</f>
        <v>0</v>
      </c>
      <c r="N30" s="29">
        <f t="shared" si="20"/>
        <v>1854.7149999999999</v>
      </c>
      <c r="O30" s="29">
        <f t="shared" si="20"/>
        <v>2218.252</v>
      </c>
      <c r="P30" s="29">
        <f t="shared" si="20"/>
        <v>2500.2660000000001</v>
      </c>
      <c r="Q30" s="29">
        <f t="shared" si="20"/>
        <v>3064.8760000000002</v>
      </c>
      <c r="R30" s="29">
        <f t="shared" si="20"/>
        <v>3794.3020000000001</v>
      </c>
      <c r="S30" s="166">
        <f>SUM(S31:S40)</f>
        <v>3268.0559999999991</v>
      </c>
      <c r="T30" s="254">
        <f>SUM(T31:T40)</f>
        <v>3641.1000000000004</v>
      </c>
      <c r="U30" s="254">
        <f>SUM(U31:U40)</f>
        <v>3582.8000000000006</v>
      </c>
      <c r="V30" s="222"/>
      <c r="W30" s="158"/>
    </row>
    <row r="31" spans="1:23" ht="15" customHeight="1">
      <c r="A31" s="13" t="s">
        <v>12</v>
      </c>
      <c r="B31" s="34">
        <f t="shared" ref="B31:G31" si="21">(B30/B29)</f>
        <v>0</v>
      </c>
      <c r="C31" s="34">
        <f t="shared" si="21"/>
        <v>0.17597425060538144</v>
      </c>
      <c r="D31" s="34">
        <f t="shared" si="21"/>
        <v>0.28164303505575655</v>
      </c>
      <c r="E31" s="34">
        <f t="shared" si="21"/>
        <v>0.25414239559778051</v>
      </c>
      <c r="F31" s="34">
        <f t="shared" si="21"/>
        <v>0.25178304146817104</v>
      </c>
      <c r="G31" s="182">
        <f t="shared" si="21"/>
        <v>0.26509473109948428</v>
      </c>
      <c r="H31" s="34">
        <f>(H30/H29)</f>
        <v>0.1655253794854375</v>
      </c>
      <c r="I31" s="34">
        <f>(I30/I29)</f>
        <v>0.23427600061814227</v>
      </c>
      <c r="J31" s="34">
        <f>(J30/J29)</f>
        <v>0.23598986201070118</v>
      </c>
      <c r="L31" s="6" t="s">
        <v>160</v>
      </c>
      <c r="M31" s="53"/>
      <c r="N31" s="53">
        <v>28.297999999999998</v>
      </c>
      <c r="O31" s="53">
        <v>38.89</v>
      </c>
      <c r="P31" s="53">
        <v>19.96</v>
      </c>
      <c r="Q31" s="7">
        <v>41.265999999999998</v>
      </c>
      <c r="R31" s="175">
        <v>23.143000000000001</v>
      </c>
      <c r="S31" s="269">
        <v>16.486000000000001</v>
      </c>
      <c r="T31" s="270">
        <v>20.3</v>
      </c>
      <c r="U31" s="270">
        <v>18.3</v>
      </c>
      <c r="V31" s="222"/>
    </row>
    <row r="32" spans="1:23" ht="15" customHeight="1">
      <c r="A32" s="14" t="s">
        <v>13</v>
      </c>
      <c r="B32" s="30">
        <f>(B29-B30-4)</f>
        <v>2544.1999999999998</v>
      </c>
      <c r="C32" s="30">
        <f>(C29-C30)</f>
        <v>547.87000000000023</v>
      </c>
      <c r="D32" s="30">
        <f>(D29-D30)</f>
        <v>408.09499999999991</v>
      </c>
      <c r="E32" s="30">
        <f>(E29-E30)</f>
        <v>280.03000000000043</v>
      </c>
      <c r="F32" s="30">
        <v>407.7</v>
      </c>
      <c r="G32" s="167">
        <f>G29-G30</f>
        <v>506.50700000000006</v>
      </c>
      <c r="H32" s="30">
        <f>H29-H30</f>
        <v>466.72999999999973</v>
      </c>
      <c r="I32" s="30">
        <f>I29-I30</f>
        <v>495.50000000000057</v>
      </c>
      <c r="J32" s="30">
        <f>J29-J30</f>
        <v>271.3</v>
      </c>
      <c r="L32" s="6" t="s">
        <v>165</v>
      </c>
      <c r="M32" s="52"/>
      <c r="N32" s="52">
        <v>166.364</v>
      </c>
      <c r="O32" s="52">
        <v>54.241999999999997</v>
      </c>
      <c r="P32" s="52">
        <v>45.322000000000003</v>
      </c>
      <c r="Q32" s="7">
        <v>90.009</v>
      </c>
      <c r="R32" s="175">
        <v>95.31</v>
      </c>
      <c r="S32" s="269">
        <v>87</v>
      </c>
      <c r="T32" s="270">
        <v>80.599999999999994</v>
      </c>
      <c r="U32" s="270">
        <v>157.5</v>
      </c>
      <c r="V32" s="222"/>
    </row>
    <row r="33" spans="1:22" ht="15" customHeight="1">
      <c r="A33" s="14" t="s">
        <v>67</v>
      </c>
      <c r="B33" s="17">
        <f>B32/B6</f>
        <v>0.99819131280872242</v>
      </c>
      <c r="C33" s="17">
        <f t="shared" ref="C33:I33" si="22">C32/C4</f>
        <v>0.16332876222275228</v>
      </c>
      <c r="D33" s="17">
        <f t="shared" si="22"/>
        <v>0.11712479640671299</v>
      </c>
      <c r="E33" s="17">
        <f t="shared" si="22"/>
        <v>7.5317374932759668E-2</v>
      </c>
      <c r="F33" s="17">
        <f t="shared" si="22"/>
        <v>0.10789167961172756</v>
      </c>
      <c r="G33" s="17">
        <f t="shared" si="22"/>
        <v>0.11657356254010398</v>
      </c>
      <c r="H33" s="17">
        <f t="shared" si="22"/>
        <v>0.10240494636537363</v>
      </c>
      <c r="I33" s="17">
        <f t="shared" si="22"/>
        <v>0.10293751038723628</v>
      </c>
      <c r="J33" s="17">
        <f>J32/J4</f>
        <v>0.11491380405777457</v>
      </c>
      <c r="L33" s="6" t="s">
        <v>166</v>
      </c>
      <c r="M33" s="52"/>
      <c r="N33" s="53">
        <v>811.24599999999998</v>
      </c>
      <c r="O33" s="53">
        <v>621.73699999999997</v>
      </c>
      <c r="P33" s="53">
        <v>1101.403</v>
      </c>
      <c r="Q33" s="27">
        <v>1908.876</v>
      </c>
      <c r="R33" s="173">
        <v>2172.5610000000001</v>
      </c>
      <c r="S33" s="293">
        <v>2156.6469999999999</v>
      </c>
      <c r="T33" s="294">
        <v>2147.6</v>
      </c>
      <c r="U33" s="294">
        <v>1876.6</v>
      </c>
      <c r="V33" s="222"/>
    </row>
    <row r="34" spans="1:22" ht="15" customHeight="1">
      <c r="A34" s="6" t="s">
        <v>14</v>
      </c>
      <c r="B34" s="7"/>
      <c r="C34" s="10">
        <v>0</v>
      </c>
      <c r="D34" s="65">
        <v>0</v>
      </c>
      <c r="E34" s="65"/>
      <c r="F34" s="65">
        <v>0</v>
      </c>
      <c r="G34" s="186"/>
      <c r="H34" s="65"/>
      <c r="I34" s="65"/>
      <c r="J34" s="65"/>
      <c r="L34" s="6" t="s">
        <v>167</v>
      </c>
      <c r="M34" s="52"/>
      <c r="N34" s="53">
        <v>737.28499999999997</v>
      </c>
      <c r="O34" s="27">
        <v>1367.501</v>
      </c>
      <c r="P34" s="27">
        <v>1203.5029999999999</v>
      </c>
      <c r="Q34" s="27">
        <v>850.12300000000005</v>
      </c>
      <c r="R34" s="173">
        <v>859.67100000000005</v>
      </c>
      <c r="S34" s="293">
        <v>790.13699999999994</v>
      </c>
      <c r="T34" s="294">
        <v>1146</v>
      </c>
      <c r="U34" s="294">
        <v>1323.7</v>
      </c>
      <c r="V34" s="222"/>
    </row>
    <row r="35" spans="1:22" ht="15" customHeight="1">
      <c r="A35" s="6" t="s">
        <v>58</v>
      </c>
      <c r="B35" s="7"/>
      <c r="C35" s="10">
        <v>0</v>
      </c>
      <c r="D35" s="65">
        <f>2.096-6.218</f>
        <v>-4.1219999999999999</v>
      </c>
      <c r="E35" s="65">
        <f>(-6.186)+(-2.226)</f>
        <v>-8.411999999999999</v>
      </c>
      <c r="F35" s="65">
        <f>F36-F32</f>
        <v>2.8300000000001546E-2</v>
      </c>
      <c r="G35" s="186">
        <f>-5.051+0.857</f>
        <v>-4.194</v>
      </c>
      <c r="H35" s="268">
        <v>0</v>
      </c>
      <c r="I35" s="268">
        <v>-4.4000000000000004</v>
      </c>
      <c r="J35" s="268">
        <v>-2.6</v>
      </c>
      <c r="L35" s="6" t="s">
        <v>157</v>
      </c>
      <c r="M35" s="52"/>
      <c r="N35" s="52">
        <v>37.6</v>
      </c>
      <c r="O35" s="27">
        <v>34.798999999999999</v>
      </c>
      <c r="P35" s="27">
        <v>36.219000000000001</v>
      </c>
      <c r="Q35" s="7">
        <v>74.728999999999999</v>
      </c>
      <c r="R35" s="175">
        <v>79.546000000000006</v>
      </c>
      <c r="S35" s="269">
        <v>0.7</v>
      </c>
      <c r="T35" s="270">
        <v>1.3</v>
      </c>
      <c r="U35" s="270">
        <v>0.8</v>
      </c>
      <c r="V35" s="222"/>
    </row>
    <row r="36" spans="1:22" ht="15" customHeight="1">
      <c r="A36" s="14" t="s">
        <v>15</v>
      </c>
      <c r="B36" s="15">
        <f>(B32-B34+B35)</f>
        <v>2544.1999999999998</v>
      </c>
      <c r="C36" s="15">
        <f>(C32-C34+C35)</f>
        <v>547.87000000000023</v>
      </c>
      <c r="D36" s="15">
        <f>(D32-D34+D35)</f>
        <v>403.9729999999999</v>
      </c>
      <c r="E36" s="15">
        <f>(E32+E34+E35)</f>
        <v>271.61800000000045</v>
      </c>
      <c r="F36" s="15">
        <v>407.72829999999999</v>
      </c>
      <c r="G36" s="187">
        <f>G32+G35</f>
        <v>502.31300000000005</v>
      </c>
      <c r="H36" s="15">
        <f>H32+H35</f>
        <v>466.72999999999973</v>
      </c>
      <c r="I36" s="15">
        <f>I32+I35</f>
        <v>491.10000000000059</v>
      </c>
      <c r="J36" s="15">
        <f>J32+J35</f>
        <v>268.7</v>
      </c>
      <c r="L36" s="6" t="s">
        <v>168</v>
      </c>
      <c r="M36" s="52"/>
      <c r="N36" s="52">
        <v>0</v>
      </c>
      <c r="O36" s="27">
        <v>5.4219999999999997</v>
      </c>
      <c r="P36" s="27">
        <v>0</v>
      </c>
      <c r="Q36" s="7">
        <v>0</v>
      </c>
      <c r="R36" s="175">
        <v>0</v>
      </c>
      <c r="S36" s="269">
        <v>0</v>
      </c>
      <c r="T36" s="270">
        <v>0</v>
      </c>
      <c r="U36" s="270">
        <v>0</v>
      </c>
      <c r="V36" s="222"/>
    </row>
    <row r="37" spans="1:22" ht="15" customHeight="1">
      <c r="A37" s="13" t="s">
        <v>2</v>
      </c>
      <c r="B37" s="43" t="e">
        <f>(B36/#REF!-1)</f>
        <v>#REF!</v>
      </c>
      <c r="C37" s="43">
        <f t="shared" ref="C37:I37" si="23">(C36/B36-1)</f>
        <v>-0.78465922490370243</v>
      </c>
      <c r="D37" s="43">
        <f t="shared" si="23"/>
        <v>-0.26264807344808128</v>
      </c>
      <c r="E37" s="43">
        <f t="shared" si="23"/>
        <v>-0.3276332824223388</v>
      </c>
      <c r="F37" s="43">
        <f t="shared" si="23"/>
        <v>0.50110927847196907</v>
      </c>
      <c r="G37" s="194">
        <f t="shared" si="23"/>
        <v>0.23197972767649455</v>
      </c>
      <c r="H37" s="194">
        <f t="shared" si="23"/>
        <v>-7.0838302014879728E-2</v>
      </c>
      <c r="I37" s="194">
        <f t="shared" si="23"/>
        <v>5.2214342339255815E-2</v>
      </c>
      <c r="J37" s="194"/>
      <c r="L37" s="6" t="s">
        <v>225</v>
      </c>
      <c r="M37" s="52"/>
      <c r="N37" s="52"/>
      <c r="O37" s="27"/>
      <c r="P37" s="27"/>
      <c r="Q37" s="7"/>
      <c r="R37" s="175">
        <v>6</v>
      </c>
      <c r="S37" s="269">
        <v>2</v>
      </c>
      <c r="T37" s="270">
        <v>2</v>
      </c>
      <c r="U37" s="270">
        <v>2</v>
      </c>
    </row>
    <row r="38" spans="1:22" ht="15" customHeight="1">
      <c r="A38" s="13" t="s">
        <v>80</v>
      </c>
      <c r="B38" s="34"/>
      <c r="C38" s="34"/>
      <c r="D38" s="34"/>
      <c r="E38" s="34">
        <f t="shared" ref="E38:I38" si="24">((E36/B36)^(1/3)-1)</f>
        <v>-0.52560973718232118</v>
      </c>
      <c r="F38" s="34">
        <f t="shared" si="24"/>
        <v>-9.3785280497995394E-2</v>
      </c>
      <c r="G38" s="182">
        <f t="shared" si="24"/>
        <v>7.5327352424596761E-2</v>
      </c>
      <c r="H38" s="182">
        <f t="shared" si="24"/>
        <v>0.19775793482001425</v>
      </c>
      <c r="I38" s="182">
        <f t="shared" si="24"/>
        <v>6.3978925591217095E-2</v>
      </c>
      <c r="J38" s="182"/>
      <c r="L38" s="6" t="s">
        <v>169</v>
      </c>
      <c r="M38" s="53"/>
      <c r="N38" s="53">
        <v>29.221</v>
      </c>
      <c r="O38" s="53">
        <v>41.011000000000003</v>
      </c>
      <c r="P38" s="53">
        <v>46.191000000000003</v>
      </c>
      <c r="Q38" s="7">
        <v>57.055</v>
      </c>
      <c r="R38" s="175">
        <v>62.057000000000002</v>
      </c>
      <c r="S38" s="269">
        <v>153.19999999999999</v>
      </c>
      <c r="T38" s="253">
        <v>177.3</v>
      </c>
      <c r="U38" s="253">
        <v>133</v>
      </c>
      <c r="V38" s="220"/>
    </row>
    <row r="39" spans="1:22" ht="15" customHeight="1">
      <c r="A39" s="3" t="s">
        <v>77</v>
      </c>
      <c r="B39" s="32"/>
      <c r="C39" s="33">
        <v>33.4</v>
      </c>
      <c r="D39" s="33">
        <v>18.59</v>
      </c>
      <c r="E39" s="33">
        <v>12.95</v>
      </c>
      <c r="F39" s="33">
        <v>17.88</v>
      </c>
      <c r="G39" s="188">
        <v>23.39</v>
      </c>
      <c r="H39" s="33">
        <v>20.72</v>
      </c>
      <c r="I39" s="33">
        <v>22.25</v>
      </c>
      <c r="J39" s="33">
        <v>12.18</v>
      </c>
      <c r="L39" s="6" t="s">
        <v>170</v>
      </c>
      <c r="M39" s="27"/>
      <c r="N39" s="53">
        <v>44.701000000000001</v>
      </c>
      <c r="O39" s="53">
        <v>54.65</v>
      </c>
      <c r="P39" s="53">
        <v>47.667999999999999</v>
      </c>
      <c r="Q39" s="7">
        <v>42.817999999999998</v>
      </c>
      <c r="R39" s="175">
        <v>60.048000000000002</v>
      </c>
      <c r="S39" s="269">
        <v>61.886000000000003</v>
      </c>
      <c r="T39" s="255">
        <v>66</v>
      </c>
      <c r="U39" s="255">
        <v>70.900000000000006</v>
      </c>
    </row>
    <row r="40" spans="1:22" ht="15" customHeight="1">
      <c r="A40" s="18" t="s">
        <v>2</v>
      </c>
      <c r="B40" s="34" t="e">
        <f>(B39/#REF!-1)</f>
        <v>#REF!</v>
      </c>
      <c r="C40" s="34"/>
      <c r="D40" s="34">
        <f t="shared" ref="D40:I40" si="25">(D39/C39-1)</f>
        <v>-0.44341317365269461</v>
      </c>
      <c r="E40" s="34">
        <f t="shared" si="25"/>
        <v>-0.30338891877353424</v>
      </c>
      <c r="F40" s="34">
        <f t="shared" si="25"/>
        <v>0.38069498069498064</v>
      </c>
      <c r="G40" s="182">
        <f t="shared" si="25"/>
        <v>0.30816554809843422</v>
      </c>
      <c r="H40" s="182">
        <f t="shared" si="25"/>
        <v>-0.11415134672937155</v>
      </c>
      <c r="I40" s="182">
        <f t="shared" si="25"/>
        <v>7.3841698841698999E-2</v>
      </c>
      <c r="J40" s="182"/>
      <c r="K40" s="2"/>
      <c r="L40" s="6" t="s">
        <v>226</v>
      </c>
      <c r="M40" s="27"/>
      <c r="N40" s="40"/>
      <c r="O40" s="7"/>
      <c r="P40" s="7"/>
      <c r="Q40" s="6"/>
      <c r="R40" s="172">
        <v>435.96600000000001</v>
      </c>
      <c r="S40" s="242">
        <v>0</v>
      </c>
      <c r="T40" s="253">
        <v>0</v>
      </c>
      <c r="U40" s="253">
        <v>0</v>
      </c>
      <c r="V40" s="222"/>
    </row>
    <row r="41" spans="1:22" ht="12">
      <c r="A41" s="18" t="s">
        <v>79</v>
      </c>
      <c r="B41" s="19"/>
      <c r="C41" s="34"/>
      <c r="D41" s="34"/>
      <c r="E41" s="34"/>
      <c r="F41" s="34">
        <f>((F39/C39)^(1/3)-1)</f>
        <v>-0.18802931639944787</v>
      </c>
      <c r="G41" s="182">
        <f>((G39/D39)^(1/3)-1)</f>
        <v>7.9568682113873912E-2</v>
      </c>
      <c r="H41" s="182">
        <f>((H39/E39)^(1/3)-1)</f>
        <v>0.1696070952851465</v>
      </c>
      <c r="I41" s="182">
        <f>((I39/F39)^(1/3)-1)</f>
        <v>7.5608354801757649E-2</v>
      </c>
      <c r="J41" s="182"/>
      <c r="K41" s="2"/>
      <c r="L41" s="14" t="s">
        <v>37</v>
      </c>
      <c r="M41" s="29">
        <f t="shared" ref="M41:R41" si="26">SUM(M42:M48)</f>
        <v>0</v>
      </c>
      <c r="N41" s="29">
        <f t="shared" si="26"/>
        <v>985.36900000000003</v>
      </c>
      <c r="O41" s="29">
        <f t="shared" si="26"/>
        <v>1176.6289999999999</v>
      </c>
      <c r="P41" s="29">
        <f t="shared" si="26"/>
        <v>1302.547</v>
      </c>
      <c r="Q41" s="29">
        <f t="shared" si="26"/>
        <v>1414.2658999999999</v>
      </c>
      <c r="R41" s="29">
        <f t="shared" si="26"/>
        <v>1546.9260000000002</v>
      </c>
      <c r="S41" s="166">
        <f>SUM(S42:S48)</f>
        <v>1591.5339999999999</v>
      </c>
      <c r="T41" s="254">
        <f>SUM(T42:T48)</f>
        <v>1675.8999999999999</v>
      </c>
      <c r="U41" s="254">
        <f>SUM(U42:U48)</f>
        <v>1674.6999999999998</v>
      </c>
    </row>
    <row r="42" spans="1:22" ht="12">
      <c r="C42" s="8"/>
      <c r="K42" s="2"/>
      <c r="L42" s="6" t="s">
        <v>171</v>
      </c>
      <c r="M42" s="55"/>
      <c r="N42" s="55"/>
      <c r="O42" s="55">
        <v>0</v>
      </c>
      <c r="P42" s="55">
        <v>0</v>
      </c>
      <c r="Q42" s="6">
        <v>0</v>
      </c>
      <c r="R42" s="172">
        <v>0</v>
      </c>
      <c r="S42" s="272">
        <v>0</v>
      </c>
      <c r="T42" s="253">
        <v>0</v>
      </c>
      <c r="U42" s="253">
        <v>0</v>
      </c>
    </row>
    <row r="43" spans="1:22" ht="12">
      <c r="C43" s="8"/>
      <c r="K43" s="2"/>
      <c r="L43" s="6" t="s">
        <v>172</v>
      </c>
      <c r="M43" s="55"/>
      <c r="N43" s="55">
        <v>179.37200000000001</v>
      </c>
      <c r="O43" s="55">
        <v>210.88200000000001</v>
      </c>
      <c r="P43" s="55">
        <v>310.608</v>
      </c>
      <c r="Q43" s="7">
        <f>385.652+0.0539</f>
        <v>385.70589999999999</v>
      </c>
      <c r="R43" s="175">
        <f>479.462+31.75</f>
        <v>511.21199999999999</v>
      </c>
      <c r="S43" s="269">
        <v>451.53500000000003</v>
      </c>
      <c r="T43" s="270">
        <v>530.5</v>
      </c>
      <c r="U43" s="270">
        <f>23.4+612.8</f>
        <v>636.19999999999993</v>
      </c>
    </row>
    <row r="44" spans="1:22" ht="12">
      <c r="A44" s="2" t="s">
        <v>16</v>
      </c>
      <c r="C44" s="8"/>
      <c r="K44" s="2"/>
      <c r="L44" s="6" t="s">
        <v>173</v>
      </c>
      <c r="M44" s="57"/>
      <c r="N44" s="57">
        <v>4.5270000000000001</v>
      </c>
      <c r="O44" s="57">
        <v>6.2649999999999997</v>
      </c>
      <c r="P44" s="57">
        <v>20.689</v>
      </c>
      <c r="Q44" s="6">
        <v>1.073</v>
      </c>
      <c r="R44" s="172">
        <v>1.3080000000000001</v>
      </c>
      <c r="S44" s="269">
        <v>58.976999999999997</v>
      </c>
      <c r="T44" s="253">
        <v>43.8</v>
      </c>
      <c r="U44" s="253">
        <v>43.4</v>
      </c>
    </row>
    <row r="45" spans="1:22" ht="12">
      <c r="A45" s="2"/>
      <c r="C45" s="8"/>
      <c r="L45" s="6" t="s">
        <v>178</v>
      </c>
      <c r="M45" s="57"/>
      <c r="N45" s="122"/>
      <c r="O45" s="57">
        <v>106.72199999999999</v>
      </c>
      <c r="P45" s="57">
        <v>148.631</v>
      </c>
      <c r="Q45" s="6">
        <v>118.35599999999999</v>
      </c>
      <c r="R45" s="172">
        <v>131.62200000000001</v>
      </c>
      <c r="S45" s="269">
        <v>149.875</v>
      </c>
      <c r="T45" s="253">
        <v>155.80000000000001</v>
      </c>
      <c r="U45" s="253">
        <v>176.9</v>
      </c>
    </row>
    <row r="46" spans="1:22" ht="12">
      <c r="A46" s="3" t="s">
        <v>0</v>
      </c>
      <c r="B46" s="49" t="s">
        <v>25</v>
      </c>
      <c r="C46" s="49" t="s">
        <v>69</v>
      </c>
      <c r="D46" s="12" t="s">
        <v>78</v>
      </c>
      <c r="E46" s="12" t="s">
        <v>181</v>
      </c>
      <c r="F46" s="165" t="s">
        <v>207</v>
      </c>
      <c r="G46" s="12" t="s">
        <v>224</v>
      </c>
      <c r="H46" s="12" t="s">
        <v>230</v>
      </c>
      <c r="I46" s="12" t="s">
        <v>232</v>
      </c>
      <c r="J46" s="12" t="s">
        <v>233</v>
      </c>
      <c r="K46" s="61"/>
      <c r="L46" s="6" t="s">
        <v>174</v>
      </c>
      <c r="M46" s="27"/>
      <c r="N46" s="40">
        <v>746.84900000000005</v>
      </c>
      <c r="O46" s="27">
        <v>790.03300000000002</v>
      </c>
      <c r="P46" s="27">
        <v>744.03899999999999</v>
      </c>
      <c r="Q46" s="6">
        <v>838.50199999999995</v>
      </c>
      <c r="R46" s="172">
        <v>830.58500000000004</v>
      </c>
      <c r="S46" s="269">
        <v>855.62699999999995</v>
      </c>
      <c r="T46" s="253">
        <v>817.6</v>
      </c>
      <c r="U46" s="253">
        <v>727.8</v>
      </c>
      <c r="V46" s="220"/>
    </row>
    <row r="47" spans="1:22" ht="12">
      <c r="A47" s="3" t="s">
        <v>17</v>
      </c>
      <c r="B47" s="26"/>
      <c r="C47" s="32">
        <v>58.837000000000003</v>
      </c>
      <c r="D47" s="42">
        <f>+C52</f>
        <v>166.07300000000001</v>
      </c>
      <c r="E47" s="42">
        <f>+D52</f>
        <v>54.099000000000004</v>
      </c>
      <c r="F47" s="42">
        <f t="shared" ref="F47:J47" si="27">+E52</f>
        <v>45.139000000000003</v>
      </c>
      <c r="G47" s="42">
        <f t="shared" si="27"/>
        <v>89.998999999999995</v>
      </c>
      <c r="H47" s="42">
        <f t="shared" si="27"/>
        <v>95.250999999999991</v>
      </c>
      <c r="I47" s="42">
        <v>87.1</v>
      </c>
      <c r="J47" s="42">
        <f t="shared" si="27"/>
        <v>80.599999999999994</v>
      </c>
      <c r="L47" s="6" t="s">
        <v>175</v>
      </c>
      <c r="M47" s="27"/>
      <c r="N47" s="40">
        <v>46.841000000000001</v>
      </c>
      <c r="O47" s="27">
        <v>61.070999999999998</v>
      </c>
      <c r="P47" s="27">
        <v>75.510999999999996</v>
      </c>
      <c r="Q47" s="6">
        <v>67.721000000000004</v>
      </c>
      <c r="R47" s="172">
        <v>72.198999999999998</v>
      </c>
      <c r="S47" s="269">
        <v>73.099999999999994</v>
      </c>
      <c r="T47" s="255">
        <v>85.3</v>
      </c>
      <c r="U47" s="255">
        <v>90.4</v>
      </c>
    </row>
    <row r="48" spans="1:22" s="61" customFormat="1">
      <c r="A48" s="63" t="s">
        <v>18</v>
      </c>
      <c r="B48" s="238"/>
      <c r="C48" s="261">
        <v>762.65099999999995</v>
      </c>
      <c r="D48" s="262">
        <v>687.18299999999999</v>
      </c>
      <c r="E48" s="262">
        <v>570.84100000000001</v>
      </c>
      <c r="F48" s="263">
        <v>701.27700000000004</v>
      </c>
      <c r="G48" s="262">
        <v>775.15300000000002</v>
      </c>
      <c r="H48" s="262">
        <v>571.899</v>
      </c>
      <c r="I48" s="262">
        <v>612</v>
      </c>
      <c r="J48" s="262">
        <v>291.8</v>
      </c>
      <c r="K48" s="1"/>
      <c r="L48" s="6" t="s">
        <v>176</v>
      </c>
      <c r="M48" s="55"/>
      <c r="N48" s="55">
        <v>7.78</v>
      </c>
      <c r="O48" s="55">
        <v>1.6559999999999999</v>
      </c>
      <c r="P48" s="55">
        <v>3.069</v>
      </c>
      <c r="Q48" s="6">
        <v>2.9079999999999999</v>
      </c>
      <c r="R48" s="172">
        <v>0</v>
      </c>
      <c r="S48" s="272">
        <v>2.42</v>
      </c>
      <c r="T48" s="253">
        <v>42.9</v>
      </c>
      <c r="U48" s="253">
        <v>0</v>
      </c>
      <c r="V48" s="1"/>
    </row>
    <row r="49" spans="1:23" ht="12">
      <c r="A49" s="6" t="s">
        <v>66</v>
      </c>
      <c r="B49" s="31"/>
      <c r="C49" s="264">
        <v>-1499.2809999999999</v>
      </c>
      <c r="D49" s="265">
        <v>-511.01900000000001</v>
      </c>
      <c r="E49" s="265">
        <v>-344.14600000000002</v>
      </c>
      <c r="F49" s="266">
        <v>-429.20400000000001</v>
      </c>
      <c r="G49" s="265">
        <f>-525.783</f>
        <v>-525.78300000000002</v>
      </c>
      <c r="H49" s="265">
        <v>666.81700000000001</v>
      </c>
      <c r="I49" s="265">
        <v>-326.8</v>
      </c>
      <c r="J49" s="265">
        <v>-4.4000000000000004</v>
      </c>
      <c r="L49" s="14" t="s">
        <v>231</v>
      </c>
      <c r="M49" s="29">
        <f>(M30-M41-M9)</f>
        <v>-443.8</v>
      </c>
      <c r="N49" s="29">
        <f t="shared" ref="N49:S49" si="28">(N30-N41)</f>
        <v>869.34599999999989</v>
      </c>
      <c r="O49" s="29">
        <f t="shared" si="28"/>
        <v>1041.623</v>
      </c>
      <c r="P49" s="29">
        <f t="shared" si="28"/>
        <v>1197.7190000000001</v>
      </c>
      <c r="Q49" s="29">
        <f t="shared" si="28"/>
        <v>1650.6101000000003</v>
      </c>
      <c r="R49" s="29">
        <f t="shared" si="28"/>
        <v>2247.3760000000002</v>
      </c>
      <c r="S49" s="166">
        <f t="shared" si="28"/>
        <v>1676.5219999999993</v>
      </c>
      <c r="T49" s="29">
        <f>(T30-T41)</f>
        <v>1965.2000000000005</v>
      </c>
      <c r="U49" s="29">
        <f>(U30-U41)</f>
        <v>1908.1000000000008</v>
      </c>
    </row>
    <row r="50" spans="1:23">
      <c r="A50" s="6" t="s">
        <v>19</v>
      </c>
      <c r="B50" s="31"/>
      <c r="C50" s="264">
        <v>843.86599999999999</v>
      </c>
      <c r="D50" s="265">
        <v>-288.13799999999998</v>
      </c>
      <c r="E50" s="265">
        <v>-235.655</v>
      </c>
      <c r="F50" s="266">
        <v>-227.21299999999999</v>
      </c>
      <c r="G50" s="265">
        <f>-244.118</f>
        <v>-244.11799999999999</v>
      </c>
      <c r="H50" s="265">
        <v>-1248.037</v>
      </c>
      <c r="I50" s="265">
        <v>-291.7</v>
      </c>
      <c r="J50" s="265">
        <v>-210.5</v>
      </c>
      <c r="L50" s="6" t="s">
        <v>179</v>
      </c>
      <c r="M50" s="55">
        <v>0</v>
      </c>
      <c r="N50" s="55">
        <v>0</v>
      </c>
      <c r="O50" s="55">
        <v>412.73200000000003</v>
      </c>
      <c r="P50" s="55">
        <v>463.29500000000002</v>
      </c>
      <c r="Q50" s="6">
        <v>478.74900000000002</v>
      </c>
      <c r="R50" s="172">
        <v>561.71400000000006</v>
      </c>
      <c r="S50" s="269">
        <v>529.98699999999997</v>
      </c>
      <c r="T50" s="253">
        <v>424.1</v>
      </c>
      <c r="U50" s="253">
        <v>394.8</v>
      </c>
      <c r="V50" s="121"/>
      <c r="W50" s="61"/>
    </row>
    <row r="51" spans="1:23" ht="12">
      <c r="A51" s="3" t="s">
        <v>20</v>
      </c>
      <c r="B51" s="25"/>
      <c r="C51" s="24">
        <v>107.236</v>
      </c>
      <c r="D51" s="42">
        <v>-111.974</v>
      </c>
      <c r="E51" s="42">
        <v>-8.9600000000000009</v>
      </c>
      <c r="F51" s="260">
        <v>44.86</v>
      </c>
      <c r="G51" s="42">
        <v>5.2519999999999998</v>
      </c>
      <c r="H51" s="42">
        <f>H48+H49+H50</f>
        <v>-9.3210000000001401</v>
      </c>
      <c r="I51" s="42">
        <f>I48+I49+I50</f>
        <v>-6.5</v>
      </c>
      <c r="J51" s="42">
        <f>J48+J49+J50</f>
        <v>76.900000000000034</v>
      </c>
      <c r="L51" s="63" t="s">
        <v>158</v>
      </c>
      <c r="M51" s="62">
        <v>2.5</v>
      </c>
      <c r="N51" s="62">
        <v>3</v>
      </c>
      <c r="O51" s="62">
        <v>3.8</v>
      </c>
      <c r="P51" s="62">
        <v>1.454</v>
      </c>
      <c r="Q51" s="6">
        <v>0.29199999999999998</v>
      </c>
      <c r="R51" s="172">
        <v>0.34499999999999997</v>
      </c>
      <c r="S51" s="272">
        <v>0</v>
      </c>
      <c r="T51" s="253">
        <v>0</v>
      </c>
      <c r="U51" s="253">
        <v>0</v>
      </c>
      <c r="V51" s="221"/>
      <c r="W51" s="61"/>
    </row>
    <row r="52" spans="1:23" ht="12">
      <c r="A52" s="3" t="s">
        <v>60</v>
      </c>
      <c r="B52" s="29">
        <f t="shared" ref="B52:F52" si="29">+B47+B51</f>
        <v>0</v>
      </c>
      <c r="C52" s="22">
        <f t="shared" si="29"/>
        <v>166.07300000000001</v>
      </c>
      <c r="D52" s="22">
        <f t="shared" si="29"/>
        <v>54.099000000000004</v>
      </c>
      <c r="E52" s="22">
        <f t="shared" si="29"/>
        <v>45.139000000000003</v>
      </c>
      <c r="F52" s="245">
        <f t="shared" si="29"/>
        <v>89.998999999999995</v>
      </c>
      <c r="G52" s="22">
        <f>+G47+G51</f>
        <v>95.250999999999991</v>
      </c>
      <c r="H52" s="22">
        <f>+H47+H51</f>
        <v>85.929999999999851</v>
      </c>
      <c r="I52" s="22">
        <f>+I47+I51</f>
        <v>80.599999999999994</v>
      </c>
      <c r="J52" s="22">
        <f>+J47+J51</f>
        <v>157.50000000000003</v>
      </c>
      <c r="L52" s="6" t="s">
        <v>59</v>
      </c>
      <c r="M52" s="58">
        <v>19.5</v>
      </c>
      <c r="N52" s="58">
        <v>4</v>
      </c>
      <c r="O52" s="58">
        <v>0</v>
      </c>
      <c r="P52" s="58"/>
      <c r="Q52" s="6"/>
      <c r="R52" s="172"/>
      <c r="S52" s="272"/>
      <c r="T52" s="253">
        <v>0</v>
      </c>
      <c r="U52" s="253">
        <v>0</v>
      </c>
      <c r="V52" s="221"/>
      <c r="W52" s="61"/>
    </row>
    <row r="53" spans="1:23" ht="12">
      <c r="C53" s="8"/>
      <c r="G53" s="189"/>
      <c r="H53" s="189"/>
      <c r="I53" s="189"/>
      <c r="J53" s="189"/>
      <c r="L53" s="6" t="s">
        <v>211</v>
      </c>
      <c r="M53" s="35"/>
      <c r="N53" s="66"/>
      <c r="O53" s="26"/>
      <c r="P53" s="26"/>
      <c r="Q53" s="153"/>
      <c r="R53" s="176">
        <v>9.7949999999999999</v>
      </c>
      <c r="S53" s="273">
        <v>7.3040000000000003</v>
      </c>
      <c r="T53" s="274">
        <v>4.8</v>
      </c>
      <c r="U53" s="274">
        <v>3.5</v>
      </c>
      <c r="V53" s="224"/>
    </row>
    <row r="54" spans="1:23" ht="12">
      <c r="A54" s="3" t="s">
        <v>21</v>
      </c>
      <c r="B54" s="29" t="e">
        <f>SUM(#REF!)</f>
        <v>#REF!</v>
      </c>
      <c r="C54" s="29">
        <f t="shared" ref="C54:J54" si="30">C48</f>
        <v>762.65099999999995</v>
      </c>
      <c r="D54" s="29">
        <f t="shared" si="30"/>
        <v>687.18299999999999</v>
      </c>
      <c r="E54" s="29">
        <f t="shared" si="30"/>
        <v>570.84100000000001</v>
      </c>
      <c r="F54" s="166">
        <f t="shared" si="30"/>
        <v>701.27700000000004</v>
      </c>
      <c r="G54" s="29">
        <f t="shared" si="30"/>
        <v>775.15300000000002</v>
      </c>
      <c r="H54" s="29">
        <f t="shared" si="30"/>
        <v>571.899</v>
      </c>
      <c r="I54" s="29">
        <f t="shared" si="30"/>
        <v>612</v>
      </c>
      <c r="J54" s="29">
        <f t="shared" si="30"/>
        <v>291.8</v>
      </c>
      <c r="L54" s="14" t="s">
        <v>72</v>
      </c>
      <c r="M54" s="30">
        <f t="shared" ref="M54:U54" si="31">SUM(M17:M29)+M30</f>
        <v>242.4</v>
      </c>
      <c r="N54" s="30">
        <f t="shared" si="31"/>
        <v>2733.0029999999997</v>
      </c>
      <c r="O54" s="30">
        <f t="shared" si="31"/>
        <v>3618.2870000000003</v>
      </c>
      <c r="P54" s="30">
        <f t="shared" si="31"/>
        <v>4049.7080000000005</v>
      </c>
      <c r="Q54" s="30">
        <f t="shared" si="31"/>
        <v>4526.7620000000006</v>
      </c>
      <c r="R54" s="30">
        <f t="shared" si="31"/>
        <v>5222.3109999999997</v>
      </c>
      <c r="S54" s="167">
        <f t="shared" si="31"/>
        <v>4658.7969999999987</v>
      </c>
      <c r="T54" s="167">
        <f t="shared" si="31"/>
        <v>5019.7950000000001</v>
      </c>
      <c r="U54" s="167">
        <f t="shared" si="31"/>
        <v>5148.5000000000009</v>
      </c>
      <c r="V54" s="169"/>
    </row>
    <row r="55" spans="1:23" ht="12">
      <c r="A55" s="6" t="s">
        <v>22</v>
      </c>
      <c r="B55" s="36">
        <v>-96.44</v>
      </c>
      <c r="C55" s="28">
        <v>-101.4</v>
      </c>
      <c r="D55" s="28">
        <v>-191.73</v>
      </c>
      <c r="E55" s="28">
        <v>-117.015</v>
      </c>
      <c r="F55" s="151">
        <f>-100.687</f>
        <v>-100.687</v>
      </c>
      <c r="G55" s="28">
        <f>-77.247</f>
        <v>-77.247</v>
      </c>
      <c r="H55" s="28">
        <v>-64.763999999999996</v>
      </c>
      <c r="I55" s="28">
        <v>-197.5</v>
      </c>
      <c r="J55" s="28">
        <v>-50.2</v>
      </c>
      <c r="K55" s="222"/>
      <c r="L55" s="14" t="s">
        <v>73</v>
      </c>
      <c r="M55" s="30">
        <f>M52+M41+M10+M6+M50+M51+M53</f>
        <v>170.60000000000002</v>
      </c>
      <c r="N55" s="30">
        <f>N52+N41+N10+N6+N50+N51+N53</f>
        <v>2733.0059999999999</v>
      </c>
      <c r="O55" s="30">
        <f>O52+O41+O10+O6+O50+O51+O53</f>
        <v>3618.277</v>
      </c>
      <c r="P55" s="30">
        <f>P52+P41+P10+P6+P50+P51+P53</f>
        <v>4049.7080000000005</v>
      </c>
      <c r="Q55" s="30">
        <f>Q52+Q41+Q10+Q6+Q50+Q51+Q53+0.5</f>
        <v>4526.7819000000009</v>
      </c>
      <c r="R55" s="30">
        <f>R52+R41+R10+R6+R50+R51+R53+0.5</f>
        <v>5222.8110000000006</v>
      </c>
      <c r="S55" s="167">
        <f>S52+S41+S10+S6+S50+S51+S53</f>
        <v>4658.8419999999996</v>
      </c>
      <c r="T55" s="257">
        <f>SUM(T50:T53)+T41+T6</f>
        <v>5019.7999999999993</v>
      </c>
      <c r="U55" s="257">
        <f>SUM(U50:U53)+U41+U6</f>
        <v>5148.5</v>
      </c>
      <c r="V55" s="169"/>
    </row>
    <row r="56" spans="1:23" ht="12">
      <c r="A56" s="14" t="s">
        <v>23</v>
      </c>
      <c r="B56" s="29" t="e">
        <f t="shared" ref="B56:J56" si="32">SUM(B54:B55)</f>
        <v>#REF!</v>
      </c>
      <c r="C56" s="30">
        <f t="shared" si="32"/>
        <v>661.25099999999998</v>
      </c>
      <c r="D56" s="30">
        <f t="shared" si="32"/>
        <v>495.45299999999997</v>
      </c>
      <c r="E56" s="30">
        <f t="shared" si="32"/>
        <v>453.82600000000002</v>
      </c>
      <c r="F56" s="167">
        <f t="shared" si="32"/>
        <v>600.59</v>
      </c>
      <c r="G56" s="30">
        <f t="shared" si="32"/>
        <v>697.90600000000006</v>
      </c>
      <c r="H56" s="30">
        <f t="shared" si="32"/>
        <v>507.13499999999999</v>
      </c>
      <c r="I56" s="30">
        <f t="shared" si="32"/>
        <v>414.5</v>
      </c>
      <c r="J56" s="30">
        <f t="shared" si="32"/>
        <v>241.60000000000002</v>
      </c>
      <c r="L56" s="2" t="s">
        <v>39</v>
      </c>
      <c r="M56" s="59"/>
      <c r="N56" s="59"/>
      <c r="O56" s="59"/>
      <c r="P56" s="59"/>
      <c r="S56" s="171"/>
      <c r="T56" s="171"/>
      <c r="U56" s="169"/>
      <c r="V56" s="224"/>
    </row>
    <row r="57" spans="1:23" ht="12">
      <c r="A57" s="1" t="s">
        <v>24</v>
      </c>
      <c r="C57" s="8"/>
      <c r="L57" s="3" t="s">
        <v>40</v>
      </c>
      <c r="M57" s="4" t="s">
        <v>26</v>
      </c>
      <c r="N57" s="12" t="s">
        <v>69</v>
      </c>
      <c r="O57" s="12" t="s">
        <v>78</v>
      </c>
      <c r="P57" s="12" t="s">
        <v>181</v>
      </c>
      <c r="Q57" s="12" t="s">
        <v>207</v>
      </c>
      <c r="R57" s="177" t="s">
        <v>224</v>
      </c>
      <c r="S57" s="243" t="s">
        <v>230</v>
      </c>
      <c r="T57" s="258" t="s">
        <v>232</v>
      </c>
      <c r="U57" s="12" t="s">
        <v>233</v>
      </c>
      <c r="V57" s="225"/>
    </row>
    <row r="58" spans="1:23" ht="13.2">
      <c r="C58" s="8"/>
      <c r="L58" s="5" t="s">
        <v>41</v>
      </c>
      <c r="M58" s="24"/>
      <c r="N58" s="42">
        <v>775</v>
      </c>
      <c r="O58" s="24">
        <v>652</v>
      </c>
      <c r="P58" s="24">
        <v>270</v>
      </c>
      <c r="Q58" s="24">
        <v>962.7</v>
      </c>
      <c r="R58" s="178">
        <v>684.25</v>
      </c>
      <c r="S58" s="244">
        <v>514.15</v>
      </c>
      <c r="T58" s="32">
        <v>524.35</v>
      </c>
      <c r="U58" s="288">
        <v>754.85</v>
      </c>
      <c r="V58" s="226"/>
    </row>
    <row r="59" spans="1:23" ht="12">
      <c r="A59" s="6" t="s">
        <v>61</v>
      </c>
      <c r="B59" s="39"/>
      <c r="C59" s="39">
        <v>22723641</v>
      </c>
      <c r="D59" s="39">
        <v>22734306</v>
      </c>
      <c r="E59" s="39">
        <v>22766173</v>
      </c>
      <c r="F59" s="39">
        <v>22871556</v>
      </c>
      <c r="G59" s="39">
        <v>22898712</v>
      </c>
      <c r="H59" s="39">
        <v>22255461</v>
      </c>
      <c r="I59" s="39">
        <v>22260461</v>
      </c>
      <c r="J59" s="39">
        <v>22263361</v>
      </c>
      <c r="L59" s="15" t="s">
        <v>215</v>
      </c>
      <c r="M59" s="22">
        <f t="shared" ref="M59:R59" si="33">C39</f>
        <v>33.4</v>
      </c>
      <c r="N59" s="22">
        <f t="shared" si="33"/>
        <v>18.59</v>
      </c>
      <c r="O59" s="22">
        <f t="shared" si="33"/>
        <v>12.95</v>
      </c>
      <c r="P59" s="22">
        <f t="shared" si="33"/>
        <v>17.88</v>
      </c>
      <c r="Q59" s="22">
        <f t="shared" si="33"/>
        <v>23.39</v>
      </c>
      <c r="R59" s="22">
        <f t="shared" si="33"/>
        <v>20.72</v>
      </c>
      <c r="S59" s="245">
        <v>20.72</v>
      </c>
      <c r="T59" s="245">
        <v>22.25</v>
      </c>
      <c r="U59" s="287">
        <f>4.99+5.27+6.27+5.91</f>
        <v>22.44</v>
      </c>
      <c r="V59" s="225"/>
    </row>
    <row r="60" spans="1:23">
      <c r="A60" s="6" t="s">
        <v>62</v>
      </c>
      <c r="B60" s="37" t="e">
        <f>B59*#REF!/1000000</f>
        <v>#REF!</v>
      </c>
      <c r="C60" s="37">
        <f t="shared" ref="C60:H60" si="34">C59*M58/1000000</f>
        <v>0</v>
      </c>
      <c r="D60" s="37">
        <f t="shared" si="34"/>
        <v>17619.087149999999</v>
      </c>
      <c r="E60" s="37">
        <f t="shared" si="34"/>
        <v>14843.544796</v>
      </c>
      <c r="F60" s="37">
        <f t="shared" si="34"/>
        <v>6175.3201200000003</v>
      </c>
      <c r="G60" s="37">
        <f t="shared" si="34"/>
        <v>22044.590042400003</v>
      </c>
      <c r="H60" s="37">
        <f t="shared" si="34"/>
        <v>15228.299189249999</v>
      </c>
      <c r="I60" s="37">
        <f>I59*T58/1000000</f>
        <v>11672.27272535</v>
      </c>
      <c r="J60" s="37">
        <f>J59*U58/1000000</f>
        <v>16805.498050850001</v>
      </c>
      <c r="L60" s="23" t="s">
        <v>43</v>
      </c>
      <c r="M60" s="21">
        <f t="shared" ref="M60:R60" si="35">(M6*1000000)/C59</f>
        <v>-12.99087589000372</v>
      </c>
      <c r="N60" s="21">
        <f t="shared" si="35"/>
        <v>73.744806637158831</v>
      </c>
      <c r="O60" s="21">
        <f t="shared" si="35"/>
        <v>88.952851232396412</v>
      </c>
      <c r="P60" s="21">
        <f t="shared" si="35"/>
        <v>99.792598282338133</v>
      </c>
      <c r="Q60" s="21">
        <f t="shared" si="35"/>
        <v>114.98354143237404</v>
      </c>
      <c r="R60" s="21">
        <f t="shared" si="35"/>
        <v>139.45031289174375</v>
      </c>
      <c r="S60" s="246">
        <f>(S6*1000000)/H59</f>
        <v>113.68072762006592</v>
      </c>
      <c r="T60" s="246">
        <f>(T6*1000000)/I59</f>
        <v>130.94966901179629</v>
      </c>
      <c r="U60" s="21">
        <f>(U6*1000000)/J59</f>
        <v>138.14176574686994</v>
      </c>
      <c r="V60" s="225"/>
    </row>
    <row r="61" spans="1:23">
      <c r="A61" s="6" t="s">
        <v>65</v>
      </c>
      <c r="B61" s="37" t="e">
        <f>#REF!</f>
        <v>#REF!</v>
      </c>
      <c r="C61" s="37">
        <f>M10</f>
        <v>443.8</v>
      </c>
      <c r="D61" s="37">
        <f>N10</f>
        <v>64.099999999999994</v>
      </c>
      <c r="E61" s="37">
        <f>O10</f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L61" s="23" t="s">
        <v>44</v>
      </c>
      <c r="M61" s="21"/>
      <c r="N61" s="162">
        <v>1.5</v>
      </c>
      <c r="O61" s="162">
        <v>1.5</v>
      </c>
      <c r="P61" s="162">
        <v>3.5</v>
      </c>
      <c r="Q61" s="162">
        <v>3.5</v>
      </c>
      <c r="R61" s="162">
        <v>3.5</v>
      </c>
      <c r="S61" s="247">
        <v>5</v>
      </c>
      <c r="T61" s="247">
        <v>5</v>
      </c>
      <c r="U61" s="276" t="s">
        <v>200</v>
      </c>
      <c r="V61" s="225"/>
    </row>
    <row r="62" spans="1:23">
      <c r="A62" s="6" t="s">
        <v>63</v>
      </c>
      <c r="B62" s="37" t="e">
        <f>#REF!</f>
        <v>#REF!</v>
      </c>
      <c r="C62" s="37">
        <f>M33</f>
        <v>0</v>
      </c>
      <c r="D62" s="37">
        <f>N33</f>
        <v>811.24599999999998</v>
      </c>
      <c r="E62" s="37">
        <f>O33</f>
        <v>621.73699999999997</v>
      </c>
      <c r="F62" s="37">
        <f>P33</f>
        <v>1101.403</v>
      </c>
      <c r="G62" s="37">
        <f>Q33+Q32</f>
        <v>1998.885</v>
      </c>
      <c r="H62" s="37">
        <f>R33+R32</f>
        <v>2267.8710000000001</v>
      </c>
      <c r="I62" s="37">
        <f>$T$33+$T$32</f>
        <v>2228.1999999999998</v>
      </c>
      <c r="J62" s="37">
        <f>$T$33+$T$32</f>
        <v>2228.1999999999998</v>
      </c>
      <c r="L62" s="23" t="s">
        <v>45</v>
      </c>
      <c r="M62" s="21">
        <f t="shared" ref="M62:T62" si="36">(M58/M59)</f>
        <v>0</v>
      </c>
      <c r="N62" s="21">
        <f t="shared" si="36"/>
        <v>41.689080150618615</v>
      </c>
      <c r="O62" s="21">
        <f t="shared" si="36"/>
        <v>50.34749034749035</v>
      </c>
      <c r="P62" s="21">
        <f t="shared" si="36"/>
        <v>15.100671140939598</v>
      </c>
      <c r="Q62" s="21">
        <f t="shared" si="36"/>
        <v>41.158614792646432</v>
      </c>
      <c r="R62" s="21">
        <f t="shared" si="36"/>
        <v>33.023648648648653</v>
      </c>
      <c r="S62" s="246">
        <f t="shared" si="36"/>
        <v>24.814189189189189</v>
      </c>
      <c r="T62" s="246">
        <f t="shared" si="36"/>
        <v>23.56629213483146</v>
      </c>
      <c r="U62" s="21">
        <f>(U58/U59)</f>
        <v>33.638591800356508</v>
      </c>
      <c r="V62" s="227"/>
    </row>
    <row r="63" spans="1:23" ht="12">
      <c r="A63" s="6" t="s">
        <v>64</v>
      </c>
      <c r="B63" s="29" t="e">
        <f t="shared" ref="B63:I63" si="37">B60+B61-B62</f>
        <v>#REF!</v>
      </c>
      <c r="C63" s="29">
        <f t="shared" si="37"/>
        <v>443.8</v>
      </c>
      <c r="D63" s="29">
        <f t="shared" si="37"/>
        <v>16871.941149999999</v>
      </c>
      <c r="E63" s="29">
        <f t="shared" si="37"/>
        <v>14221.807796000001</v>
      </c>
      <c r="F63" s="29">
        <f t="shared" si="37"/>
        <v>5073.9171200000001</v>
      </c>
      <c r="G63" s="29">
        <f t="shared" si="37"/>
        <v>20045.705042400004</v>
      </c>
      <c r="H63" s="29">
        <f t="shared" si="37"/>
        <v>12960.42818925</v>
      </c>
      <c r="I63" s="29">
        <f t="shared" si="37"/>
        <v>9444.0727253500008</v>
      </c>
      <c r="J63" s="29">
        <f>J60+J61-J62</f>
        <v>14577.29805085</v>
      </c>
      <c r="L63" s="23" t="s">
        <v>46</v>
      </c>
      <c r="M63" s="21">
        <f t="shared" ref="M63:U63" si="38">(M58/M60)</f>
        <v>0</v>
      </c>
      <c r="N63" s="21">
        <f t="shared" si="38"/>
        <v>10.509214619182281</v>
      </c>
      <c r="O63" s="21">
        <f t="shared" si="38"/>
        <v>7.3297257026264173</v>
      </c>
      <c r="P63" s="21">
        <f t="shared" si="38"/>
        <v>2.705611484692509</v>
      </c>
      <c r="Q63" s="21">
        <f t="shared" si="38"/>
        <v>8.3725026034808518</v>
      </c>
      <c r="R63" s="21">
        <f t="shared" si="38"/>
        <v>4.9067656128616077</v>
      </c>
      <c r="S63" s="246">
        <f t="shared" si="38"/>
        <v>4.5227543028959882</v>
      </c>
      <c r="T63" s="246">
        <f t="shared" si="38"/>
        <v>4.0042101973756434</v>
      </c>
      <c r="U63" s="21">
        <f t="shared" si="38"/>
        <v>5.4643141118029588</v>
      </c>
      <c r="V63" s="227"/>
    </row>
    <row r="64" spans="1:23">
      <c r="L64" s="23" t="s">
        <v>47</v>
      </c>
      <c r="M64" s="21">
        <f>C63/C18</f>
        <v>0.57249742002063964</v>
      </c>
      <c r="N64" s="21">
        <f t="shared" ref="N64:T64" si="39">C63/C18</f>
        <v>0.57249742002063964</v>
      </c>
      <c r="O64" s="21">
        <f t="shared" si="39"/>
        <v>22.714495552536878</v>
      </c>
      <c r="P64" s="21">
        <f t="shared" si="39"/>
        <v>26.115281550117686</v>
      </c>
      <c r="Q64" s="21">
        <f t="shared" si="39"/>
        <v>7.5132856131705275</v>
      </c>
      <c r="R64" s="21">
        <f t="shared" si="39"/>
        <v>23.046947714644102</v>
      </c>
      <c r="S64" s="21">
        <f t="shared" si="39"/>
        <v>19.219113175853536</v>
      </c>
      <c r="T64" s="246">
        <f t="shared" si="39"/>
        <v>13.091312344538389</v>
      </c>
      <c r="U64" s="276" t="s">
        <v>200</v>
      </c>
      <c r="V64" s="228"/>
    </row>
    <row r="65" spans="1:22">
      <c r="L65" s="19" t="s">
        <v>48</v>
      </c>
      <c r="M65" s="34">
        <f>(C32/M6)</f>
        <v>-1.8559281842818436</v>
      </c>
      <c r="N65" s="34">
        <f t="shared" ref="N65:T65" si="40">(C32/C6)</f>
        <v>0.16329517240968205</v>
      </c>
      <c r="O65" s="34">
        <f t="shared" si="40"/>
        <v>0.11263152810647822</v>
      </c>
      <c r="P65" s="34">
        <f t="shared" si="40"/>
        <v>7.2154083998969443E-2</v>
      </c>
      <c r="Q65" s="34">
        <f t="shared" si="40"/>
        <v>0.10393113064935926</v>
      </c>
      <c r="R65" s="34">
        <f t="shared" si="40"/>
        <v>0.11268341670085315</v>
      </c>
      <c r="S65" s="34">
        <f t="shared" si="40"/>
        <v>9.7204331531478949E-2</v>
      </c>
      <c r="T65" s="182">
        <f t="shared" si="40"/>
        <v>9.7633544166617514E-2</v>
      </c>
      <c r="U65" s="276" t="s">
        <v>200</v>
      </c>
      <c r="V65" s="228"/>
    </row>
    <row r="66" spans="1:22">
      <c r="L66" s="19" t="s">
        <v>49</v>
      </c>
      <c r="M66" s="34">
        <f>(C18-C24)/M11</f>
        <v>-2.4871888726207914</v>
      </c>
      <c r="N66" s="34">
        <f t="shared" ref="N66:T66" si="41">(C18-C24)/N11</f>
        <v>0.40361453297432742</v>
      </c>
      <c r="O66" s="34">
        <f t="shared" si="41"/>
        <v>0.19563917485239474</v>
      </c>
      <c r="P66" s="34">
        <f t="shared" si="41"/>
        <v>9.644210878066499E-2</v>
      </c>
      <c r="Q66" s="34">
        <f t="shared" si="41"/>
        <v>0.13368118929979794</v>
      </c>
      <c r="R66" s="34">
        <f t="shared" si="41"/>
        <v>0.16344110889063324</v>
      </c>
      <c r="S66" s="34">
        <f t="shared" si="41"/>
        <v>0.12213641408035961</v>
      </c>
      <c r="T66" s="182">
        <f t="shared" si="41"/>
        <v>0.13080534704985214</v>
      </c>
      <c r="U66" s="276" t="s">
        <v>200</v>
      </c>
      <c r="V66" s="229"/>
    </row>
    <row r="67" spans="1:22">
      <c r="L67" s="23" t="s">
        <v>50</v>
      </c>
      <c r="M67" s="20">
        <f t="shared" ref="M67:T67" si="42">(M10/M6)</f>
        <v>-1.5033875338753389</v>
      </c>
      <c r="N67" s="20">
        <f t="shared" si="42"/>
        <v>3.8233573133190618E-2</v>
      </c>
      <c r="O67" s="295" t="s">
        <v>200</v>
      </c>
      <c r="P67" s="295" t="s">
        <v>200</v>
      </c>
      <c r="Q67" s="295" t="s">
        <v>200</v>
      </c>
      <c r="R67" s="295" t="s">
        <v>200</v>
      </c>
      <c r="S67" s="295" t="s">
        <v>200</v>
      </c>
      <c r="T67" s="295" t="s">
        <v>200</v>
      </c>
      <c r="U67" s="295" t="s">
        <v>200</v>
      </c>
      <c r="V67" s="230"/>
    </row>
    <row r="68" spans="1:22">
      <c r="L68" s="23" t="s">
        <v>51</v>
      </c>
      <c r="M68" s="20">
        <f t="shared" ref="M68:U68" si="43">(M10-M33)/M6</f>
        <v>-1.5033875338753389</v>
      </c>
      <c r="N68" s="20">
        <f t="shared" si="43"/>
        <v>-0.44564838115711136</v>
      </c>
      <c r="O68" s="295" t="s">
        <v>200</v>
      </c>
      <c r="P68" s="295" t="s">
        <v>200</v>
      </c>
      <c r="Q68" s="295" t="s">
        <v>200</v>
      </c>
      <c r="R68" s="295" t="s">
        <v>200</v>
      </c>
      <c r="S68" s="295" t="s">
        <v>200</v>
      </c>
      <c r="T68" s="295" t="s">
        <v>200</v>
      </c>
      <c r="U68" s="295" t="s">
        <v>200</v>
      </c>
      <c r="V68" s="231"/>
    </row>
    <row r="69" spans="1:22">
      <c r="A69" s="121"/>
      <c r="L69" s="23" t="s">
        <v>52</v>
      </c>
      <c r="M69" s="44"/>
      <c r="N69" s="44">
        <f t="shared" ref="N69:T69" si="44">(N61/N58)</f>
        <v>1.9354838709677419E-3</v>
      </c>
      <c r="O69" s="44">
        <f t="shared" si="44"/>
        <v>2.3006134969325155E-3</v>
      </c>
      <c r="P69" s="44">
        <f t="shared" si="44"/>
        <v>1.2962962962962963E-2</v>
      </c>
      <c r="Q69" s="44">
        <f t="shared" si="44"/>
        <v>3.6356081853121426E-3</v>
      </c>
      <c r="R69" s="44">
        <f t="shared" si="44"/>
        <v>5.1150895140664966E-3</v>
      </c>
      <c r="S69" s="248">
        <f t="shared" si="44"/>
        <v>9.7247884858504326E-3</v>
      </c>
      <c r="T69" s="248">
        <f t="shared" si="44"/>
        <v>9.535615523982072E-3</v>
      </c>
      <c r="U69" s="276" t="s">
        <v>200</v>
      </c>
      <c r="V69" s="231"/>
    </row>
    <row r="70" spans="1:22">
      <c r="L70" s="23" t="s">
        <v>53</v>
      </c>
      <c r="M70" s="45"/>
      <c r="N70" s="45">
        <f>(AVERAGE(M35:N35)/D6*365)</f>
        <v>3.787733473169991</v>
      </c>
      <c r="O70" s="45">
        <f>(AVERAGE(N35:O35)/E6*365)</f>
        <v>3.4044878897191446</v>
      </c>
      <c r="P70" s="45">
        <f>(AVERAGE(O35:P35)/F6*365)</f>
        <v>3.303971153184341</v>
      </c>
      <c r="Q70" s="45">
        <f>(AVERAGE(P35:Q35)/G6*365)</f>
        <v>4.5046069416474825</v>
      </c>
      <c r="R70" s="45">
        <f>(AVERAGE(Q35:R35)/H6*365)</f>
        <v>5.8637888716837434</v>
      </c>
      <c r="S70" s="249">
        <f>(AVERAGE(R35:S35)/H6*365)</f>
        <v>3.0500444128804647</v>
      </c>
      <c r="T70" s="249">
        <f>(AVERAGE(S35:T35)/I6*365)</f>
        <v>7.1919765127780727E-2</v>
      </c>
      <c r="U70" s="276" t="s">
        <v>200</v>
      </c>
      <c r="V70" s="231"/>
    </row>
    <row r="71" spans="1:22">
      <c r="A71" s="120"/>
      <c r="L71" s="23" t="s">
        <v>54</v>
      </c>
      <c r="M71" s="45"/>
      <c r="N71" s="46">
        <f>AVERAGE(M43:N43)/(D10)*365</f>
        <v>46.27544695173755</v>
      </c>
      <c r="O71" s="46">
        <f>AVERAGE(N43:O43)/(E10)*365</f>
        <v>46.409221588413686</v>
      </c>
      <c r="P71" s="46">
        <f>AVERAGE(O43:P43)/(F10)*365</f>
        <v>74.786183577232833</v>
      </c>
      <c r="Q71" s="46">
        <f>AVERAGE(P43:Q43)/(G10)*365</f>
        <v>96.040102775987037</v>
      </c>
      <c r="R71" s="46">
        <f>AVERAGE(Q43:R43)/(H10)*365</f>
        <v>113.59615586137018</v>
      </c>
      <c r="S71" s="250">
        <f>AVERAGE(R43:S43)/(H10)*365</f>
        <v>121.9335217493893</v>
      </c>
      <c r="T71" s="250">
        <f>AVERAGE(S43:T43)/(I10)*365</f>
        <v>128.30855347938146</v>
      </c>
      <c r="U71" s="276" t="s">
        <v>200</v>
      </c>
      <c r="V71" s="232"/>
    </row>
    <row r="72" spans="1:22">
      <c r="L72" s="23" t="s">
        <v>68</v>
      </c>
      <c r="M72" s="46"/>
      <c r="N72" s="46">
        <f t="shared" ref="N72:R72" si="45">(N70-N71)</f>
        <v>-42.487713478567557</v>
      </c>
      <c r="O72" s="46">
        <f t="shared" si="45"/>
        <v>-43.004733698694544</v>
      </c>
      <c r="P72" s="46">
        <f t="shared" si="45"/>
        <v>-71.482212424048498</v>
      </c>
      <c r="Q72" s="46">
        <f t="shared" si="45"/>
        <v>-91.535495834339557</v>
      </c>
      <c r="R72" s="46">
        <f t="shared" si="45"/>
        <v>-107.73236698968644</v>
      </c>
      <c r="S72" s="250">
        <f>(S70-S71)</f>
        <v>-118.88347733650883</v>
      </c>
      <c r="T72" s="250">
        <f>(T70-T71)</f>
        <v>-128.23663371425368</v>
      </c>
      <c r="U72" s="276" t="s">
        <v>200</v>
      </c>
      <c r="V72" s="222"/>
    </row>
    <row r="73" spans="1:22">
      <c r="L73" s="23" t="s">
        <v>56</v>
      </c>
      <c r="M73" s="46">
        <f>AVERAGE(M49:M49)/C6*365</f>
        <v>-48.280970108104398</v>
      </c>
      <c r="N73" s="46">
        <f>AVERAGE(M49:N49)/D6*365</f>
        <v>21.434239741670169</v>
      </c>
      <c r="O73" s="46">
        <f>AVERAGE(N49:O49)/E6*365</f>
        <v>89.861335351713478</v>
      </c>
      <c r="P73" s="46">
        <f>AVERAGE(O49:P49)/F6*365</f>
        <v>104.18093117398587</v>
      </c>
      <c r="Q73" s="46">
        <f>AVERAGE(P49:Q49)/G6*365</f>
        <v>115.64519446908938</v>
      </c>
      <c r="R73" s="46">
        <f>AVERAGE(Q49:R49)/H6*365</f>
        <v>148.15730037373467</v>
      </c>
      <c r="S73" s="250">
        <f>AVERAGE(R49:S49)/H6*365</f>
        <v>149.14217744950309</v>
      </c>
      <c r="T73" s="250">
        <f>AVERAGE(S49:T49)/I6*365</f>
        <v>130.95589545033593</v>
      </c>
      <c r="U73" s="276" t="s">
        <v>200</v>
      </c>
    </row>
    <row r="74" spans="1:22">
      <c r="L74" s="163" t="s">
        <v>70</v>
      </c>
      <c r="M74" s="160" t="s">
        <v>200</v>
      </c>
      <c r="N74" s="161" t="s">
        <v>200</v>
      </c>
      <c r="O74" s="160" t="s">
        <v>200</v>
      </c>
      <c r="P74" s="160" t="s">
        <v>200</v>
      </c>
      <c r="Q74" s="160" t="s">
        <v>200</v>
      </c>
      <c r="R74" s="160" t="s">
        <v>200</v>
      </c>
      <c r="S74" s="251" t="s">
        <v>200</v>
      </c>
      <c r="T74" s="275" t="s">
        <v>200</v>
      </c>
      <c r="U74" s="276" t="s">
        <v>200</v>
      </c>
    </row>
    <row r="75" spans="1:22">
      <c r="L75" s="18" t="s">
        <v>110</v>
      </c>
      <c r="M75" s="23">
        <f t="shared" ref="M75:R75" si="46">C6/M17</f>
        <v>13.841130363036305</v>
      </c>
      <c r="N75" s="23">
        <f t="shared" si="46"/>
        <v>5.8014820436703323</v>
      </c>
      <c r="O75" s="23">
        <f t="shared" si="46"/>
        <v>5.3367398995906346</v>
      </c>
      <c r="P75" s="23">
        <f t="shared" si="46"/>
        <v>5.3761078623105476</v>
      </c>
      <c r="Q75" s="23">
        <f t="shared" si="46"/>
        <v>6.3966108303721745</v>
      </c>
      <c r="R75" s="23">
        <f t="shared" si="46"/>
        <v>21.804048807291121</v>
      </c>
      <c r="S75" s="252">
        <f>H6/S17</f>
        <v>26.160130540905719</v>
      </c>
      <c r="T75" s="252">
        <f>I6/T17</f>
        <v>34.198787061994608</v>
      </c>
      <c r="U75" s="276" t="s">
        <v>200</v>
      </c>
    </row>
    <row r="76" spans="1:22">
      <c r="T76" s="61"/>
    </row>
    <row r="77" spans="1:22">
      <c r="T77" s="61"/>
    </row>
  </sheetData>
  <mergeCells count="2">
    <mergeCell ref="A2:J2"/>
    <mergeCell ref="L2:U2"/>
  </mergeCells>
  <pageMargins left="0.7" right="0.7" top="0.75" bottom="0.75" header="0.3" footer="0.3"/>
  <pageSetup orientation="portrait" r:id="rId1"/>
  <ignoredErrors>
    <ignoredError sqref="N70:U71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52"/>
  <sheetViews>
    <sheetView topLeftCell="A2" zoomScale="85" zoomScaleNormal="85" zoomScaleSheetLayoutView="100" workbookViewId="0">
      <pane ySplit="1" topLeftCell="A21" activePane="bottomLeft" state="frozen"/>
      <selection activeCell="A2" sqref="A2"/>
      <selection pane="bottomLeft" activeCell="F48" sqref="F48"/>
    </sheetView>
  </sheetViews>
  <sheetFormatPr defaultColWidth="9.109375" defaultRowHeight="14.4"/>
  <cols>
    <col min="1" max="1" width="19.44140625" style="82" customWidth="1"/>
    <col min="2" max="2" width="12.44140625" style="82" bestFit="1" customWidth="1"/>
    <col min="3" max="3" width="15.44140625" style="82" bestFit="1" customWidth="1"/>
    <col min="4" max="4" width="15.88671875" style="82" bestFit="1" customWidth="1"/>
    <col min="5" max="5" width="18.44140625" style="82" bestFit="1" customWidth="1"/>
    <col min="6" max="6" width="13.44140625" style="82" bestFit="1" customWidth="1"/>
    <col min="7" max="16384" width="9.109375" style="82"/>
  </cols>
  <sheetData>
    <row r="1" spans="1:24" hidden="1">
      <c r="A1" s="81" t="s">
        <v>81</v>
      </c>
      <c r="B1" s="81"/>
      <c r="C1" s="81"/>
      <c r="D1" s="81"/>
      <c r="E1" s="81"/>
      <c r="F1" s="81"/>
    </row>
    <row r="2" spans="1:24">
      <c r="A2" s="83"/>
      <c r="B2" s="83" t="s">
        <v>82</v>
      </c>
      <c r="C2" s="83" t="s">
        <v>87</v>
      </c>
      <c r="D2" s="83" t="s">
        <v>84</v>
      </c>
      <c r="E2" s="83" t="s">
        <v>89</v>
      </c>
      <c r="F2" s="83" t="s">
        <v>86</v>
      </c>
    </row>
    <row r="3" spans="1:24">
      <c r="A3" s="84" t="s">
        <v>90</v>
      </c>
      <c r="B3" s="84"/>
      <c r="C3" s="84"/>
      <c r="D3" s="84"/>
      <c r="E3" s="84"/>
      <c r="F3" s="84"/>
    </row>
    <row r="4" spans="1:24">
      <c r="A4" s="84" t="s">
        <v>76</v>
      </c>
      <c r="B4" s="85"/>
      <c r="C4" s="85"/>
      <c r="D4" s="85"/>
      <c r="E4" s="85"/>
      <c r="F4" s="85"/>
    </row>
    <row r="5" spans="1:24">
      <c r="A5" s="85" t="s">
        <v>118</v>
      </c>
      <c r="B5" s="86">
        <f>'Summary Sheet'!E6</f>
        <v>3881</v>
      </c>
      <c r="C5" s="87">
        <f>Working!C5</f>
        <v>128493.81</v>
      </c>
      <c r="D5" s="87">
        <f>Working!D5</f>
        <v>45557</v>
      </c>
      <c r="E5" s="87">
        <f>Working!E5</f>
        <v>10878</v>
      </c>
      <c r="F5" s="87">
        <f>Working!F5</f>
        <v>17653</v>
      </c>
      <c r="L5" s="82">
        <v>10</v>
      </c>
    </row>
    <row r="6" spans="1:24">
      <c r="A6" s="85" t="s">
        <v>91</v>
      </c>
      <c r="B6" s="88">
        <f>'Summary Sheet'!E8</f>
        <v>0.13420604603584274</v>
      </c>
      <c r="C6" s="89">
        <f>Working!C7</f>
        <v>-0.24820377622688949</v>
      </c>
      <c r="D6" s="89">
        <f>Working!D7</f>
        <v>7.8468530441894391E-2</v>
      </c>
      <c r="E6" s="89">
        <f>Working!E7</f>
        <v>0.15461710681809615</v>
      </c>
      <c r="F6" s="89">
        <f>Working!F7</f>
        <v>0.41634827902293581</v>
      </c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</row>
    <row r="7" spans="1:24">
      <c r="A7" s="84" t="s">
        <v>4</v>
      </c>
      <c r="B7" s="91">
        <f>'Summary Sheet'!E18</f>
        <v>544.57800000000043</v>
      </c>
      <c r="C7" s="87">
        <f>Working!C12</f>
        <v>1927.6689999999999</v>
      </c>
      <c r="D7" s="87">
        <f>Working!D12</f>
        <v>1276</v>
      </c>
      <c r="E7" s="87">
        <f>Working!E12</f>
        <v>953.2</v>
      </c>
      <c r="F7" s="87">
        <f>Working!F12</f>
        <v>577.6</v>
      </c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</row>
    <row r="8" spans="1:24">
      <c r="A8" s="85" t="s">
        <v>91</v>
      </c>
      <c r="B8" s="92">
        <f>'Summary Sheet'!E21</f>
        <v>-0.4021271110530259</v>
      </c>
      <c r="C8" s="89">
        <f>Working!C14</f>
        <v>-3.6477790818822187E-2</v>
      </c>
      <c r="D8" s="89">
        <v>0.13223731761990876</v>
      </c>
      <c r="E8" s="89">
        <v>8.9381343213982722E-2</v>
      </c>
      <c r="F8" s="89">
        <v>-8.0630353962739543E-3</v>
      </c>
      <c r="K8" s="90"/>
      <c r="L8" s="90"/>
      <c r="M8" s="93"/>
      <c r="N8" s="93"/>
      <c r="O8" s="93"/>
      <c r="P8" s="93"/>
      <c r="Q8" s="93"/>
      <c r="R8" s="93"/>
      <c r="S8" s="93"/>
      <c r="T8" s="93"/>
      <c r="U8" s="93"/>
      <c r="V8" s="93"/>
      <c r="W8" s="90"/>
      <c r="X8" s="94">
        <v>10</v>
      </c>
    </row>
    <row r="9" spans="1:24">
      <c r="A9" s="84" t="s">
        <v>92</v>
      </c>
      <c r="B9" s="95">
        <f>'Summary Sheet'!E22</f>
        <v>0.14647068316299097</v>
      </c>
      <c r="C9" s="96">
        <f>C7/C5</f>
        <v>1.5002037841355937E-2</v>
      </c>
      <c r="D9" s="96">
        <f t="shared" ref="D9:F9" si="0">D7/D5</f>
        <v>2.8008868011502073E-2</v>
      </c>
      <c r="E9" s="96">
        <f t="shared" si="0"/>
        <v>8.7626401912116209E-2</v>
      </c>
      <c r="F9" s="96">
        <f t="shared" si="0"/>
        <v>3.2719651050812891E-2</v>
      </c>
      <c r="K9" s="90"/>
      <c r="L9" s="90"/>
      <c r="M9" s="97"/>
      <c r="N9" s="98"/>
      <c r="O9" s="97"/>
      <c r="P9" s="98"/>
      <c r="Q9" s="97"/>
      <c r="R9" s="98"/>
      <c r="S9" s="97"/>
      <c r="T9" s="98"/>
      <c r="U9" s="98"/>
      <c r="V9" s="98"/>
      <c r="W9" s="90"/>
    </row>
    <row r="10" spans="1:24">
      <c r="A10" s="84" t="s">
        <v>13</v>
      </c>
      <c r="B10" s="99">
        <f>'Summary Sheet'!E32</f>
        <v>280.03000000000043</v>
      </c>
      <c r="C10" s="87">
        <f>Working!C25</f>
        <v>-879.7</v>
      </c>
      <c r="D10" s="87">
        <f>Working!D25</f>
        <v>108.80000000000001</v>
      </c>
      <c r="E10" s="87">
        <f>Working!E25</f>
        <v>237.10000000000002</v>
      </c>
      <c r="F10" s="87">
        <f>Working!F25</f>
        <v>313.60000000000002</v>
      </c>
      <c r="K10" s="90"/>
      <c r="L10" s="100"/>
      <c r="M10" s="101"/>
      <c r="N10" s="100"/>
      <c r="O10" s="101"/>
      <c r="P10" s="100"/>
      <c r="Q10" s="101"/>
      <c r="R10" s="100"/>
      <c r="S10" s="101"/>
      <c r="T10" s="100"/>
      <c r="U10" s="100"/>
      <c r="V10" s="100"/>
      <c r="W10" s="90"/>
    </row>
    <row r="11" spans="1:24">
      <c r="A11" s="85" t="s">
        <v>91</v>
      </c>
      <c r="B11" s="92">
        <v>0.84889999999999999</v>
      </c>
      <c r="C11" s="89">
        <f>Working!C27</f>
        <v>-0.58906108643391231</v>
      </c>
      <c r="D11" s="89">
        <f>Working!D27</f>
        <v>4.9574064777008431E-2</v>
      </c>
      <c r="E11" s="89">
        <f>Working!E27</f>
        <v>0.23654902446034831</v>
      </c>
      <c r="F11" s="89">
        <f>Working!F27</f>
        <v>2.2558108856564729E-2</v>
      </c>
      <c r="K11" s="90"/>
      <c r="L11" s="90"/>
      <c r="M11" s="102"/>
      <c r="N11" s="98"/>
      <c r="O11" s="102"/>
      <c r="P11" s="98"/>
      <c r="Q11" s="102"/>
      <c r="R11" s="98"/>
      <c r="S11" s="102"/>
      <c r="T11" s="98"/>
      <c r="U11" s="98"/>
      <c r="V11" s="98"/>
      <c r="W11" s="90"/>
    </row>
    <row r="12" spans="1:24">
      <c r="A12" s="84" t="s">
        <v>93</v>
      </c>
      <c r="B12" s="103">
        <f>'Summary Sheet'!E33</f>
        <v>7.5317374932759668E-2</v>
      </c>
      <c r="C12" s="104">
        <f>C10/C5</f>
        <v>-6.8462441887278463E-3</v>
      </c>
      <c r="D12" s="104">
        <f t="shared" ref="D12:F12" si="1">D10/D5</f>
        <v>2.3882169589744717E-3</v>
      </c>
      <c r="E12" s="104">
        <f t="shared" si="1"/>
        <v>2.179628608200037E-2</v>
      </c>
      <c r="F12" s="104">
        <f t="shared" si="1"/>
        <v>1.776468588908401E-2</v>
      </c>
      <c r="K12" s="90"/>
      <c r="L12" s="100"/>
      <c r="M12" s="105"/>
      <c r="N12" s="106"/>
      <c r="O12" s="105"/>
      <c r="P12" s="106"/>
      <c r="Q12" s="105"/>
      <c r="R12" s="106"/>
      <c r="S12" s="105"/>
      <c r="T12" s="106"/>
      <c r="U12" s="106"/>
      <c r="V12" s="106"/>
      <c r="W12" s="90"/>
    </row>
    <row r="13" spans="1:24">
      <c r="A13" s="85" t="s">
        <v>94</v>
      </c>
      <c r="B13" s="107">
        <f>'Summary Sheet'!E39</f>
        <v>12.95</v>
      </c>
      <c r="C13" s="85">
        <f>Working!C29</f>
        <v>-0.32</v>
      </c>
      <c r="D13" s="85">
        <f>Working!D29</f>
        <v>0.83</v>
      </c>
      <c r="E13" s="85">
        <f>Working!E29</f>
        <v>8.26</v>
      </c>
      <c r="F13" s="85">
        <f>Working!F29</f>
        <v>33.479999999999997</v>
      </c>
      <c r="K13" s="90"/>
      <c r="L13" s="100"/>
      <c r="M13" s="101"/>
      <c r="N13" s="100"/>
      <c r="O13" s="101"/>
      <c r="P13" s="100"/>
      <c r="Q13" s="101"/>
      <c r="R13" s="100"/>
      <c r="S13" s="101"/>
      <c r="T13" s="100"/>
      <c r="U13" s="100"/>
      <c r="V13" s="100"/>
      <c r="W13" s="90"/>
    </row>
    <row r="14" spans="1:24">
      <c r="A14" s="85"/>
      <c r="B14" s="85"/>
      <c r="C14" s="85"/>
      <c r="D14" s="85"/>
      <c r="E14" s="85"/>
      <c r="F14" s="85"/>
      <c r="K14" s="90"/>
      <c r="L14" s="90"/>
      <c r="M14" s="102"/>
      <c r="N14" s="98"/>
      <c r="O14" s="102"/>
      <c r="P14" s="98"/>
      <c r="Q14" s="102"/>
      <c r="R14" s="98"/>
      <c r="S14" s="97"/>
      <c r="T14" s="98"/>
      <c r="U14" s="98"/>
      <c r="V14" s="98"/>
      <c r="W14" s="90"/>
    </row>
    <row r="15" spans="1:24">
      <c r="A15" s="85"/>
      <c r="B15" s="85"/>
      <c r="C15" s="85"/>
      <c r="D15" s="85"/>
      <c r="E15" s="85"/>
      <c r="F15" s="85"/>
      <c r="K15" s="90"/>
      <c r="L15" s="100"/>
      <c r="M15" s="105"/>
      <c r="N15" s="102"/>
      <c r="O15" s="105"/>
      <c r="P15" s="108"/>
      <c r="Q15" s="105"/>
      <c r="R15" s="108"/>
      <c r="S15" s="105"/>
      <c r="T15" s="97"/>
      <c r="U15" s="106"/>
      <c r="V15" s="108"/>
      <c r="W15" s="90"/>
    </row>
    <row r="16" spans="1:24">
      <c r="A16" s="84" t="s">
        <v>95</v>
      </c>
      <c r="B16" s="85"/>
      <c r="C16" s="85"/>
      <c r="D16" s="85"/>
      <c r="E16" s="85"/>
      <c r="F16" s="85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</row>
    <row r="17" spans="1:23">
      <c r="A17" s="84" t="s">
        <v>96</v>
      </c>
      <c r="B17" s="91">
        <f>'Summary Sheet'!O6</f>
        <v>2025.116</v>
      </c>
      <c r="C17" s="87">
        <f>Working!K5</f>
        <v>-50228.231</v>
      </c>
      <c r="D17" s="87">
        <f>Working!L5</f>
        <v>2346.6999999999998</v>
      </c>
      <c r="E17" s="87">
        <f>Working!M5</f>
        <v>3978.8</v>
      </c>
      <c r="F17" s="87">
        <f>Working!N5</f>
        <v>3695.6</v>
      </c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</row>
    <row r="18" spans="1:23">
      <c r="A18" s="84" t="s">
        <v>65</v>
      </c>
      <c r="B18" s="85"/>
      <c r="C18" s="85"/>
      <c r="D18" s="85"/>
      <c r="E18" s="85"/>
      <c r="F18" s="85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</row>
    <row r="19" spans="1:23">
      <c r="A19" s="85" t="s">
        <v>97</v>
      </c>
      <c r="B19" s="91">
        <f>'Summary Sheet'!O8</f>
        <v>0</v>
      </c>
      <c r="C19" s="87">
        <f>Working!K6</f>
        <v>160.69999999999999</v>
      </c>
      <c r="D19" s="87">
        <f>Working!L6</f>
        <v>528.1</v>
      </c>
      <c r="E19" s="87">
        <f>Working!M6</f>
        <v>1695.367</v>
      </c>
      <c r="F19" s="87">
        <f>Working!N6</f>
        <v>0</v>
      </c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</row>
    <row r="20" spans="1:23">
      <c r="A20" s="85" t="s">
        <v>98</v>
      </c>
      <c r="B20" s="91">
        <f>'Summary Sheet'!O9</f>
        <v>0</v>
      </c>
      <c r="C20" s="87">
        <f>Working!K7</f>
        <v>82290.899999999994</v>
      </c>
      <c r="D20" s="87">
        <f>Working!L7</f>
        <v>2391.3999999999996</v>
      </c>
      <c r="E20" s="87">
        <f>Working!M7</f>
        <v>314.10000000000002</v>
      </c>
      <c r="F20" s="87">
        <f>Working!N7</f>
        <v>21</v>
      </c>
    </row>
    <row r="21" spans="1:23">
      <c r="A21" s="85"/>
      <c r="B21" s="85"/>
      <c r="C21" s="85"/>
      <c r="D21" s="85"/>
      <c r="E21" s="85"/>
      <c r="F21" s="85"/>
    </row>
    <row r="22" spans="1:23">
      <c r="A22" s="85"/>
      <c r="B22" s="85"/>
      <c r="C22" s="85"/>
      <c r="D22" s="85"/>
      <c r="E22" s="85"/>
      <c r="F22" s="85"/>
    </row>
    <row r="23" spans="1:23">
      <c r="A23" s="84" t="s">
        <v>16</v>
      </c>
      <c r="B23" s="85"/>
      <c r="C23" s="85"/>
      <c r="D23" s="85"/>
      <c r="E23" s="85"/>
      <c r="F23" s="85"/>
    </row>
    <row r="24" spans="1:23">
      <c r="A24" s="85" t="s">
        <v>99</v>
      </c>
      <c r="B24" s="87">
        <v>526.49699999999996</v>
      </c>
      <c r="C24" s="87">
        <v>0</v>
      </c>
      <c r="D24" s="87">
        <v>1017</v>
      </c>
      <c r="E24" s="87">
        <v>306</v>
      </c>
      <c r="F24" s="87">
        <v>416</v>
      </c>
    </row>
    <row r="25" spans="1:23">
      <c r="A25" s="85" t="s">
        <v>23</v>
      </c>
      <c r="B25" s="87">
        <v>341</v>
      </c>
      <c r="C25" s="87">
        <v>0</v>
      </c>
      <c r="D25" s="87">
        <v>776</v>
      </c>
      <c r="E25" s="87">
        <v>6</v>
      </c>
      <c r="F25" s="87">
        <v>268</v>
      </c>
    </row>
    <row r="26" spans="1:23">
      <c r="A26" s="109"/>
      <c r="B26" s="109"/>
      <c r="C26" s="109"/>
      <c r="D26" s="109"/>
      <c r="E26" s="109"/>
      <c r="F26" s="109"/>
    </row>
    <row r="27" spans="1:23">
      <c r="A27" s="85" t="s">
        <v>62</v>
      </c>
      <c r="B27" s="117">
        <f>'Summary Sheet'!E60</f>
        <v>14843.544796</v>
      </c>
      <c r="C27" s="118">
        <f>Working!K27</f>
        <v>2261.8618879400001</v>
      </c>
      <c r="D27" s="118">
        <f>Working!L27</f>
        <v>1503.6030000000001</v>
      </c>
      <c r="E27" s="118">
        <f>Working!M27</f>
        <v>4031.89752</v>
      </c>
      <c r="F27" s="118">
        <f>Working!N27</f>
        <v>4599.2515009999997</v>
      </c>
    </row>
    <row r="28" spans="1:23">
      <c r="A28" s="85" t="s">
        <v>119</v>
      </c>
      <c r="B28" s="82">
        <f>'Summary Sheet'!E63</f>
        <v>14221.807796000001</v>
      </c>
    </row>
    <row r="29" spans="1:23">
      <c r="A29" s="85"/>
      <c r="B29" s="85"/>
      <c r="C29" s="85"/>
      <c r="D29" s="85"/>
      <c r="E29" s="85"/>
      <c r="F29" s="85"/>
    </row>
    <row r="30" spans="1:23">
      <c r="A30" s="85"/>
      <c r="B30" s="85"/>
      <c r="C30" s="85"/>
      <c r="D30" s="85"/>
      <c r="E30" s="85"/>
      <c r="F30" s="85"/>
    </row>
    <row r="31" spans="1:23">
      <c r="A31" s="84" t="s">
        <v>100</v>
      </c>
      <c r="B31" s="85"/>
      <c r="C31" s="85"/>
      <c r="D31" s="85"/>
      <c r="E31" s="85"/>
      <c r="F31" s="85"/>
    </row>
    <row r="32" spans="1:23">
      <c r="A32" s="85" t="s">
        <v>101</v>
      </c>
      <c r="B32" s="110">
        <f>'Summary Sheet'!O62</f>
        <v>50.34749034749035</v>
      </c>
      <c r="C32" s="111">
        <f>Working!K34</f>
        <v>-21.15625</v>
      </c>
      <c r="D32" s="111">
        <f>Working!L34</f>
        <v>13.734939759036145</v>
      </c>
      <c r="E32" s="111">
        <f>Working!M34</f>
        <v>16.949152542372882</v>
      </c>
      <c r="F32" s="111">
        <f>Working!N34</f>
        <v>14.66547192353644</v>
      </c>
    </row>
    <row r="33" spans="1:6">
      <c r="A33" s="85" t="s">
        <v>52</v>
      </c>
      <c r="B33" s="112">
        <v>1.2121212121212121E-2</v>
      </c>
      <c r="C33" s="85">
        <f>Working!K42</f>
        <v>0</v>
      </c>
      <c r="D33" s="85">
        <f>Working!L42</f>
        <v>0</v>
      </c>
      <c r="E33" s="85">
        <f>Working!M42</f>
        <v>0</v>
      </c>
      <c r="F33" s="85">
        <f>Working!N42</f>
        <v>0</v>
      </c>
    </row>
    <row r="34" spans="1:6">
      <c r="A34" s="85" t="s">
        <v>102</v>
      </c>
      <c r="B34" s="107">
        <f>'Summary Sheet'!O63</f>
        <v>7.3297257026264173</v>
      </c>
      <c r="C34" s="113">
        <f>Working!K35</f>
        <v>334.10072199999996</v>
      </c>
      <c r="D34" s="113">
        <f>Working!L35</f>
        <v>131.89500000000001</v>
      </c>
      <c r="E34" s="113">
        <f>Working!M35</f>
        <v>28.799267999999998</v>
      </c>
      <c r="F34" s="113">
        <f>Working!N35</f>
        <v>9.3671109999999995</v>
      </c>
    </row>
    <row r="35" spans="1:6">
      <c r="A35" s="85" t="s">
        <v>103</v>
      </c>
      <c r="B35" s="107">
        <f>'Summary Sheet'!O64</f>
        <v>22.714495552536878</v>
      </c>
      <c r="C35" s="111">
        <f>Working!K36</f>
        <v>43.120609341095388</v>
      </c>
      <c r="D35" s="111">
        <f>Working!L36</f>
        <v>3.3340148902821314</v>
      </c>
      <c r="E35" s="111">
        <f>Working!M36</f>
        <v>6.3211965169953839</v>
      </c>
      <c r="F35" s="111">
        <f>Working!N36</f>
        <v>7.2229077233379488</v>
      </c>
    </row>
    <row r="36" spans="1:6">
      <c r="A36" s="85"/>
      <c r="B36" s="85"/>
      <c r="C36" s="85"/>
      <c r="D36" s="85"/>
      <c r="E36" s="85"/>
      <c r="F36" s="85"/>
    </row>
    <row r="37" spans="1:6">
      <c r="A37" s="84" t="s">
        <v>104</v>
      </c>
      <c r="B37" s="85"/>
      <c r="C37" s="85"/>
      <c r="D37" s="85"/>
      <c r="E37" s="85"/>
      <c r="F37" s="85"/>
    </row>
    <row r="38" spans="1:6">
      <c r="A38" s="84" t="s">
        <v>105</v>
      </c>
      <c r="B38" s="85"/>
      <c r="C38" s="85"/>
      <c r="D38" s="85"/>
      <c r="E38" s="85"/>
      <c r="F38" s="85"/>
    </row>
    <row r="39" spans="1:6">
      <c r="A39" s="85" t="s">
        <v>106</v>
      </c>
      <c r="B39" s="85"/>
      <c r="C39" s="85"/>
      <c r="D39" s="85"/>
      <c r="E39" s="85"/>
      <c r="F39" s="85"/>
    </row>
    <row r="40" spans="1:6">
      <c r="A40" s="85" t="s">
        <v>107</v>
      </c>
      <c r="B40" s="119">
        <f>'Summary Sheet'!O60</f>
        <v>88.952851232396412</v>
      </c>
      <c r="C40" s="111">
        <f>Working!K33</f>
        <v>2.026335040365462E-2</v>
      </c>
      <c r="D40" s="111">
        <f>Working!L33</f>
        <v>8.6432389400659615E-2</v>
      </c>
      <c r="E40" s="111">
        <f>Working!M33</f>
        <v>4.8612346674922433</v>
      </c>
      <c r="F40" s="111">
        <f>Working!N33</f>
        <v>52.41744226154681</v>
      </c>
    </row>
    <row r="41" spans="1:6">
      <c r="A41" s="85" t="s">
        <v>108</v>
      </c>
      <c r="B41" s="92">
        <f>'Summary Sheet'!O65</f>
        <v>0.11263152810647822</v>
      </c>
      <c r="C41" s="89">
        <f>Working!K37</f>
        <v>1.7514054994291955E-2</v>
      </c>
      <c r="D41" s="89">
        <f>Working!L37</f>
        <v>4.6362977798610823E-2</v>
      </c>
      <c r="E41" s="89">
        <f>Working!M37</f>
        <v>5.9590831406454207E-2</v>
      </c>
      <c r="F41" s="89">
        <f>Working!N37</f>
        <v>8.4857668578850534E-2</v>
      </c>
    </row>
    <row r="42" spans="1:6">
      <c r="A42" s="85" t="s">
        <v>109</v>
      </c>
      <c r="B42" s="88">
        <f>'Summary Sheet'!O66</f>
        <v>0.19563917485239474</v>
      </c>
      <c r="C42" s="89">
        <f>Working!K38</f>
        <v>-0.10217254586775829</v>
      </c>
      <c r="D42" s="89">
        <f>Working!L38</f>
        <v>1.8704801989669</v>
      </c>
      <c r="E42" s="89">
        <f>Working!M38</f>
        <v>8.828486773237762E-2</v>
      </c>
      <c r="F42" s="89">
        <f>Working!N38</f>
        <v>9.7239893023135085E-2</v>
      </c>
    </row>
    <row r="43" spans="1:6">
      <c r="A43" s="85" t="s">
        <v>110</v>
      </c>
      <c r="B43" s="114">
        <f>'Summary Sheet'!O75</f>
        <v>5.3367398995906346</v>
      </c>
      <c r="C43" s="111">
        <f>Working!K49</f>
        <v>0.42166778306285724</v>
      </c>
      <c r="D43" s="111">
        <f>Working!L49</f>
        <v>5.2580284039774348E-2</v>
      </c>
      <c r="E43" s="111">
        <f>Working!M49</f>
        <v>0.56772384629527495</v>
      </c>
      <c r="F43" s="111">
        <f>Working!N49</f>
        <v>0.10183538208803036</v>
      </c>
    </row>
    <row r="44" spans="1:6">
      <c r="A44" s="85" t="s">
        <v>111</v>
      </c>
      <c r="B44" s="115">
        <f>'Summary Sheet'!O70</f>
        <v>3.4044878897191446</v>
      </c>
      <c r="C44" s="111">
        <f>Working!K43</f>
        <v>7.7727440722630927</v>
      </c>
      <c r="D44" s="111">
        <f>Working!L43</f>
        <v>28.657912066202783</v>
      </c>
      <c r="E44" s="111">
        <f>Working!M43</f>
        <v>16.345812649384079</v>
      </c>
      <c r="F44" s="111">
        <f>Working!N43</f>
        <v>12.552625616042599</v>
      </c>
    </row>
    <row r="45" spans="1:6">
      <c r="A45" s="85" t="s">
        <v>55</v>
      </c>
      <c r="B45" s="116" t="e">
        <f>#REF!</f>
        <v>#REF!</v>
      </c>
      <c r="C45" s="111">
        <f>Working!K45</f>
        <v>39.263176497002313</v>
      </c>
      <c r="D45" s="111">
        <f>Working!L45</f>
        <v>38.07677553575548</v>
      </c>
      <c r="E45" s="111">
        <f>Working!M45</f>
        <v>42.087965745192307</v>
      </c>
      <c r="F45" s="111">
        <f>Working!N45</f>
        <v>34.395325496765253</v>
      </c>
    </row>
    <row r="46" spans="1:6">
      <c r="A46" s="85" t="s">
        <v>112</v>
      </c>
      <c r="B46" s="115">
        <f>'Summary Sheet'!O71</f>
        <v>46.409221588413686</v>
      </c>
      <c r="C46" s="111">
        <f>Working!K44</f>
        <v>71.118965410665552</v>
      </c>
      <c r="D46" s="111">
        <f>Working!L44</f>
        <v>60.443029853230854</v>
      </c>
      <c r="E46" s="111">
        <f>Working!M44</f>
        <v>57.935353132682216</v>
      </c>
      <c r="F46" s="111">
        <f>Working!N44</f>
        <v>20.146138472311375</v>
      </c>
    </row>
    <row r="47" spans="1:6">
      <c r="A47" s="85" t="s">
        <v>113</v>
      </c>
      <c r="B47" s="116">
        <f>'Summary Sheet'!O72</f>
        <v>-43.004733698694544</v>
      </c>
      <c r="C47" s="111">
        <f>Working!K46</f>
        <v>-24.083044841400145</v>
      </c>
      <c r="D47" s="111">
        <f>Working!L46</f>
        <v>6.2916577487274026</v>
      </c>
      <c r="E47" s="111">
        <f>Working!M46</f>
        <v>0.49842526189416958</v>
      </c>
      <c r="F47" s="111">
        <f>Working!N46</f>
        <v>26.801812640496475</v>
      </c>
    </row>
    <row r="48" spans="1:6">
      <c r="A48" s="85" t="s">
        <v>56</v>
      </c>
      <c r="B48" s="115">
        <f>'Summary Sheet'!O73</f>
        <v>89.861335351713478</v>
      </c>
      <c r="C48" s="111">
        <f>Working!K47</f>
        <v>-295.49693094165394</v>
      </c>
      <c r="D48" s="111">
        <f>Working!L47</f>
        <v>4.1557938406831063</v>
      </c>
      <c r="E48" s="111">
        <f>Working!M47</f>
        <v>-7.5597076668505228</v>
      </c>
      <c r="F48" s="111">
        <f>Working!N47</f>
        <v>42.895201948677268</v>
      </c>
    </row>
    <row r="49" spans="1:6">
      <c r="A49" s="85" t="s">
        <v>114</v>
      </c>
      <c r="B49" s="115" t="str">
        <f>'Summary Sheet'!O67</f>
        <v>NA</v>
      </c>
      <c r="C49" s="111">
        <f>Working!K39</f>
        <v>-1.6415389982577724</v>
      </c>
      <c r="D49" s="111">
        <f>Working!L39</f>
        <v>1.2440874419397452</v>
      </c>
      <c r="E49" s="111">
        <f>Working!M39</f>
        <v>0.50504348044636571</v>
      </c>
      <c r="F49" s="111">
        <f>Working!N39</f>
        <v>5.6824331637623125E-3</v>
      </c>
    </row>
    <row r="50" spans="1:6">
      <c r="A50" s="85" t="s">
        <v>115</v>
      </c>
      <c r="B50" s="115" t="str">
        <f>'Summary Sheet'!O68</f>
        <v>NA</v>
      </c>
      <c r="C50" s="111">
        <f>Working!K40</f>
        <v>-1.6098596026605037</v>
      </c>
      <c r="D50" s="111">
        <f>Working!L40</f>
        <v>1.1721140324711294</v>
      </c>
      <c r="E50" s="111">
        <f>Working!M40</f>
        <v>0.50102216748768469</v>
      </c>
      <c r="F50" s="111">
        <f>Working!N40</f>
        <v>-0.11562398527979217</v>
      </c>
    </row>
    <row r="51" spans="1:6">
      <c r="A51" s="85" t="s">
        <v>116</v>
      </c>
      <c r="B51" s="115">
        <v>3.7795698924731185</v>
      </c>
      <c r="C51" s="111">
        <f>Working!K50</f>
        <v>0.38159090205873836</v>
      </c>
      <c r="D51" s="111">
        <f>Working!L50</f>
        <v>1.1679608171066778</v>
      </c>
      <c r="E51" s="111">
        <f>Working!M50</f>
        <v>2.2513307984790871</v>
      </c>
      <c r="F51" s="111">
        <f>Working!N50</f>
        <v>13.192567567567568</v>
      </c>
    </row>
    <row r="52" spans="1:6">
      <c r="A52" s="85" t="s">
        <v>117</v>
      </c>
      <c r="B52" s="88" t="str">
        <f>'Summary Sheet'!O74</f>
        <v>NA</v>
      </c>
      <c r="C52" s="89">
        <f>Working!K48</f>
        <v>1.7246918192005981E-2</v>
      </c>
      <c r="D52" s="89">
        <f>Working!L48</f>
        <v>0.28672717931152597</v>
      </c>
      <c r="E52" s="89">
        <f>Working!M48</f>
        <v>0.13088047726088559</v>
      </c>
      <c r="F52" s="89">
        <f>Working!N48</f>
        <v>1.4095238095238096</v>
      </c>
    </row>
  </sheetData>
  <pageMargins left="0.7" right="0.7" top="0.75" bottom="0.75" header="0.3" footer="0.3"/>
  <pageSetup paperSize="9" scale="93" orientation="portrait" horizontalDpi="1200" verticalDpi="1200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0"/>
  <sheetViews>
    <sheetView workbookViewId="0">
      <selection activeCell="L38" sqref="L38"/>
    </sheetView>
  </sheetViews>
  <sheetFormatPr defaultColWidth="8.88671875" defaultRowHeight="14.4"/>
  <cols>
    <col min="1" max="1" width="24.44140625" bestFit="1" customWidth="1"/>
    <col min="2" max="2" width="13.44140625" bestFit="1" customWidth="1"/>
    <col min="3" max="3" width="10.88671875" bestFit="1" customWidth="1"/>
    <col min="4" max="4" width="10.5546875" bestFit="1" customWidth="1"/>
    <col min="5" max="5" width="13.44140625" bestFit="1" customWidth="1"/>
    <col min="6" max="6" width="8.44140625" bestFit="1" customWidth="1"/>
    <col min="7" max="7" width="7.5546875" bestFit="1" customWidth="1"/>
    <col min="9" max="9" width="21.44140625" bestFit="1" customWidth="1"/>
    <col min="10" max="11" width="12" bestFit="1" customWidth="1"/>
    <col min="12" max="12" width="13.109375" bestFit="1" customWidth="1"/>
    <col min="13" max="13" width="13.44140625" bestFit="1" customWidth="1"/>
    <col min="14" max="14" width="12" bestFit="1" customWidth="1"/>
  </cols>
  <sheetData>
    <row r="1" spans="1:14">
      <c r="A1" t="s">
        <v>120</v>
      </c>
      <c r="B1" t="s">
        <v>121</v>
      </c>
    </row>
    <row r="4" spans="1:14">
      <c r="A4" s="67" t="s">
        <v>154</v>
      </c>
      <c r="B4" s="67" t="s">
        <v>122</v>
      </c>
      <c r="C4" s="67" t="s">
        <v>123</v>
      </c>
      <c r="D4" s="67" t="s">
        <v>83</v>
      </c>
      <c r="E4" s="67" t="s">
        <v>88</v>
      </c>
      <c r="F4" s="67" t="s">
        <v>85</v>
      </c>
      <c r="G4" s="67" t="s">
        <v>124</v>
      </c>
      <c r="I4" s="67" t="s">
        <v>75</v>
      </c>
      <c r="J4" s="67" t="s">
        <v>122</v>
      </c>
      <c r="K4" s="67" t="s">
        <v>123</v>
      </c>
      <c r="L4" s="67" t="s">
        <v>83</v>
      </c>
      <c r="M4" s="67" t="s">
        <v>88</v>
      </c>
      <c r="N4" s="67" t="s">
        <v>85</v>
      </c>
    </row>
    <row r="5" spans="1:14">
      <c r="A5" s="67" t="s">
        <v>125</v>
      </c>
      <c r="B5" s="68">
        <v>9037</v>
      </c>
      <c r="C5" s="67">
        <v>128493.81</v>
      </c>
      <c r="D5" s="67">
        <v>45557</v>
      </c>
      <c r="E5" s="69">
        <v>10878</v>
      </c>
      <c r="F5" s="70">
        <v>17653</v>
      </c>
      <c r="G5" s="67"/>
      <c r="I5" s="67" t="s">
        <v>126</v>
      </c>
      <c r="J5" s="67">
        <v>1828.6000000000001</v>
      </c>
      <c r="K5" s="67">
        <v>-50228.231</v>
      </c>
      <c r="L5" s="67">
        <v>2346.6999999999998</v>
      </c>
      <c r="M5" s="67">
        <v>3978.8</v>
      </c>
      <c r="N5" s="67">
        <v>3695.6</v>
      </c>
    </row>
    <row r="6" spans="1:14">
      <c r="A6" s="67" t="s">
        <v>127</v>
      </c>
      <c r="B6" s="67">
        <v>5328</v>
      </c>
      <c r="C6" s="67">
        <v>302400</v>
      </c>
      <c r="D6" s="67">
        <v>36318.9</v>
      </c>
      <c r="E6" s="67">
        <v>7067</v>
      </c>
      <c r="F6" s="67">
        <v>6213.0999999999995</v>
      </c>
      <c r="G6" s="67"/>
      <c r="I6" s="67" t="s">
        <v>31</v>
      </c>
      <c r="J6" s="67">
        <v>864.5</v>
      </c>
      <c r="K6" s="67">
        <v>160.69999999999999</v>
      </c>
      <c r="L6" s="67">
        <v>528.1</v>
      </c>
      <c r="M6" s="67">
        <v>1695.367</v>
      </c>
      <c r="N6" s="67">
        <v>0</v>
      </c>
    </row>
    <row r="7" spans="1:14">
      <c r="A7" s="71" t="s">
        <v>128</v>
      </c>
      <c r="B7" s="72">
        <f>((B5/B6)^(1/3)-1)</f>
        <v>0.19257771232746146</v>
      </c>
      <c r="C7" s="72">
        <f t="shared" ref="C7:G7" si="0">((C5/C6)^(1/3)-1)</f>
        <v>-0.24820377622688949</v>
      </c>
      <c r="D7" s="72">
        <f t="shared" si="0"/>
        <v>7.8468530441894391E-2</v>
      </c>
      <c r="E7" s="72">
        <f t="shared" si="0"/>
        <v>0.15461710681809615</v>
      </c>
      <c r="F7" s="72">
        <f t="shared" si="0"/>
        <v>0.41634827902293581</v>
      </c>
      <c r="G7" s="72" t="e">
        <f t="shared" si="0"/>
        <v>#DIV/0!</v>
      </c>
      <c r="I7" s="67" t="s">
        <v>32</v>
      </c>
      <c r="J7" s="67">
        <v>1055.1000000000001</v>
      </c>
      <c r="K7" s="67">
        <v>82290.899999999994</v>
      </c>
      <c r="L7" s="67">
        <v>2391.3999999999996</v>
      </c>
      <c r="M7" s="67">
        <v>314.10000000000002</v>
      </c>
      <c r="N7" s="67">
        <v>21</v>
      </c>
    </row>
    <row r="8" spans="1:14">
      <c r="A8" s="67"/>
      <c r="B8" s="73"/>
      <c r="C8" s="67"/>
      <c r="D8" s="67"/>
      <c r="E8" s="67"/>
      <c r="F8" s="67"/>
      <c r="G8" s="67"/>
      <c r="I8" s="71" t="s">
        <v>33</v>
      </c>
      <c r="J8" s="71">
        <f>J6+J7</f>
        <v>1919.6000000000001</v>
      </c>
      <c r="K8" s="71">
        <f t="shared" ref="K8:N8" si="1">K6+K7</f>
        <v>82451.599999999991</v>
      </c>
      <c r="L8" s="71">
        <f t="shared" si="1"/>
        <v>2919.4999999999995</v>
      </c>
      <c r="M8" s="71">
        <f t="shared" si="1"/>
        <v>2009.4670000000001</v>
      </c>
      <c r="N8" s="71">
        <f t="shared" si="1"/>
        <v>21</v>
      </c>
    </row>
    <row r="9" spans="1:14">
      <c r="A9" s="67" t="s">
        <v>129</v>
      </c>
      <c r="B9" s="74">
        <v>7124</v>
      </c>
      <c r="C9" s="67">
        <v>113243</v>
      </c>
      <c r="D9" s="67">
        <v>43251.6</v>
      </c>
      <c r="E9" s="67">
        <v>6020.4</v>
      </c>
      <c r="F9" s="67">
        <v>6854.8</v>
      </c>
      <c r="G9" s="67"/>
      <c r="I9" s="71" t="s">
        <v>34</v>
      </c>
      <c r="J9" s="71">
        <f>(J10+J11-J17-J7)</f>
        <v>1768.3999999999999</v>
      </c>
      <c r="K9" s="71">
        <f t="shared" ref="K9:N9" si="2">(K10+K11-K17-K7)</f>
        <v>-132135.29999999999</v>
      </c>
      <c r="L9" s="71">
        <f t="shared" si="2"/>
        <v>522.70000000000073</v>
      </c>
      <c r="M9" s="71">
        <f t="shared" si="2"/>
        <v>5636.3</v>
      </c>
      <c r="N9" s="71">
        <f t="shared" si="2"/>
        <v>3851.2999999999993</v>
      </c>
    </row>
    <row r="10" spans="1:14">
      <c r="A10" s="67" t="s">
        <v>130</v>
      </c>
      <c r="B10" s="67">
        <v>-78.899999999999991</v>
      </c>
      <c r="C10" s="67">
        <v>778.19999999999993</v>
      </c>
      <c r="D10" s="67">
        <v>-760.19999999999993</v>
      </c>
      <c r="E10" s="67">
        <v>-30</v>
      </c>
      <c r="F10" s="67">
        <v>70</v>
      </c>
      <c r="G10" s="67"/>
      <c r="I10" s="67" t="s">
        <v>131</v>
      </c>
      <c r="J10" s="67">
        <v>1668.5</v>
      </c>
      <c r="K10" s="67">
        <v>54181.7</v>
      </c>
      <c r="L10" s="67">
        <v>2395.4</v>
      </c>
      <c r="M10" s="67">
        <v>6175.7000000000007</v>
      </c>
      <c r="N10" s="67">
        <v>1797.7</v>
      </c>
    </row>
    <row r="11" spans="1:14">
      <c r="A11" s="67"/>
      <c r="B11" s="67"/>
      <c r="C11" s="67"/>
      <c r="D11" s="67"/>
      <c r="E11" s="67"/>
      <c r="F11" s="67"/>
      <c r="G11" s="67"/>
      <c r="I11" s="67" t="s">
        <v>132</v>
      </c>
      <c r="J11" s="67">
        <v>3934.1000000000004</v>
      </c>
      <c r="K11" s="67">
        <v>25458.899999999998</v>
      </c>
      <c r="L11" s="67">
        <v>10613.900000000001</v>
      </c>
      <c r="M11" s="67">
        <v>1516.2</v>
      </c>
      <c r="N11" s="67">
        <v>2813.8999999999996</v>
      </c>
    </row>
    <row r="12" spans="1:14">
      <c r="A12" s="71" t="s">
        <v>133</v>
      </c>
      <c r="B12" s="71">
        <f>(B22+B16+B17)</f>
        <v>811</v>
      </c>
      <c r="C12" s="71">
        <f t="shared" ref="C12:G12" si="3">(C22+C16+C17)</f>
        <v>1927.6689999999999</v>
      </c>
      <c r="D12" s="71">
        <f t="shared" si="3"/>
        <v>1276</v>
      </c>
      <c r="E12" s="71">
        <f t="shared" si="3"/>
        <v>953.2</v>
      </c>
      <c r="F12" s="71">
        <f t="shared" si="3"/>
        <v>577.6</v>
      </c>
      <c r="G12" s="71">
        <f t="shared" si="3"/>
        <v>0</v>
      </c>
      <c r="I12" s="67" t="s">
        <v>134</v>
      </c>
      <c r="J12" s="67">
        <v>2662.3</v>
      </c>
      <c r="K12" s="67">
        <v>12618</v>
      </c>
      <c r="L12" s="67">
        <v>4726.8</v>
      </c>
      <c r="M12" s="67">
        <v>777.69999999999993</v>
      </c>
      <c r="N12" s="67">
        <v>653.40000000000009</v>
      </c>
    </row>
    <row r="13" spans="1:14">
      <c r="A13" s="71" t="s">
        <v>135</v>
      </c>
      <c r="B13" s="71">
        <f>(B23+B19+B20)</f>
        <v>305</v>
      </c>
      <c r="C13" s="71">
        <f t="shared" ref="C13:G13" si="4">(C23+C19+C20)</f>
        <v>2155</v>
      </c>
      <c r="D13" s="71">
        <f t="shared" si="4"/>
        <v>879.1</v>
      </c>
      <c r="E13" s="71">
        <f t="shared" si="4"/>
        <v>737.3</v>
      </c>
      <c r="F13" s="71">
        <f t="shared" si="4"/>
        <v>591.80000000000007</v>
      </c>
      <c r="G13" s="71">
        <f t="shared" si="4"/>
        <v>0</v>
      </c>
      <c r="I13" s="67" t="s">
        <v>136</v>
      </c>
      <c r="J13" s="67">
        <v>2624.1000000000004</v>
      </c>
      <c r="K13" s="67">
        <v>11912.6</v>
      </c>
      <c r="L13" s="67">
        <v>4138.6000000000004</v>
      </c>
      <c r="M13" s="67">
        <v>603.80000000000007</v>
      </c>
      <c r="N13" s="67">
        <v>651.70000000000005</v>
      </c>
    </row>
    <row r="14" spans="1:14">
      <c r="A14" s="71" t="s">
        <v>128</v>
      </c>
      <c r="B14" s="72">
        <f>((B12/B13)^(1/3)-1)</f>
        <v>0.38539517774912579</v>
      </c>
      <c r="C14" s="72">
        <f t="shared" ref="C14:G14" si="5">((C12/C13)^(1/3)-1)</f>
        <v>-3.6477790818822187E-2</v>
      </c>
      <c r="D14" s="72">
        <f t="shared" si="5"/>
        <v>0.13223731761990876</v>
      </c>
      <c r="E14" s="72">
        <f t="shared" si="5"/>
        <v>8.9381343213982722E-2</v>
      </c>
      <c r="F14" s="72">
        <f t="shared" si="5"/>
        <v>-8.0630353962740653E-3</v>
      </c>
      <c r="G14" s="72" t="e">
        <f t="shared" si="5"/>
        <v>#DIV/0!</v>
      </c>
      <c r="I14" s="67" t="s">
        <v>137</v>
      </c>
      <c r="J14" s="67">
        <v>616.1</v>
      </c>
      <c r="K14" s="67">
        <v>2641.1000000000004</v>
      </c>
      <c r="L14" s="67">
        <v>3382</v>
      </c>
      <c r="M14" s="67">
        <v>490.79999999999995</v>
      </c>
      <c r="N14" s="67">
        <v>585</v>
      </c>
    </row>
    <row r="15" spans="1:14">
      <c r="A15" s="67"/>
      <c r="B15" s="67"/>
      <c r="C15" s="67"/>
      <c r="D15" s="67"/>
      <c r="E15" s="67"/>
      <c r="F15" s="67"/>
      <c r="G15" s="67"/>
      <c r="I15" s="67" t="s">
        <v>138</v>
      </c>
      <c r="J15" s="67">
        <v>420.90000000000003</v>
      </c>
      <c r="K15" s="67">
        <v>2831.5</v>
      </c>
      <c r="L15" s="67">
        <v>3771.8</v>
      </c>
      <c r="M15" s="67">
        <v>483.5</v>
      </c>
      <c r="N15" s="67">
        <v>629.20000000000005</v>
      </c>
    </row>
    <row r="16" spans="1:14">
      <c r="A16" s="67" t="s">
        <v>139</v>
      </c>
      <c r="B16" s="67">
        <v>108</v>
      </c>
      <c r="C16" s="67">
        <v>1385.0329999999999</v>
      </c>
      <c r="D16" s="67">
        <v>298.29999999999995</v>
      </c>
      <c r="E16" s="67">
        <v>361.1</v>
      </c>
      <c r="F16" s="67">
        <v>187.10000000000002</v>
      </c>
      <c r="G16" s="67"/>
      <c r="I16" s="67" t="s">
        <v>36</v>
      </c>
      <c r="J16" s="67">
        <v>135</v>
      </c>
      <c r="K16" s="67">
        <v>1591.2</v>
      </c>
      <c r="L16" s="67">
        <v>168.9</v>
      </c>
      <c r="M16" s="67">
        <v>16</v>
      </c>
      <c r="N16" s="67">
        <v>448.29999999999995</v>
      </c>
    </row>
    <row r="17" spans="1:14">
      <c r="A17" s="67" t="s">
        <v>140</v>
      </c>
      <c r="B17" s="67">
        <v>186</v>
      </c>
      <c r="C17" s="67">
        <v>1422.0360000000001</v>
      </c>
      <c r="D17" s="67">
        <v>837.09999999999991</v>
      </c>
      <c r="E17" s="67">
        <v>263</v>
      </c>
      <c r="F17" s="67">
        <v>29.6</v>
      </c>
      <c r="G17" s="67"/>
      <c r="I17" s="67" t="s">
        <v>141</v>
      </c>
      <c r="J17" s="67">
        <v>2779.1000000000004</v>
      </c>
      <c r="K17" s="67">
        <v>129485</v>
      </c>
      <c r="L17" s="67">
        <v>10095.200000000001</v>
      </c>
      <c r="M17" s="67">
        <v>1741.5</v>
      </c>
      <c r="N17" s="67">
        <v>739.30000000000007</v>
      </c>
    </row>
    <row r="18" spans="1:14">
      <c r="A18" s="67"/>
      <c r="B18" s="67"/>
      <c r="C18" s="67"/>
      <c r="D18" s="67"/>
      <c r="E18" s="67"/>
      <c r="F18" s="67"/>
      <c r="G18" s="67"/>
      <c r="I18" s="67" t="s">
        <v>142</v>
      </c>
      <c r="J18" s="67">
        <v>1520.1</v>
      </c>
      <c r="K18" s="67">
        <v>18690</v>
      </c>
      <c r="L18" s="67">
        <v>7281.5999999999995</v>
      </c>
      <c r="M18" s="67">
        <v>946.5</v>
      </c>
      <c r="N18" s="67">
        <v>368.5</v>
      </c>
    </row>
    <row r="19" spans="1:14">
      <c r="A19" s="67" t="s">
        <v>143</v>
      </c>
      <c r="B19" s="67">
        <v>77</v>
      </c>
      <c r="C19" s="67">
        <v>1666</v>
      </c>
      <c r="D19" s="67">
        <v>152.10000000000002</v>
      </c>
      <c r="E19" s="67">
        <v>421.59999999999997</v>
      </c>
      <c r="F19" s="67">
        <v>217</v>
      </c>
      <c r="G19" s="67"/>
      <c r="I19" s="67" t="s">
        <v>144</v>
      </c>
      <c r="J19" s="67">
        <v>1011.1</v>
      </c>
      <c r="K19" s="67">
        <v>25440</v>
      </c>
      <c r="L19" s="67">
        <v>7043.0999999999995</v>
      </c>
      <c r="M19" s="67">
        <v>964.7</v>
      </c>
      <c r="N19" s="67">
        <v>388.2</v>
      </c>
    </row>
    <row r="20" spans="1:14">
      <c r="A20" s="67" t="s">
        <v>145</v>
      </c>
      <c r="B20" s="67">
        <v>140</v>
      </c>
      <c r="C20" s="67">
        <v>14380</v>
      </c>
      <c r="D20" s="67">
        <v>580.4</v>
      </c>
      <c r="E20" s="67">
        <v>168.5</v>
      </c>
      <c r="F20" s="67">
        <v>13.600000000000001</v>
      </c>
      <c r="G20" s="67"/>
      <c r="I20" s="71" t="s">
        <v>38</v>
      </c>
      <c r="J20" s="71">
        <f>J11-J17</f>
        <v>1155</v>
      </c>
      <c r="K20" s="71">
        <f t="shared" ref="K20:N20" si="6">K11-K17</f>
        <v>-104026.1</v>
      </c>
      <c r="L20" s="71">
        <f t="shared" si="6"/>
        <v>518.70000000000073</v>
      </c>
      <c r="M20" s="71">
        <f t="shared" si="6"/>
        <v>-225.29999999999995</v>
      </c>
      <c r="N20" s="71">
        <f t="shared" si="6"/>
        <v>2074.5999999999995</v>
      </c>
    </row>
    <row r="21" spans="1:14">
      <c r="A21" s="67"/>
      <c r="B21" s="67"/>
      <c r="C21" s="67"/>
      <c r="D21" s="67"/>
      <c r="E21" s="67"/>
      <c r="F21" s="67"/>
      <c r="G21" s="67"/>
    </row>
    <row r="22" spans="1:14">
      <c r="A22" s="67" t="s">
        <v>146</v>
      </c>
      <c r="B22" s="67">
        <v>517</v>
      </c>
      <c r="C22" s="67">
        <v>-879.4</v>
      </c>
      <c r="D22" s="67">
        <v>140.6</v>
      </c>
      <c r="E22" s="67">
        <v>329.09999999999997</v>
      </c>
      <c r="F22" s="67">
        <v>360.90000000000003</v>
      </c>
      <c r="G22" s="67"/>
    </row>
    <row r="23" spans="1:14">
      <c r="A23" s="67" t="s">
        <v>147</v>
      </c>
      <c r="B23" s="67">
        <v>88</v>
      </c>
      <c r="C23" s="67">
        <v>-13891</v>
      </c>
      <c r="D23" s="67">
        <v>146.6</v>
      </c>
      <c r="E23" s="67">
        <v>147.20000000000002</v>
      </c>
      <c r="F23" s="67">
        <v>361.2</v>
      </c>
      <c r="G23" s="67"/>
    </row>
    <row r="24" spans="1:14">
      <c r="A24" s="67"/>
      <c r="B24" s="67"/>
      <c r="C24" s="67"/>
      <c r="D24" s="67"/>
      <c r="E24" s="67"/>
      <c r="F24" s="67"/>
      <c r="G24" s="67"/>
    </row>
    <row r="25" spans="1:14">
      <c r="A25" s="67" t="s">
        <v>148</v>
      </c>
      <c r="B25" s="67">
        <v>412.70000000000005</v>
      </c>
      <c r="C25" s="67">
        <v>-879.7</v>
      </c>
      <c r="D25" s="67">
        <v>108.80000000000001</v>
      </c>
      <c r="E25" s="67">
        <v>237.10000000000002</v>
      </c>
      <c r="F25" s="67">
        <v>313.60000000000002</v>
      </c>
      <c r="G25" s="67"/>
      <c r="I25" s="67" t="s">
        <v>39</v>
      </c>
      <c r="J25" s="67"/>
      <c r="K25" s="67"/>
      <c r="L25" s="67"/>
      <c r="M25" s="67"/>
      <c r="N25" s="67"/>
    </row>
    <row r="26" spans="1:14">
      <c r="A26" s="67" t="s">
        <v>149</v>
      </c>
      <c r="B26" s="67">
        <v>65.3</v>
      </c>
      <c r="C26" s="67">
        <v>-12676.6</v>
      </c>
      <c r="D26" s="67">
        <v>94.1</v>
      </c>
      <c r="E26" s="67">
        <v>125.39999999999999</v>
      </c>
      <c r="F26" s="67">
        <v>293.29999999999995</v>
      </c>
      <c r="G26" s="67"/>
      <c r="I26" s="67" t="s">
        <v>61</v>
      </c>
      <c r="J26" s="75">
        <v>17433000</v>
      </c>
      <c r="K26" s="75">
        <v>334100722</v>
      </c>
      <c r="L26" s="76">
        <v>131895000</v>
      </c>
      <c r="M26" s="75">
        <v>28799268</v>
      </c>
      <c r="N26" s="75">
        <v>9367111</v>
      </c>
    </row>
    <row r="27" spans="1:14">
      <c r="A27" s="71" t="s">
        <v>128</v>
      </c>
      <c r="B27" s="72">
        <f>((B25/B26)^(1/3)-1)</f>
        <v>0.84887306635383486</v>
      </c>
      <c r="C27" s="72">
        <f t="shared" ref="C27:G27" si="7">((C25/C26)^(1/3)-1)</f>
        <v>-0.58906108643391231</v>
      </c>
      <c r="D27" s="72">
        <f t="shared" si="7"/>
        <v>4.9574064777008431E-2</v>
      </c>
      <c r="E27" s="72">
        <f t="shared" si="7"/>
        <v>0.23654902446034831</v>
      </c>
      <c r="F27" s="72">
        <f t="shared" si="7"/>
        <v>2.2558108856564729E-2</v>
      </c>
      <c r="G27" s="72" t="e">
        <f t="shared" si="7"/>
        <v>#DIV/0!</v>
      </c>
      <c r="I27" s="67" t="s">
        <v>62</v>
      </c>
      <c r="J27" s="71">
        <f>J26*J31/1000000</f>
        <v>1725.867</v>
      </c>
      <c r="K27" s="71">
        <f t="shared" ref="K27:N27" si="8">K26*K31/1000000</f>
        <v>2261.8618879400001</v>
      </c>
      <c r="L27" s="71">
        <f t="shared" si="8"/>
        <v>1503.6030000000001</v>
      </c>
      <c r="M27" s="71">
        <f t="shared" si="8"/>
        <v>4031.89752</v>
      </c>
      <c r="N27" s="71">
        <f t="shared" si="8"/>
        <v>4599.2515009999997</v>
      </c>
    </row>
    <row r="28" spans="1:14">
      <c r="A28" s="67"/>
      <c r="B28" s="67"/>
      <c r="C28" s="67"/>
      <c r="D28" s="67"/>
      <c r="E28" s="67"/>
      <c r="F28" s="67"/>
      <c r="G28" s="67"/>
      <c r="I28" s="67" t="s">
        <v>65</v>
      </c>
      <c r="J28" s="71">
        <f>J8</f>
        <v>1919.6000000000001</v>
      </c>
      <c r="K28" s="71">
        <f t="shared" ref="K28:N28" si="9">K8</f>
        <v>82451.599999999991</v>
      </c>
      <c r="L28" s="71">
        <f t="shared" si="9"/>
        <v>2919.4999999999995</v>
      </c>
      <c r="M28" s="71">
        <f t="shared" si="9"/>
        <v>2009.4670000000001</v>
      </c>
      <c r="N28" s="71">
        <f t="shared" si="9"/>
        <v>21</v>
      </c>
    </row>
    <row r="29" spans="1:14">
      <c r="A29" s="67" t="s">
        <v>150</v>
      </c>
      <c r="B29" s="67">
        <v>24.55</v>
      </c>
      <c r="C29" s="67">
        <v>-0.32</v>
      </c>
      <c r="D29" s="67">
        <v>0.83</v>
      </c>
      <c r="E29" s="67">
        <v>8.26</v>
      </c>
      <c r="F29" s="67">
        <v>33.479999999999997</v>
      </c>
      <c r="G29" s="67"/>
      <c r="I29" s="67" t="s">
        <v>63</v>
      </c>
      <c r="J29" s="71">
        <f>J16</f>
        <v>135</v>
      </c>
      <c r="K29" s="71">
        <f t="shared" ref="K29:N29" si="10">K16</f>
        <v>1591.2</v>
      </c>
      <c r="L29" s="71">
        <f t="shared" si="10"/>
        <v>168.9</v>
      </c>
      <c r="M29" s="71">
        <f t="shared" si="10"/>
        <v>16</v>
      </c>
      <c r="N29" s="71">
        <f t="shared" si="10"/>
        <v>448.29999999999995</v>
      </c>
    </row>
    <row r="30" spans="1:14">
      <c r="I30" s="67" t="s">
        <v>64</v>
      </c>
      <c r="J30" s="29">
        <f>J27+J28-J29</f>
        <v>3510.4670000000001</v>
      </c>
      <c r="K30" s="29">
        <f t="shared" ref="K30:N30" si="11">K27+K28-K29</f>
        <v>83122.261887939996</v>
      </c>
      <c r="L30" s="29">
        <f t="shared" si="11"/>
        <v>4254.2029999999995</v>
      </c>
      <c r="M30" s="29">
        <f t="shared" si="11"/>
        <v>6025.3645200000001</v>
      </c>
      <c r="N30" s="29">
        <f t="shared" si="11"/>
        <v>4171.9515009999996</v>
      </c>
    </row>
    <row r="31" spans="1:14">
      <c r="I31" s="67" t="s">
        <v>41</v>
      </c>
      <c r="J31" s="67">
        <v>99</v>
      </c>
      <c r="K31" s="67">
        <v>6.77</v>
      </c>
      <c r="L31" s="67">
        <v>11.4</v>
      </c>
      <c r="M31" s="67">
        <v>140</v>
      </c>
      <c r="N31" s="67">
        <v>491</v>
      </c>
    </row>
    <row r="32" spans="1:14">
      <c r="I32" s="67" t="s">
        <v>42</v>
      </c>
      <c r="J32" s="71">
        <f>B29</f>
        <v>24.55</v>
      </c>
      <c r="K32" s="71">
        <f t="shared" ref="K32:N32" si="12">C29</f>
        <v>-0.32</v>
      </c>
      <c r="L32" s="71">
        <f t="shared" si="12"/>
        <v>0.83</v>
      </c>
      <c r="M32" s="71">
        <f t="shared" si="12"/>
        <v>8.26</v>
      </c>
      <c r="N32" s="71">
        <f t="shared" si="12"/>
        <v>33.479999999999997</v>
      </c>
    </row>
    <row r="33" spans="9:14">
      <c r="I33" s="67" t="s">
        <v>43</v>
      </c>
      <c r="J33" s="77">
        <f>J31*1000000/J26</f>
        <v>5.678884873515746</v>
      </c>
      <c r="K33" s="77">
        <f t="shared" ref="K33:N33" si="13">K31*1000000/K26</f>
        <v>2.026335040365462E-2</v>
      </c>
      <c r="L33" s="77">
        <f t="shared" si="13"/>
        <v>8.6432389400659615E-2</v>
      </c>
      <c r="M33" s="77">
        <f t="shared" si="13"/>
        <v>4.8612346674922433</v>
      </c>
      <c r="N33" s="77">
        <f t="shared" si="13"/>
        <v>52.41744226154681</v>
      </c>
    </row>
    <row r="34" spans="9:14">
      <c r="I34" s="67" t="s">
        <v>45</v>
      </c>
      <c r="J34" s="77">
        <f>J31/J32</f>
        <v>4.0325865580448061</v>
      </c>
      <c r="K34" s="77">
        <f t="shared" ref="K34:N34" si="14">K31/K32</f>
        <v>-21.15625</v>
      </c>
      <c r="L34" s="77">
        <f t="shared" si="14"/>
        <v>13.734939759036145</v>
      </c>
      <c r="M34" s="77">
        <f t="shared" si="14"/>
        <v>16.949152542372882</v>
      </c>
      <c r="N34" s="77">
        <f t="shared" si="14"/>
        <v>14.66547192353644</v>
      </c>
    </row>
    <row r="35" spans="9:14">
      <c r="I35" s="67" t="s">
        <v>46</v>
      </c>
      <c r="J35" s="78">
        <f>J31/J33</f>
        <v>17.433</v>
      </c>
      <c r="K35" s="78">
        <f t="shared" ref="K35:N35" si="15">K31/K33</f>
        <v>334.10072199999996</v>
      </c>
      <c r="L35" s="78">
        <f t="shared" si="15"/>
        <v>131.89500000000001</v>
      </c>
      <c r="M35" s="78">
        <f t="shared" si="15"/>
        <v>28.799267999999998</v>
      </c>
      <c r="N35" s="78">
        <f t="shared" si="15"/>
        <v>9.3671109999999995</v>
      </c>
    </row>
    <row r="36" spans="9:14">
      <c r="I36" s="67" t="s">
        <v>47</v>
      </c>
      <c r="J36" s="77">
        <f>J30/B12</f>
        <v>4.3285659679408139</v>
      </c>
      <c r="K36" s="77">
        <f t="shared" ref="K36:N36" si="16">K30/C12</f>
        <v>43.120609341095388</v>
      </c>
      <c r="L36" s="77">
        <f t="shared" si="16"/>
        <v>3.3340148902821314</v>
      </c>
      <c r="M36" s="77">
        <f t="shared" si="16"/>
        <v>6.3211965169953839</v>
      </c>
      <c r="N36" s="77">
        <f t="shared" si="16"/>
        <v>7.2229077233379488</v>
      </c>
    </row>
    <row r="37" spans="9:14">
      <c r="I37" s="67" t="s">
        <v>48</v>
      </c>
      <c r="J37" s="79">
        <f>B25/J5</f>
        <v>0.22569178606584273</v>
      </c>
      <c r="K37" s="79">
        <f t="shared" ref="K37:N37" si="17">C25/K5</f>
        <v>1.7514054994291955E-2</v>
      </c>
      <c r="L37" s="79">
        <f t="shared" si="17"/>
        <v>4.6362977798610823E-2</v>
      </c>
      <c r="M37" s="79">
        <f t="shared" si="17"/>
        <v>5.9590831406454207E-2</v>
      </c>
      <c r="N37" s="79">
        <f t="shared" si="17"/>
        <v>8.4857668578850534E-2</v>
      </c>
    </row>
    <row r="38" spans="9:14">
      <c r="I38" s="67" t="s">
        <v>49</v>
      </c>
      <c r="J38" s="79">
        <f>(B22+B20)/J9</f>
        <v>0.37152228002714321</v>
      </c>
      <c r="K38" s="79">
        <f>(C22+C20)/K9</f>
        <v>-0.10217254586775829</v>
      </c>
      <c r="L38" s="79">
        <f>(D22+D17)/L9</f>
        <v>1.8704801989669</v>
      </c>
      <c r="M38" s="79">
        <f t="shared" ref="M38:N38" si="18">(E22+E20)/M9</f>
        <v>8.828486773237762E-2</v>
      </c>
      <c r="N38" s="79">
        <f t="shared" si="18"/>
        <v>9.7239893023135085E-2</v>
      </c>
    </row>
    <row r="39" spans="9:14">
      <c r="I39" s="67" t="s">
        <v>50</v>
      </c>
      <c r="J39" s="77">
        <f>J8/J5</f>
        <v>1.0497648474242589</v>
      </c>
      <c r="K39" s="77">
        <f t="shared" ref="K39:N39" si="19">K8/K5</f>
        <v>-1.6415389982577724</v>
      </c>
      <c r="L39" s="77">
        <f t="shared" si="19"/>
        <v>1.2440874419397452</v>
      </c>
      <c r="M39" s="77">
        <f t="shared" si="19"/>
        <v>0.50504348044636571</v>
      </c>
      <c r="N39" s="77">
        <f t="shared" si="19"/>
        <v>5.6824331637623125E-3</v>
      </c>
    </row>
    <row r="40" spans="9:14">
      <c r="I40" s="67" t="s">
        <v>51</v>
      </c>
      <c r="J40" s="77">
        <f>(J8-J16)/J5</f>
        <v>0.97593787597068793</v>
      </c>
      <c r="K40" s="77">
        <f t="shared" ref="K40:N40" si="20">(K8-K16)/K5</f>
        <v>-1.6098596026605037</v>
      </c>
      <c r="L40" s="77">
        <f t="shared" si="20"/>
        <v>1.1721140324711294</v>
      </c>
      <c r="M40" s="77">
        <f t="shared" si="20"/>
        <v>0.50102216748768469</v>
      </c>
      <c r="N40" s="77">
        <f t="shared" si="20"/>
        <v>-0.11562398527979217</v>
      </c>
    </row>
    <row r="41" spans="9:14">
      <c r="I41" s="67" t="s">
        <v>151</v>
      </c>
      <c r="J41" s="67">
        <v>1.2</v>
      </c>
      <c r="K41" s="67">
        <v>0</v>
      </c>
      <c r="L41" s="67">
        <v>0</v>
      </c>
      <c r="M41" s="67">
        <v>0</v>
      </c>
      <c r="N41" s="67">
        <v>0</v>
      </c>
    </row>
    <row r="42" spans="9:14">
      <c r="I42" s="67" t="s">
        <v>52</v>
      </c>
      <c r="J42" s="71">
        <f>J41/J31</f>
        <v>1.2121212121212121E-2</v>
      </c>
      <c r="K42" s="71">
        <f t="shared" ref="K42:N42" si="21">K41/K31</f>
        <v>0</v>
      </c>
      <c r="L42" s="71">
        <f t="shared" si="21"/>
        <v>0</v>
      </c>
      <c r="M42" s="71">
        <f t="shared" si="21"/>
        <v>0</v>
      </c>
      <c r="N42" s="71">
        <f t="shared" si="21"/>
        <v>0</v>
      </c>
    </row>
    <row r="43" spans="9:14">
      <c r="I43" s="67" t="s">
        <v>53</v>
      </c>
      <c r="J43" s="80">
        <f>AVERAGE(J14:J15)/B5*365</f>
        <v>20.941960827708311</v>
      </c>
      <c r="K43" s="80">
        <f t="shared" ref="K43:N43" si="22">AVERAGE(K14:K15)/C5*365</f>
        <v>7.7727440722630927</v>
      </c>
      <c r="L43" s="80">
        <f t="shared" si="22"/>
        <v>28.657912066202783</v>
      </c>
      <c r="M43" s="80">
        <f t="shared" si="22"/>
        <v>16.345812649384079</v>
      </c>
      <c r="N43" s="80">
        <f t="shared" si="22"/>
        <v>12.552625616042599</v>
      </c>
    </row>
    <row r="44" spans="9:14">
      <c r="I44" s="67" t="s">
        <v>54</v>
      </c>
      <c r="J44" s="80">
        <f>AVERAGE(J18:J19)/B9*365</f>
        <v>64.843346434587303</v>
      </c>
      <c r="K44" s="80">
        <f t="shared" ref="K44:N44" si="23">AVERAGE(K18:K19)/C9*365</f>
        <v>71.118965410665552</v>
      </c>
      <c r="L44" s="80">
        <f t="shared" si="23"/>
        <v>60.443029853230854</v>
      </c>
      <c r="M44" s="80">
        <f t="shared" si="23"/>
        <v>57.935353132682216</v>
      </c>
      <c r="N44" s="80">
        <f t="shared" si="23"/>
        <v>20.146138472311375</v>
      </c>
    </row>
    <row r="45" spans="9:14">
      <c r="I45" s="67" t="s">
        <v>55</v>
      </c>
      <c r="J45" s="80">
        <f>AVERAGE(J12:J13)/(B9+B10)*365</f>
        <v>136.94170416317723</v>
      </c>
      <c r="K45" s="80">
        <f t="shared" ref="K45:N45" si="24">AVERAGE(K12:K13)/(C9+C10)*365</f>
        <v>39.263176497002313</v>
      </c>
      <c r="L45" s="80">
        <f t="shared" si="24"/>
        <v>38.07677553575548</v>
      </c>
      <c r="M45" s="80">
        <f t="shared" si="24"/>
        <v>42.087965745192307</v>
      </c>
      <c r="N45" s="80">
        <f t="shared" si="24"/>
        <v>34.395325496765253</v>
      </c>
    </row>
    <row r="46" spans="9:14">
      <c r="I46" s="67" t="s">
        <v>68</v>
      </c>
      <c r="J46" s="80">
        <f>J43+J45-J44</f>
        <v>93.040318556298232</v>
      </c>
      <c r="K46" s="80">
        <f t="shared" ref="K46:N46" si="25">K43+K45-K44</f>
        <v>-24.083044841400145</v>
      </c>
      <c r="L46" s="80">
        <f t="shared" si="25"/>
        <v>6.2916577487274026</v>
      </c>
      <c r="M46" s="80">
        <f t="shared" si="25"/>
        <v>0.49842526189416958</v>
      </c>
      <c r="N46" s="80">
        <f t="shared" si="25"/>
        <v>26.801812640496475</v>
      </c>
    </row>
    <row r="47" spans="9:14">
      <c r="I47" s="67" t="s">
        <v>56</v>
      </c>
      <c r="J47" s="80">
        <f>J20/B5*365</f>
        <v>46.649883810999228</v>
      </c>
      <c r="K47" s="80">
        <f t="shared" ref="K47:N47" si="26">K20/C5*365</f>
        <v>-295.49693094165394</v>
      </c>
      <c r="L47" s="80">
        <f t="shared" si="26"/>
        <v>4.1557938406831063</v>
      </c>
      <c r="M47" s="80">
        <f t="shared" si="26"/>
        <v>-7.5597076668505228</v>
      </c>
      <c r="N47" s="80">
        <f t="shared" si="26"/>
        <v>42.895201948677268</v>
      </c>
    </row>
    <row r="48" spans="9:14">
      <c r="I48" s="67" t="s">
        <v>70</v>
      </c>
      <c r="J48" s="72">
        <f>B17/J8</f>
        <v>9.6895186497186911E-2</v>
      </c>
      <c r="K48" s="72">
        <f t="shared" ref="K48:N48" si="27">C17/K8</f>
        <v>1.7246918192005981E-2</v>
      </c>
      <c r="L48" s="72">
        <f t="shared" si="27"/>
        <v>0.28672717931152597</v>
      </c>
      <c r="M48" s="72">
        <f t="shared" si="27"/>
        <v>0.13088047726088559</v>
      </c>
      <c r="N48" s="72">
        <f t="shared" si="27"/>
        <v>1.4095238095238096</v>
      </c>
    </row>
    <row r="49" spans="9:14">
      <c r="I49" s="67" t="s">
        <v>152</v>
      </c>
      <c r="J49" s="77">
        <f>J10/B5</f>
        <v>0.18462985504038951</v>
      </c>
      <c r="K49" s="77">
        <f t="shared" ref="K49:N49" si="28">K10/C5</f>
        <v>0.42166778306285724</v>
      </c>
      <c r="L49" s="77">
        <f t="shared" si="28"/>
        <v>5.2580284039774348E-2</v>
      </c>
      <c r="M49" s="77">
        <f t="shared" si="28"/>
        <v>0.56772384629527495</v>
      </c>
      <c r="N49" s="77">
        <f t="shared" si="28"/>
        <v>0.10183538208803036</v>
      </c>
    </row>
    <row r="50" spans="9:14">
      <c r="I50" s="67" t="s">
        <v>153</v>
      </c>
      <c r="J50" s="77">
        <f>(B22+B17)/B17</f>
        <v>3.7795698924731185</v>
      </c>
      <c r="K50" s="77">
        <f t="shared" ref="K50:N50" si="29">(C22+C17)/C17</f>
        <v>0.38159090205873836</v>
      </c>
      <c r="L50" s="77">
        <f t="shared" si="29"/>
        <v>1.1679608171066778</v>
      </c>
      <c r="M50" s="77">
        <f t="shared" si="29"/>
        <v>2.2513307984790871</v>
      </c>
      <c r="N50" s="77">
        <f t="shared" si="29"/>
        <v>13.192567567567568</v>
      </c>
    </row>
  </sheetData>
  <pageMargins left="0.70866141732283472" right="0.70866141732283472" top="0.74803149606299213" bottom="0.74803149606299213" header="0.31496062992125984" footer="0.31496062992125984"/>
  <pageSetup paperSize="9" scale="45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2"/>
  <sheetViews>
    <sheetView topLeftCell="A2" workbookViewId="0">
      <selection activeCell="G36" sqref="G36"/>
    </sheetView>
  </sheetViews>
  <sheetFormatPr defaultColWidth="9.109375" defaultRowHeight="14.4"/>
  <cols>
    <col min="1" max="1" width="19.44140625" customWidth="1"/>
    <col min="2" max="3" width="15.44140625" bestFit="1" customWidth="1"/>
    <col min="4" max="4" width="15.88671875" bestFit="1" customWidth="1"/>
    <col min="5" max="5" width="18.44140625" bestFit="1" customWidth="1"/>
  </cols>
  <sheetData>
    <row r="1" spans="1:10" hidden="1">
      <c r="A1" s="124" t="s">
        <v>81</v>
      </c>
      <c r="B1" s="125"/>
      <c r="C1" s="124"/>
      <c r="D1" s="124"/>
      <c r="E1" s="124"/>
    </row>
    <row r="2" spans="1:10">
      <c r="A2" s="126"/>
      <c r="B2" s="125" t="s">
        <v>196</v>
      </c>
      <c r="C2" s="126" t="s">
        <v>197</v>
      </c>
      <c r="D2" s="126" t="s">
        <v>198</v>
      </c>
      <c r="E2" s="126" t="s">
        <v>199</v>
      </c>
      <c r="G2" s="125" t="s">
        <v>202</v>
      </c>
      <c r="H2" s="126" t="s">
        <v>203</v>
      </c>
      <c r="I2" s="126" t="s">
        <v>204</v>
      </c>
      <c r="J2" s="126" t="s">
        <v>205</v>
      </c>
    </row>
    <row r="3" spans="1:10">
      <c r="A3" s="127" t="s">
        <v>194</v>
      </c>
      <c r="B3" s="125"/>
      <c r="C3" s="127"/>
      <c r="D3" s="127"/>
      <c r="E3" s="127"/>
    </row>
    <row r="4" spans="1:10">
      <c r="A4" s="127" t="s">
        <v>76</v>
      </c>
      <c r="B4" s="67"/>
      <c r="C4" s="128"/>
      <c r="D4" s="128"/>
      <c r="E4" s="128"/>
    </row>
    <row r="5" spans="1:10">
      <c r="A5" s="128" t="s">
        <v>118</v>
      </c>
      <c r="B5" s="129">
        <f>'Summary Sheet'!F4</f>
        <v>3778.79</v>
      </c>
      <c r="C5" s="130">
        <v>13119.3</v>
      </c>
      <c r="D5" s="130">
        <v>9531</v>
      </c>
      <c r="E5" s="130">
        <v>6389</v>
      </c>
      <c r="G5">
        <f>'Summary Sheet'!G4</f>
        <v>4344.9560000000001</v>
      </c>
      <c r="H5" s="155">
        <v>5459.58</v>
      </c>
      <c r="I5">
        <v>3299.6</v>
      </c>
      <c r="J5">
        <v>3163</v>
      </c>
    </row>
    <row r="6" spans="1:10">
      <c r="A6" s="128" t="s">
        <v>91</v>
      </c>
      <c r="B6" s="79">
        <f>'Summary Sheet'!F8</f>
        <v>4.05093073618219E-2</v>
      </c>
      <c r="C6" s="131">
        <v>0.17910000000000001</v>
      </c>
      <c r="D6" s="131">
        <v>8.8099999999999998E-2</v>
      </c>
      <c r="E6" s="131">
        <v>0.24299999999999999</v>
      </c>
    </row>
    <row r="7" spans="1:10">
      <c r="A7" s="127" t="s">
        <v>4</v>
      </c>
      <c r="B7" s="129">
        <f>'Summary Sheet'!F18</f>
        <v>675.32600000000002</v>
      </c>
      <c r="C7" s="132">
        <v>3726</v>
      </c>
      <c r="D7" s="132">
        <v>2729</v>
      </c>
      <c r="E7" s="132">
        <v>1689</v>
      </c>
      <c r="G7">
        <f>'Summary Sheet'!G18</f>
        <v>869.77700000000004</v>
      </c>
      <c r="H7" s="134">
        <v>1541</v>
      </c>
      <c r="I7">
        <v>822</v>
      </c>
      <c r="J7">
        <v>1550</v>
      </c>
    </row>
    <row r="8" spans="1:10">
      <c r="A8" s="128" t="s">
        <v>91</v>
      </c>
      <c r="B8" s="133">
        <f>'Summary Sheet'!F21</f>
        <v>-4.4934328066675522E-2</v>
      </c>
      <c r="C8" s="131"/>
      <c r="D8" s="131"/>
      <c r="E8" s="131"/>
    </row>
    <row r="9" spans="1:10">
      <c r="A9" s="127" t="s">
        <v>92</v>
      </c>
      <c r="B9" s="135">
        <f>'Summary Sheet'!F22</f>
        <v>0.17871487963078128</v>
      </c>
      <c r="C9" s="136">
        <f>C7/C5</f>
        <v>0.28400905536118543</v>
      </c>
      <c r="D9" s="136">
        <f t="shared" ref="D9:E9" si="0">D7/D5</f>
        <v>0.28632882173958663</v>
      </c>
      <c r="E9" s="136">
        <f t="shared" si="0"/>
        <v>0.26436061981530756</v>
      </c>
      <c r="G9" s="154" t="e">
        <f>#REF!</f>
        <v>#REF!</v>
      </c>
      <c r="H9" s="154">
        <v>0.28220000000000001</v>
      </c>
      <c r="I9" s="154">
        <v>0.249</v>
      </c>
      <c r="J9" s="156">
        <v>0.49</v>
      </c>
    </row>
    <row r="10" spans="1:10">
      <c r="A10" s="127" t="s">
        <v>13</v>
      </c>
      <c r="B10" s="129">
        <f>'Summary Sheet'!F32</f>
        <v>407.7</v>
      </c>
      <c r="C10" s="130">
        <v>-2457</v>
      </c>
      <c r="D10" s="130">
        <v>2723</v>
      </c>
      <c r="E10" s="130">
        <v>1474</v>
      </c>
      <c r="G10">
        <f>'Summary Sheet'!G32</f>
        <v>506.50700000000006</v>
      </c>
      <c r="H10" s="155">
        <v>4216.92</v>
      </c>
      <c r="I10">
        <v>1306.5999999999999</v>
      </c>
      <c r="J10">
        <v>1439</v>
      </c>
    </row>
    <row r="11" spans="1:10">
      <c r="A11" s="128" t="s">
        <v>91</v>
      </c>
      <c r="B11" s="133">
        <f>'Summary Sheet'!F38</f>
        <v>-9.3785280497995394E-2</v>
      </c>
      <c r="C11" s="131">
        <v>6.2E-2</v>
      </c>
      <c r="D11" s="131">
        <v>0.37909999999999999</v>
      </c>
      <c r="E11" s="131">
        <v>0.42059999999999997</v>
      </c>
    </row>
    <row r="12" spans="1:10">
      <c r="A12" s="127" t="s">
        <v>93</v>
      </c>
      <c r="B12" s="137">
        <f>'Summary Sheet'!F33</f>
        <v>0.10789167961172756</v>
      </c>
      <c r="C12" s="138">
        <f>C10/C5</f>
        <v>-0.18728133360773822</v>
      </c>
      <c r="D12" s="138">
        <f t="shared" ref="D12:E12" si="1">D10/D5</f>
        <v>0.28569929703074182</v>
      </c>
      <c r="E12" s="138">
        <f t="shared" si="1"/>
        <v>0.23070903114728439</v>
      </c>
      <c r="G12" s="154">
        <f>'Summary Sheet'!G33</f>
        <v>0.11657356254010398</v>
      </c>
      <c r="H12" s="154">
        <v>0.77239999999999998</v>
      </c>
      <c r="I12" s="154">
        <v>0.39600000000000002</v>
      </c>
      <c r="J12" s="154">
        <v>0.45490000000000003</v>
      </c>
    </row>
    <row r="13" spans="1:10" ht="15" thickBot="1">
      <c r="A13" s="128" t="s">
        <v>94</v>
      </c>
      <c r="B13" s="139">
        <f>'Summary Sheet'!F39</f>
        <v>17.88</v>
      </c>
      <c r="C13" s="140">
        <v>-19</v>
      </c>
      <c r="D13" s="140">
        <v>42</v>
      </c>
      <c r="E13" s="140">
        <v>50.24</v>
      </c>
    </row>
    <row r="14" spans="1:10">
      <c r="A14" s="128"/>
      <c r="B14" s="67"/>
      <c r="C14" s="128"/>
      <c r="D14" s="128"/>
      <c r="E14" s="128"/>
    </row>
    <row r="15" spans="1:10">
      <c r="A15" s="128"/>
      <c r="B15" s="67"/>
      <c r="C15" s="128"/>
      <c r="D15" s="128"/>
      <c r="E15" s="128"/>
    </row>
    <row r="16" spans="1:10">
      <c r="A16" s="127" t="s">
        <v>95</v>
      </c>
      <c r="B16" s="67"/>
      <c r="C16" s="128"/>
      <c r="D16" s="128"/>
      <c r="E16" s="128"/>
    </row>
    <row r="17" spans="1:7">
      <c r="A17" s="127" t="s">
        <v>96</v>
      </c>
      <c r="B17" s="141">
        <f>'Summary Sheet'!P6</f>
        <v>2282.4120000000003</v>
      </c>
      <c r="C17" s="132">
        <v>21955</v>
      </c>
      <c r="D17" s="132">
        <v>12877</v>
      </c>
      <c r="E17" s="132">
        <v>2751</v>
      </c>
      <c r="G17">
        <f>'Summary Sheet'!Q6</f>
        <v>2632.9750000000004</v>
      </c>
    </row>
    <row r="18" spans="1:7">
      <c r="A18" s="127" t="s">
        <v>65</v>
      </c>
      <c r="B18" s="67"/>
      <c r="C18" s="128"/>
      <c r="D18" s="128"/>
      <c r="E18" s="128"/>
    </row>
    <row r="19" spans="1:7">
      <c r="A19" s="128" t="s">
        <v>97</v>
      </c>
      <c r="B19" s="142">
        <f>'Summary Sheet'!P8</f>
        <v>0</v>
      </c>
      <c r="C19" s="132">
        <v>2.4</v>
      </c>
      <c r="D19" s="132">
        <v>0</v>
      </c>
      <c r="E19" s="132">
        <v>0</v>
      </c>
      <c r="G19" s="134">
        <v>0</v>
      </c>
    </row>
    <row r="20" spans="1:7">
      <c r="A20" s="128" t="s">
        <v>98</v>
      </c>
      <c r="B20" s="142">
        <f>'Summary Sheet'!P9</f>
        <v>0</v>
      </c>
      <c r="C20" s="132">
        <v>0</v>
      </c>
      <c r="D20" s="132">
        <v>0</v>
      </c>
      <c r="E20" s="132">
        <v>0</v>
      </c>
      <c r="G20" s="134">
        <v>0</v>
      </c>
    </row>
    <row r="21" spans="1:7">
      <c r="A21" s="128"/>
      <c r="B21" s="67"/>
      <c r="C21" s="128"/>
      <c r="D21" s="128"/>
      <c r="E21" s="128"/>
    </row>
    <row r="22" spans="1:7">
      <c r="A22" s="128"/>
      <c r="B22" s="67"/>
      <c r="C22" s="128"/>
      <c r="D22" s="128"/>
      <c r="E22" s="128"/>
    </row>
    <row r="23" spans="1:7">
      <c r="A23" s="127" t="s">
        <v>16</v>
      </c>
      <c r="B23" s="67"/>
      <c r="C23" s="128"/>
      <c r="D23" s="128"/>
      <c r="E23" s="128"/>
    </row>
    <row r="24" spans="1:7">
      <c r="A24" s="128" t="s">
        <v>99</v>
      </c>
      <c r="B24" s="129">
        <f>'Summary Sheet'!F54</f>
        <v>701.27700000000004</v>
      </c>
      <c r="C24" s="132">
        <v>3501.7</v>
      </c>
      <c r="D24" s="132">
        <v>1529.4</v>
      </c>
      <c r="E24" s="132">
        <v>2605</v>
      </c>
      <c r="G24" s="157">
        <f>'Summary Sheet'!G48</f>
        <v>775.15300000000002</v>
      </c>
    </row>
    <row r="25" spans="1:7">
      <c r="A25" s="128" t="s">
        <v>23</v>
      </c>
      <c r="B25" s="129">
        <f>'Summary Sheet'!F56</f>
        <v>600.59</v>
      </c>
      <c r="C25" s="132">
        <v>2440.87</v>
      </c>
      <c r="D25" s="132">
        <v>1507.5</v>
      </c>
      <c r="E25" s="132">
        <v>2559</v>
      </c>
    </row>
    <row r="26" spans="1:7">
      <c r="A26" s="67"/>
      <c r="B26" s="67"/>
      <c r="C26" s="67"/>
      <c r="D26" s="67"/>
      <c r="E26" s="67"/>
    </row>
    <row r="27" spans="1:7">
      <c r="A27" s="128" t="s">
        <v>62</v>
      </c>
      <c r="B27" s="143">
        <f>'Summary Sheet'!F60</f>
        <v>6175.3201200000003</v>
      </c>
      <c r="C27" s="143">
        <v>370700</v>
      </c>
      <c r="D27" s="143">
        <v>24338</v>
      </c>
      <c r="E27" s="143">
        <v>60883</v>
      </c>
      <c r="G27">
        <f>'Summary Sheet'!G60</f>
        <v>22044.590042400003</v>
      </c>
    </row>
    <row r="28" spans="1:7">
      <c r="A28" s="128" t="s">
        <v>119</v>
      </c>
      <c r="B28">
        <v>5062.1000000000004</v>
      </c>
      <c r="C28">
        <v>244697.8</v>
      </c>
      <c r="D28">
        <v>18643.900000000001</v>
      </c>
      <c r="E28">
        <v>55749.5</v>
      </c>
      <c r="G28">
        <f>'Summary Sheet'!G63</f>
        <v>20045.705042400004</v>
      </c>
    </row>
    <row r="29" spans="1:7">
      <c r="A29" s="128"/>
      <c r="B29" s="67"/>
      <c r="C29" s="144"/>
      <c r="D29" s="128"/>
      <c r="E29" s="128"/>
    </row>
    <row r="30" spans="1:7">
      <c r="A30" s="128"/>
      <c r="B30" s="67"/>
      <c r="C30" s="128"/>
      <c r="D30" s="128"/>
      <c r="E30" s="128"/>
    </row>
    <row r="31" spans="1:7">
      <c r="A31" s="127" t="s">
        <v>100</v>
      </c>
      <c r="B31" s="67"/>
      <c r="C31" s="128"/>
      <c r="D31" s="128"/>
      <c r="E31" s="128"/>
    </row>
    <row r="32" spans="1:7">
      <c r="A32" s="128" t="s">
        <v>101</v>
      </c>
      <c r="B32" s="139">
        <f>'Summary Sheet'!P62</f>
        <v>15.100671140939598</v>
      </c>
      <c r="C32" s="145" t="s">
        <v>200</v>
      </c>
      <c r="D32" s="145">
        <v>8.94</v>
      </c>
      <c r="E32" s="145">
        <v>41.31</v>
      </c>
      <c r="G32">
        <f>'Summary Sheet'!Q62</f>
        <v>41.158614792646432</v>
      </c>
    </row>
    <row r="33" spans="1:7">
      <c r="A33" s="128" t="s">
        <v>195</v>
      </c>
      <c r="B33" s="146"/>
      <c r="C33" s="128">
        <v>0.2</v>
      </c>
      <c r="D33" s="128">
        <v>0</v>
      </c>
      <c r="E33" s="128">
        <v>0.48</v>
      </c>
    </row>
    <row r="34" spans="1:7">
      <c r="A34" s="128" t="s">
        <v>102</v>
      </c>
      <c r="B34" s="139">
        <f>'Summary Sheet'!P63</f>
        <v>2.705611484692509</v>
      </c>
      <c r="C34" s="147">
        <v>16.88</v>
      </c>
      <c r="D34" s="147">
        <v>1.89</v>
      </c>
      <c r="E34" s="147">
        <v>22.13</v>
      </c>
      <c r="G34">
        <f>'Summary Sheet'!Q63</f>
        <v>8.3725026034808518</v>
      </c>
    </row>
    <row r="35" spans="1:7">
      <c r="A35" s="128" t="s">
        <v>103</v>
      </c>
      <c r="B35" s="139">
        <f>'Summary Sheet'!P64</f>
        <v>26.115281550117686</v>
      </c>
      <c r="C35" s="145">
        <v>51.08</v>
      </c>
      <c r="D35" s="145">
        <v>4.5199999999999996</v>
      </c>
      <c r="E35" s="145">
        <v>23.46</v>
      </c>
      <c r="G35">
        <f>'Summary Sheet'!Q64</f>
        <v>7.5132856131705275</v>
      </c>
    </row>
    <row r="36" spans="1:7">
      <c r="A36" s="128"/>
      <c r="B36" s="67"/>
      <c r="C36" s="128"/>
      <c r="D36" s="128"/>
      <c r="E36" s="128"/>
    </row>
    <row r="37" spans="1:7">
      <c r="A37" s="127" t="s">
        <v>104</v>
      </c>
      <c r="B37" s="67"/>
      <c r="C37" s="128"/>
      <c r="D37" s="128"/>
      <c r="E37" s="128"/>
    </row>
    <row r="38" spans="1:7">
      <c r="A38" s="127" t="s">
        <v>105</v>
      </c>
      <c r="B38" s="67"/>
      <c r="C38" s="128"/>
      <c r="D38" s="128"/>
      <c r="E38" s="128"/>
    </row>
    <row r="39" spans="1:7">
      <c r="A39" s="128" t="s">
        <v>106</v>
      </c>
      <c r="B39" s="67"/>
      <c r="C39" s="128"/>
      <c r="D39" s="128"/>
      <c r="E39" s="128"/>
    </row>
    <row r="40" spans="1:7">
      <c r="A40" s="128" t="s">
        <v>107</v>
      </c>
      <c r="B40" s="148">
        <f>'Summary Sheet'!P60</f>
        <v>99.792598282338133</v>
      </c>
      <c r="C40" s="145">
        <v>179.57</v>
      </c>
      <c r="D40" s="145">
        <v>198.39</v>
      </c>
      <c r="E40" s="145">
        <v>95.19</v>
      </c>
    </row>
    <row r="41" spans="1:7">
      <c r="A41" s="128" t="s">
        <v>108</v>
      </c>
      <c r="B41" s="79">
        <f>'Summary Sheet'!P65</f>
        <v>7.2154083998969443E-2</v>
      </c>
      <c r="C41" s="131">
        <v>-0.108</v>
      </c>
      <c r="D41" s="131">
        <v>0.2114</v>
      </c>
      <c r="E41" s="131">
        <v>0.53580000000000005</v>
      </c>
    </row>
    <row r="42" spans="1:7">
      <c r="A42" s="128" t="s">
        <v>109</v>
      </c>
      <c r="B42" s="79">
        <f>'Summary Sheet'!P66</f>
        <v>9.644210878066499E-2</v>
      </c>
      <c r="C42" s="131">
        <v>0.19</v>
      </c>
      <c r="D42" s="131">
        <v>0.25669999999999998</v>
      </c>
      <c r="E42" s="131">
        <v>0.34210000000000002</v>
      </c>
    </row>
    <row r="43" spans="1:7">
      <c r="A43" s="128" t="s">
        <v>201</v>
      </c>
      <c r="B43" s="149"/>
      <c r="C43" s="145">
        <v>45.25</v>
      </c>
      <c r="D43" s="145">
        <v>52.01</v>
      </c>
      <c r="E43" s="145">
        <v>56.89</v>
      </c>
    </row>
    <row r="44" spans="1:7">
      <c r="A44" s="128" t="s">
        <v>111</v>
      </c>
      <c r="B44" s="149">
        <f>'Summary Sheet'!P70</f>
        <v>3.303971153184341</v>
      </c>
      <c r="C44" s="145"/>
      <c r="D44" s="145"/>
      <c r="E44" s="145"/>
    </row>
    <row r="45" spans="1:7">
      <c r="A45" s="128" t="s">
        <v>55</v>
      </c>
      <c r="B45" s="149" t="s">
        <v>200</v>
      </c>
      <c r="C45" s="145" t="s">
        <v>200</v>
      </c>
      <c r="D45" s="145" t="s">
        <v>200</v>
      </c>
      <c r="E45" s="145" t="s">
        <v>200</v>
      </c>
    </row>
    <row r="46" spans="1:7">
      <c r="A46" s="128" t="s">
        <v>112</v>
      </c>
      <c r="B46" s="149">
        <f>'[1]Including Other Income'!S63</f>
        <v>71.973852070201815</v>
      </c>
      <c r="C46" s="145"/>
      <c r="D46" s="145"/>
      <c r="E46" s="145"/>
    </row>
    <row r="47" spans="1:7">
      <c r="A47" s="128" t="s">
        <v>113</v>
      </c>
      <c r="B47" s="149">
        <f>'Summary Sheet'!P72</f>
        <v>-71.482212424048498</v>
      </c>
      <c r="C47" s="145"/>
      <c r="D47" s="145"/>
      <c r="E47" s="145"/>
    </row>
    <row r="48" spans="1:7">
      <c r="A48" s="128" t="s">
        <v>56</v>
      </c>
      <c r="B48" s="149" t="s">
        <v>200</v>
      </c>
      <c r="C48" s="145" t="s">
        <v>200</v>
      </c>
      <c r="D48" s="145" t="s">
        <v>200</v>
      </c>
      <c r="E48" s="145" t="s">
        <v>200</v>
      </c>
    </row>
    <row r="49" spans="1:5">
      <c r="A49" s="128" t="s">
        <v>114</v>
      </c>
      <c r="B49" s="149" t="str">
        <f>'Summary Sheet'!P67</f>
        <v>NA</v>
      </c>
      <c r="C49" s="145">
        <v>0</v>
      </c>
      <c r="D49" s="145">
        <v>0</v>
      </c>
      <c r="E49" s="145">
        <v>0</v>
      </c>
    </row>
    <row r="50" spans="1:5">
      <c r="A50" s="128" t="s">
        <v>115</v>
      </c>
      <c r="B50" s="150" t="str">
        <f>'Summary Sheet'!P68</f>
        <v>NA</v>
      </c>
      <c r="C50" s="145"/>
      <c r="D50" s="145"/>
      <c r="E50" s="145"/>
    </row>
    <row r="51" spans="1:5">
      <c r="A51" s="128" t="s">
        <v>116</v>
      </c>
      <c r="B51" s="149" t="s">
        <v>200</v>
      </c>
      <c r="C51" s="145">
        <v>52.38</v>
      </c>
      <c r="D51" s="145">
        <v>40.47</v>
      </c>
      <c r="E51" s="145">
        <v>65.58</v>
      </c>
    </row>
    <row r="52" spans="1:5">
      <c r="A52" s="128" t="s">
        <v>117</v>
      </c>
      <c r="B52" s="133" t="s">
        <v>200</v>
      </c>
      <c r="C52" s="131"/>
      <c r="D52" s="131"/>
      <c r="E52" s="131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1"/>
  <sheetViews>
    <sheetView zoomScale="85" zoomScaleNormal="85" workbookViewId="0">
      <selection activeCell="M19" sqref="M19"/>
    </sheetView>
  </sheetViews>
  <sheetFormatPr defaultRowHeight="14.4"/>
  <cols>
    <col min="1" max="1" width="41.109375" customWidth="1"/>
    <col min="2" max="2" width="8.88671875" customWidth="1"/>
  </cols>
  <sheetData>
    <row r="1" spans="1:10">
      <c r="A1" s="291" t="s">
        <v>76</v>
      </c>
      <c r="B1" s="292"/>
      <c r="C1" s="292"/>
      <c r="D1" s="292"/>
      <c r="E1" s="292"/>
      <c r="F1" s="292"/>
      <c r="G1" s="292"/>
      <c r="H1" s="292"/>
      <c r="I1" s="292"/>
      <c r="J1" s="292"/>
    </row>
    <row r="2" spans="1:10">
      <c r="A2" s="9" t="s">
        <v>0</v>
      </c>
      <c r="B2" s="47" t="s">
        <v>218</v>
      </c>
      <c r="C2" s="47" t="s">
        <v>219</v>
      </c>
      <c r="D2" s="48" t="s">
        <v>212</v>
      </c>
      <c r="E2" s="48" t="s">
        <v>213</v>
      </c>
      <c r="F2" s="50" t="s">
        <v>208</v>
      </c>
      <c r="G2" s="50" t="s">
        <v>214</v>
      </c>
      <c r="H2" s="179"/>
      <c r="I2" s="179" t="s">
        <v>209</v>
      </c>
      <c r="J2" s="50" t="s">
        <v>216</v>
      </c>
    </row>
    <row r="3" spans="1:10">
      <c r="A3" s="199" t="s">
        <v>1</v>
      </c>
      <c r="B3" s="200">
        <v>867.98</v>
      </c>
      <c r="C3" s="200">
        <v>932.66</v>
      </c>
      <c r="D3" s="200">
        <v>966.94</v>
      </c>
      <c r="E3" s="200">
        <v>1011.2</v>
      </c>
      <c r="F3" s="200">
        <v>1054.53</v>
      </c>
      <c r="G3" s="200">
        <v>1099.67</v>
      </c>
      <c r="H3" s="201"/>
      <c r="I3" s="201">
        <v>2154.1990000000001</v>
      </c>
      <c r="J3" s="200">
        <f>I3*2</f>
        <v>4308.3980000000001</v>
      </c>
    </row>
    <row r="4" spans="1:10">
      <c r="A4" s="197" t="s">
        <v>222</v>
      </c>
      <c r="B4" s="51"/>
      <c r="C4" s="51"/>
      <c r="D4" s="196"/>
      <c r="E4" s="196"/>
      <c r="F4" s="195">
        <f>(F3/B3-1)</f>
        <v>0.21492430701168219</v>
      </c>
      <c r="G4" s="195">
        <f>(G3/C3-1)</f>
        <v>0.17906847082538135</v>
      </c>
      <c r="H4" s="180"/>
      <c r="I4" s="180"/>
      <c r="J4" s="51"/>
    </row>
    <row r="5" spans="1:10">
      <c r="A5" s="6" t="s">
        <v>6</v>
      </c>
      <c r="B5" s="52">
        <v>50.69</v>
      </c>
      <c r="C5" s="52">
        <v>47.32</v>
      </c>
      <c r="D5" s="52">
        <v>37.1</v>
      </c>
      <c r="E5" s="52">
        <v>39.44</v>
      </c>
      <c r="F5" s="52">
        <v>42.15</v>
      </c>
      <c r="G5" s="52">
        <v>39.4</v>
      </c>
      <c r="H5" s="181"/>
      <c r="I5" s="181">
        <v>81.549000000000007</v>
      </c>
      <c r="J5" s="52">
        <f>SUM(D5:G5)</f>
        <v>158.09</v>
      </c>
    </row>
    <row r="6" spans="1:10">
      <c r="A6" s="3" t="s">
        <v>221</v>
      </c>
      <c r="B6" s="35">
        <f t="shared" ref="B6:J6" si="0">B3+B5</f>
        <v>918.67000000000007</v>
      </c>
      <c r="C6" s="35">
        <f t="shared" si="0"/>
        <v>979.98</v>
      </c>
      <c r="D6" s="35">
        <f t="shared" si="0"/>
        <v>1004.0400000000001</v>
      </c>
      <c r="E6" s="35">
        <f t="shared" si="0"/>
        <v>1050.6400000000001</v>
      </c>
      <c r="F6" s="35">
        <f t="shared" si="0"/>
        <v>1096.68</v>
      </c>
      <c r="G6" s="35">
        <f t="shared" si="0"/>
        <v>1139.0700000000002</v>
      </c>
      <c r="H6" s="198"/>
      <c r="I6" s="198">
        <f t="shared" si="0"/>
        <v>2235.748</v>
      </c>
      <c r="J6" s="35">
        <f t="shared" si="0"/>
        <v>4466.4880000000003</v>
      </c>
    </row>
    <row r="7" spans="1:10">
      <c r="A7" s="202" t="s">
        <v>2</v>
      </c>
      <c r="B7" s="196" t="e">
        <f>(B6/#REF!-1)</f>
        <v>#REF!</v>
      </c>
      <c r="C7" s="196"/>
      <c r="D7" s="196">
        <f t="shared" ref="D7" si="1">(D6/C6-1)</f>
        <v>2.4551521459621695E-2</v>
      </c>
      <c r="E7" s="196">
        <f>(E6/D6-1)</f>
        <v>4.6412493526154286E-2</v>
      </c>
      <c r="F7" s="196">
        <f>(F6/E6-1)</f>
        <v>4.3820909160130928E-2</v>
      </c>
      <c r="G7" s="196">
        <f>(G6/F6-1)</f>
        <v>3.8653025495130944E-2</v>
      </c>
      <c r="H7" s="203"/>
      <c r="I7" s="203">
        <f>(I6/G6-1)</f>
        <v>0.96278367440104629</v>
      </c>
      <c r="J7" s="196">
        <f>(J6/G6-1)</f>
        <v>2.9211707796711348</v>
      </c>
    </row>
    <row r="8" spans="1:10">
      <c r="A8" s="202" t="s">
        <v>79</v>
      </c>
      <c r="B8" s="204"/>
      <c r="C8" s="196"/>
      <c r="D8" s="196"/>
      <c r="E8" s="196">
        <f>+((E6/B6)^(1/3)-1)</f>
        <v>4.5758650253375333E-2</v>
      </c>
      <c r="F8" s="196">
        <f>+((F6/C6)^(1/3)-1)</f>
        <v>3.8215648057288609E-2</v>
      </c>
      <c r="G8" s="196">
        <f>+((G6/D6)^(1/3)-1)</f>
        <v>4.295715125073496E-2</v>
      </c>
      <c r="H8" s="203"/>
      <c r="I8" s="203">
        <f>+((I6/E6)^(1/3)-1)</f>
        <v>0.28624284885413309</v>
      </c>
      <c r="J8" s="196">
        <f>+((J6/F6)^(1/3)-1)</f>
        <v>0.59696506637978897</v>
      </c>
    </row>
    <row r="9" spans="1:10">
      <c r="A9" s="14" t="s">
        <v>3</v>
      </c>
      <c r="B9" s="29">
        <f t="shared" ref="B9" si="2">SUM(B10:B17)</f>
        <v>713.58000000000015</v>
      </c>
      <c r="C9" s="166">
        <f t="shared" ref="C9:E9" si="3">C10+C13+C16</f>
        <v>767.64</v>
      </c>
      <c r="D9" s="166">
        <f t="shared" si="3"/>
        <v>784.03</v>
      </c>
      <c r="E9" s="166">
        <f t="shared" si="3"/>
        <v>838.11</v>
      </c>
      <c r="F9" s="166">
        <f>F10+F13+F16</f>
        <v>831.97</v>
      </c>
      <c r="G9" s="166">
        <f>G10+G13+G16</f>
        <v>836.75</v>
      </c>
      <c r="H9" s="166"/>
      <c r="I9" s="166">
        <f>I10+I13+I16</f>
        <v>1668.7149999999999</v>
      </c>
      <c r="J9" s="166">
        <f>J10+J13+J16</f>
        <v>3337.43</v>
      </c>
    </row>
    <row r="10" spans="1:10">
      <c r="A10" s="205" t="s">
        <v>57</v>
      </c>
      <c r="B10" s="206">
        <v>331.04</v>
      </c>
      <c r="C10" s="206">
        <v>320.05</v>
      </c>
      <c r="D10" s="206">
        <v>301.08</v>
      </c>
      <c r="E10" s="206">
        <v>320.31</v>
      </c>
      <c r="F10" s="206">
        <v>337.87</v>
      </c>
      <c r="G10" s="207">
        <v>311.99</v>
      </c>
      <c r="H10" s="208"/>
      <c r="I10" s="208">
        <v>649.85699999999997</v>
      </c>
      <c r="J10" s="207">
        <f>I10*2</f>
        <v>1299.7139999999999</v>
      </c>
    </row>
    <row r="11" spans="1:10">
      <c r="A11" s="190" t="s">
        <v>217</v>
      </c>
      <c r="B11" s="191"/>
      <c r="C11" s="192">
        <f>C10/C3</f>
        <v>0.34315827847232649</v>
      </c>
      <c r="D11" s="192">
        <f t="shared" ref="D11:J11" si="4">D10/D3</f>
        <v>0.3113740252756117</v>
      </c>
      <c r="E11" s="192">
        <f t="shared" si="4"/>
        <v>0.31676226265822782</v>
      </c>
      <c r="F11" s="192">
        <f t="shared" si="4"/>
        <v>0.3203986610148597</v>
      </c>
      <c r="G11" s="192">
        <f t="shared" si="4"/>
        <v>0.28371238644320568</v>
      </c>
      <c r="H11" s="192"/>
      <c r="I11" s="192">
        <f t="shared" si="4"/>
        <v>0.30166990143436145</v>
      </c>
      <c r="J11" s="192">
        <f t="shared" si="4"/>
        <v>0.30166990143436145</v>
      </c>
    </row>
    <row r="12" spans="1:10">
      <c r="A12" s="6" t="s">
        <v>2</v>
      </c>
      <c r="B12" s="53"/>
      <c r="C12" s="34"/>
      <c r="D12" s="34">
        <f t="shared" ref="D12:G12" si="5">(D10/C10-1)</f>
        <v>-5.9271988751757654E-2</v>
      </c>
      <c r="E12" s="34">
        <f t="shared" si="5"/>
        <v>6.3870067756078175E-2</v>
      </c>
      <c r="F12" s="34">
        <f t="shared" si="5"/>
        <v>5.482189129281001E-2</v>
      </c>
      <c r="G12" s="34">
        <f t="shared" si="5"/>
        <v>-7.6597507917246288E-2</v>
      </c>
      <c r="H12" s="182"/>
      <c r="I12" s="182" t="s">
        <v>200</v>
      </c>
      <c r="J12" s="34">
        <f>(J10/G10-1)</f>
        <v>3.1658835219077535</v>
      </c>
    </row>
    <row r="13" spans="1:10">
      <c r="A13" s="205" t="s">
        <v>156</v>
      </c>
      <c r="B13" s="209">
        <v>268.85000000000002</v>
      </c>
      <c r="C13" s="209">
        <v>339.58</v>
      </c>
      <c r="D13" s="210">
        <v>376.68</v>
      </c>
      <c r="E13" s="209">
        <v>387.72</v>
      </c>
      <c r="F13" s="209">
        <v>372.91</v>
      </c>
      <c r="G13" s="211">
        <v>398.98</v>
      </c>
      <c r="H13" s="212"/>
      <c r="I13" s="212">
        <v>771.88699999999994</v>
      </c>
      <c r="J13" s="211">
        <f>I13*2</f>
        <v>1543.7739999999999</v>
      </c>
    </row>
    <row r="14" spans="1:10">
      <c r="A14" s="190" t="s">
        <v>217</v>
      </c>
      <c r="B14" s="193"/>
      <c r="C14" s="192">
        <f>C13/C3</f>
        <v>0.36409838526365451</v>
      </c>
      <c r="D14" s="192">
        <f t="shared" ref="D14:J14" si="6">D13/D3</f>
        <v>0.38955881440420292</v>
      </c>
      <c r="E14" s="192">
        <f t="shared" si="6"/>
        <v>0.38342563291139242</v>
      </c>
      <c r="F14" s="192">
        <f t="shared" si="6"/>
        <v>0.3536267341848976</v>
      </c>
      <c r="G14" s="192">
        <f t="shared" si="6"/>
        <v>0.36281793628997788</v>
      </c>
      <c r="H14" s="192"/>
      <c r="I14" s="192">
        <f t="shared" si="6"/>
        <v>0.35831740707334836</v>
      </c>
      <c r="J14" s="192">
        <f t="shared" si="6"/>
        <v>0.35831740707334836</v>
      </c>
    </row>
    <row r="15" spans="1:10">
      <c r="A15" s="6" t="s">
        <v>2</v>
      </c>
      <c r="B15" s="52"/>
      <c r="C15" s="34"/>
      <c r="D15" s="34">
        <f t="shared" ref="D15:G15" si="7">(D13/C13-1)</f>
        <v>0.10925260616055144</v>
      </c>
      <c r="E15" s="34">
        <f t="shared" si="7"/>
        <v>2.9308697037273124E-2</v>
      </c>
      <c r="F15" s="34">
        <f t="shared" si="7"/>
        <v>-3.8197668420509645E-2</v>
      </c>
      <c r="G15" s="34">
        <f t="shared" si="7"/>
        <v>6.9909629669357098E-2</v>
      </c>
      <c r="H15" s="182"/>
      <c r="I15" s="182" t="s">
        <v>200</v>
      </c>
      <c r="J15" s="34" t="s">
        <v>200</v>
      </c>
    </row>
    <row r="16" spans="1:10">
      <c r="A16" s="205" t="s">
        <v>206</v>
      </c>
      <c r="B16" s="209">
        <v>113.69</v>
      </c>
      <c r="C16" s="209">
        <v>108.01</v>
      </c>
      <c r="D16" s="209">
        <v>106.27</v>
      </c>
      <c r="E16" s="209">
        <v>130.08000000000001</v>
      </c>
      <c r="F16" s="209">
        <v>121.19</v>
      </c>
      <c r="G16" s="209">
        <v>125.78</v>
      </c>
      <c r="H16" s="213"/>
      <c r="I16" s="213">
        <v>246.971</v>
      </c>
      <c r="J16" s="209">
        <f>I16*2</f>
        <v>493.94200000000001</v>
      </c>
    </row>
    <row r="17" spans="1:10">
      <c r="A17" s="6"/>
      <c r="B17" s="52"/>
      <c r="C17" s="52"/>
      <c r="D17" s="52"/>
      <c r="E17" s="52"/>
      <c r="F17" s="52"/>
      <c r="G17" s="52"/>
      <c r="H17" s="164"/>
      <c r="I17" s="8"/>
      <c r="J17" s="189"/>
    </row>
    <row r="18" spans="1:10">
      <c r="A18" s="214" t="s">
        <v>4</v>
      </c>
      <c r="B18" s="215">
        <f t="shared" ref="B18:F18" si="8">B3-B9</f>
        <v>154.39999999999986</v>
      </c>
      <c r="C18" s="215">
        <f t="shared" si="8"/>
        <v>165.01999999999998</v>
      </c>
      <c r="D18" s="215">
        <f t="shared" si="8"/>
        <v>182.91000000000008</v>
      </c>
      <c r="E18" s="215">
        <f t="shared" si="8"/>
        <v>173.09000000000003</v>
      </c>
      <c r="F18" s="215">
        <f t="shared" si="8"/>
        <v>222.55999999999995</v>
      </c>
      <c r="G18" s="215">
        <f>G3-G9</f>
        <v>262.92000000000007</v>
      </c>
      <c r="H18" s="215"/>
      <c r="I18" s="215">
        <f>I3-I9</f>
        <v>485.48400000000015</v>
      </c>
      <c r="J18" s="215">
        <f>J3-J9</f>
        <v>970.9680000000003</v>
      </c>
    </row>
    <row r="19" spans="1:10">
      <c r="A19" s="13" t="s">
        <v>2</v>
      </c>
      <c r="B19" s="34"/>
      <c r="C19" s="34">
        <f t="shared" ref="C19:D19" si="9">(C18/B18-1)</f>
        <v>6.8782383419689896E-2</v>
      </c>
      <c r="D19" s="34">
        <f t="shared" si="9"/>
        <v>0.10841110168464496</v>
      </c>
      <c r="E19" s="34">
        <f>(E18/D18-1)</f>
        <v>-5.3687605926412196E-2</v>
      </c>
      <c r="F19" s="34">
        <f>(F18/E18-1)</f>
        <v>0.28580507250563225</v>
      </c>
      <c r="G19" s="34">
        <f>(G18/F18-1)</f>
        <v>0.18134435657800196</v>
      </c>
      <c r="H19" s="196"/>
      <c r="I19" s="196"/>
      <c r="J19" s="196"/>
    </row>
    <row r="20" spans="1:10">
      <c r="A20" s="13"/>
      <c r="B20" s="34"/>
      <c r="C20" s="34"/>
      <c r="D20" s="34"/>
      <c r="E20" s="34"/>
      <c r="F20" s="34"/>
      <c r="G20" s="34"/>
      <c r="H20" s="203"/>
      <c r="I20" s="203"/>
      <c r="J20" s="196"/>
    </row>
    <row r="21" spans="1:10">
      <c r="A21" s="13" t="s">
        <v>79</v>
      </c>
      <c r="B21" s="34"/>
      <c r="C21" s="34"/>
      <c r="D21" s="34"/>
      <c r="E21" s="34">
        <f>+((E18/B18)^(1/3)-1)</f>
        <v>3.8823009823127919E-2</v>
      </c>
      <c r="F21" s="34">
        <f>+((F18/C18)^(1/3)-1)</f>
        <v>0.10485048320699164</v>
      </c>
      <c r="G21" s="34">
        <f>+((G18/D18)^(1/3)-1)</f>
        <v>0.12857057971846086</v>
      </c>
      <c r="H21" s="203"/>
      <c r="I21" s="218" t="s">
        <v>200</v>
      </c>
      <c r="J21" s="219"/>
    </row>
    <row r="22" spans="1:10">
      <c r="A22" s="214" t="s">
        <v>5</v>
      </c>
      <c r="B22" s="216">
        <f>(B18/B3)</f>
        <v>0.17788428304799633</v>
      </c>
      <c r="C22" s="216">
        <f>(C18/C3)</f>
        <v>0.17693478866896831</v>
      </c>
      <c r="D22" s="216">
        <f>(D18/D3)</f>
        <v>0.18916375369723051</v>
      </c>
      <c r="E22" s="216">
        <f>(E18/E3)</f>
        <v>0.17117286392405065</v>
      </c>
      <c r="F22" s="216">
        <f>(F18/F3)</f>
        <v>0.21105136885626768</v>
      </c>
      <c r="G22" s="216">
        <f>G18/G3</f>
        <v>0.23908990879081912</v>
      </c>
      <c r="H22" s="217"/>
      <c r="I22" s="217">
        <f>I18/I3</f>
        <v>0.2253663658742763</v>
      </c>
      <c r="J22" s="217">
        <f>J18/J3</f>
        <v>0.2253663658742763</v>
      </c>
    </row>
    <row r="23" spans="1:10">
      <c r="A23" s="14"/>
      <c r="B23" s="16"/>
      <c r="C23" s="16"/>
      <c r="D23" s="16"/>
      <c r="E23" s="16"/>
      <c r="F23" s="16"/>
      <c r="G23" s="16"/>
      <c r="H23" s="184"/>
      <c r="I23" s="184"/>
      <c r="J23" s="16"/>
    </row>
    <row r="24" spans="1:10">
      <c r="A24" s="6" t="s">
        <v>7</v>
      </c>
      <c r="B24" s="52">
        <v>67.87</v>
      </c>
      <c r="C24" s="52">
        <v>63.81</v>
      </c>
      <c r="D24" s="52">
        <v>62.75</v>
      </c>
      <c r="E24" s="52">
        <v>64.88</v>
      </c>
      <c r="F24" s="52">
        <v>64.06</v>
      </c>
      <c r="G24" s="52">
        <v>66.58</v>
      </c>
      <c r="H24" s="181"/>
      <c r="I24" s="181">
        <v>130.643</v>
      </c>
      <c r="J24" s="52">
        <f>G24*1.02</f>
        <v>67.911599999999993</v>
      </c>
    </row>
    <row r="25" spans="1:10">
      <c r="A25" s="6" t="s">
        <v>8</v>
      </c>
      <c r="B25" s="52">
        <v>12.38</v>
      </c>
      <c r="C25" s="52">
        <v>11.47</v>
      </c>
      <c r="D25" s="52">
        <v>12.07</v>
      </c>
      <c r="E25" s="52">
        <v>12.34</v>
      </c>
      <c r="F25" s="52">
        <v>12.1</v>
      </c>
      <c r="G25" s="52">
        <v>13.75</v>
      </c>
      <c r="H25" s="181"/>
      <c r="I25" s="181">
        <v>25.847999999999999</v>
      </c>
      <c r="J25" s="52">
        <f>I25*2</f>
        <v>51.695999999999998</v>
      </c>
    </row>
    <row r="26" spans="1:10">
      <c r="A26" s="6" t="s">
        <v>180</v>
      </c>
      <c r="B26" s="52"/>
      <c r="C26" s="52"/>
      <c r="D26" s="52"/>
      <c r="E26" s="52"/>
      <c r="F26" s="52"/>
      <c r="G26" s="52"/>
      <c r="H26" s="181"/>
      <c r="I26" s="181"/>
      <c r="J26" s="52"/>
    </row>
    <row r="27" spans="1:10">
      <c r="A27" s="6" t="s">
        <v>220</v>
      </c>
      <c r="B27" s="52">
        <v>-2.25</v>
      </c>
      <c r="C27" s="52">
        <v>-2.65</v>
      </c>
      <c r="D27" s="52"/>
      <c r="E27" s="52"/>
      <c r="F27" s="52"/>
      <c r="G27" s="52"/>
      <c r="H27" s="181"/>
      <c r="I27" s="181"/>
      <c r="J27" s="52"/>
    </row>
    <row r="28" spans="1:10">
      <c r="A28" s="6" t="s">
        <v>9</v>
      </c>
      <c r="B28" s="27"/>
      <c r="C28" s="27"/>
      <c r="D28" s="28"/>
      <c r="E28" s="26">
        <v>0</v>
      </c>
      <c r="F28" s="26">
        <v>0</v>
      </c>
      <c r="G28" s="28"/>
      <c r="H28" s="66"/>
      <c r="I28" s="66"/>
      <c r="J28" s="28"/>
    </row>
    <row r="29" spans="1:10">
      <c r="A29" s="14" t="s">
        <v>10</v>
      </c>
      <c r="B29" s="167">
        <f>B18-B24-B25+B5+B27</f>
        <v>122.58999999999986</v>
      </c>
      <c r="C29" s="167">
        <f>C18-C24-C25+C5+C27</f>
        <v>134.40999999999997</v>
      </c>
      <c r="D29" s="167">
        <f t="shared" ref="D29:F29" si="10">D18-D24-D25+D5</f>
        <v>145.19000000000008</v>
      </c>
      <c r="E29" s="167">
        <f t="shared" si="10"/>
        <v>135.31000000000003</v>
      </c>
      <c r="F29" s="167">
        <f t="shared" si="10"/>
        <v>188.54999999999995</v>
      </c>
      <c r="G29" s="167">
        <f>G18-G24-G25+G5</f>
        <v>221.99000000000009</v>
      </c>
      <c r="H29" s="167"/>
      <c r="I29" s="167">
        <f>I18-I24-I25+I5</f>
        <v>410.54200000000014</v>
      </c>
      <c r="J29" s="167">
        <f>J18-J24-J25+J5</f>
        <v>1009.4504000000003</v>
      </c>
    </row>
    <row r="30" spans="1:10">
      <c r="A30" s="6" t="s">
        <v>11</v>
      </c>
      <c r="B30" s="27"/>
      <c r="C30" s="27">
        <v>31.78</v>
      </c>
      <c r="D30" s="28">
        <v>34.04</v>
      </c>
      <c r="E30" s="28">
        <v>34.090000000000003</v>
      </c>
      <c r="F30" s="28">
        <v>47.63</v>
      </c>
      <c r="G30" s="28">
        <v>54.28</v>
      </c>
      <c r="H30" s="66"/>
      <c r="I30" s="66">
        <f>104.304-2.388</f>
        <v>101.916</v>
      </c>
      <c r="J30" s="28">
        <f>G31*J29</f>
        <v>246.82628817514299</v>
      </c>
    </row>
    <row r="31" spans="1:10">
      <c r="A31" s="13" t="s">
        <v>12</v>
      </c>
      <c r="B31" s="34">
        <f t="shared" ref="B31:J31" si="11">(B30/B29)</f>
        <v>0</v>
      </c>
      <c r="C31" s="34">
        <f t="shared" si="11"/>
        <v>0.2364407410162935</v>
      </c>
      <c r="D31" s="34">
        <f t="shared" si="11"/>
        <v>0.23445140849920779</v>
      </c>
      <c r="E31" s="34">
        <f t="shared" si="11"/>
        <v>0.25193998965338849</v>
      </c>
      <c r="F31" s="34">
        <f t="shared" si="11"/>
        <v>0.25261203924688419</v>
      </c>
      <c r="G31" s="34">
        <f t="shared" si="11"/>
        <v>0.24451551871705923</v>
      </c>
      <c r="H31" s="182"/>
      <c r="I31" s="182">
        <f t="shared" si="11"/>
        <v>0.24824743875169888</v>
      </c>
      <c r="J31" s="182">
        <f t="shared" si="11"/>
        <v>0.24451551871705923</v>
      </c>
    </row>
    <row r="32" spans="1:10">
      <c r="A32" s="14" t="s">
        <v>13</v>
      </c>
      <c r="B32" s="30">
        <f>(B29-B30)</f>
        <v>122.58999999999986</v>
      </c>
      <c r="C32" s="30">
        <f t="shared" ref="C32:F32" si="12">(C29-C30)</f>
        <v>102.62999999999997</v>
      </c>
      <c r="D32" s="30">
        <f t="shared" si="12"/>
        <v>111.15000000000009</v>
      </c>
      <c r="E32" s="30">
        <f t="shared" si="12"/>
        <v>101.22000000000003</v>
      </c>
      <c r="F32" s="30">
        <f t="shared" si="12"/>
        <v>140.91999999999996</v>
      </c>
      <c r="G32" s="167">
        <f>G29-G30</f>
        <v>167.71000000000009</v>
      </c>
      <c r="H32" s="167"/>
      <c r="I32" s="167">
        <f>I29-I30</f>
        <v>308.62600000000015</v>
      </c>
      <c r="J32" s="167">
        <f>J29-J30</f>
        <v>762.62411182485732</v>
      </c>
    </row>
    <row r="33" spans="1:10">
      <c r="A33" s="14" t="s">
        <v>67</v>
      </c>
      <c r="B33" s="17">
        <f>B32/B6</f>
        <v>0.1334429120358778</v>
      </c>
      <c r="C33" s="17">
        <f>C32/C3</f>
        <v>0.11004010035811547</v>
      </c>
      <c r="D33" s="17">
        <f>D32/D3</f>
        <v>0.11495025544501218</v>
      </c>
      <c r="E33" s="17">
        <f>E32/E3</f>
        <v>0.10009889240506331</v>
      </c>
      <c r="F33" s="17">
        <f>F32/F3</f>
        <v>0.13363299289730968</v>
      </c>
      <c r="G33" s="185">
        <f t="shared" ref="G33" si="13">G32/G3</f>
        <v>0.15250938918039056</v>
      </c>
      <c r="H33" s="185"/>
      <c r="I33" s="185">
        <f>I32/I3</f>
        <v>0.14326717262425623</v>
      </c>
      <c r="J33" s="185">
        <f>J32/J3</f>
        <v>0.17700874242000328</v>
      </c>
    </row>
    <row r="34" spans="1:10">
      <c r="A34" s="6" t="s">
        <v>14</v>
      </c>
      <c r="B34" s="7"/>
      <c r="C34" s="7">
        <v>0</v>
      </c>
      <c r="D34" s="10">
        <v>0</v>
      </c>
      <c r="E34" s="65">
        <v>0</v>
      </c>
      <c r="F34" s="65"/>
      <c r="G34" s="65">
        <v>0</v>
      </c>
      <c r="H34" s="186"/>
      <c r="I34" s="186">
        <f>-4.713</f>
        <v>-4.7130000000000001</v>
      </c>
      <c r="J34" s="65"/>
    </row>
    <row r="35" spans="1:10">
      <c r="A35" s="6" t="s">
        <v>58</v>
      </c>
      <c r="B35" s="7"/>
      <c r="C35" s="7">
        <v>0</v>
      </c>
      <c r="D35" s="10">
        <v>0</v>
      </c>
      <c r="E35" s="65">
        <v>0</v>
      </c>
      <c r="F35" s="65">
        <f>(-6.186)+(-2.226)</f>
        <v>-8.411999999999999</v>
      </c>
      <c r="G35" s="65">
        <v>-0.11</v>
      </c>
      <c r="H35" s="186"/>
      <c r="I35" s="186">
        <f>-0.063+0.375</f>
        <v>0.312</v>
      </c>
      <c r="J35" s="65"/>
    </row>
    <row r="36" spans="1:10">
      <c r="A36" s="14" t="s">
        <v>15</v>
      </c>
      <c r="B36" s="15">
        <f t="shared" ref="B36:E36" si="14">(B32-B34+B35)</f>
        <v>122.58999999999986</v>
      </c>
      <c r="C36" s="15">
        <f t="shared" si="14"/>
        <v>102.62999999999997</v>
      </c>
      <c r="D36" s="15">
        <f t="shared" si="14"/>
        <v>111.15000000000009</v>
      </c>
      <c r="E36" s="15">
        <f t="shared" si="14"/>
        <v>101.22000000000003</v>
      </c>
      <c r="F36" s="15">
        <f>(F32+F34+F35)</f>
        <v>132.50799999999995</v>
      </c>
      <c r="G36" s="15">
        <f>G32+G35</f>
        <v>167.60000000000008</v>
      </c>
      <c r="H36" s="187"/>
      <c r="I36" s="187">
        <f>I32+I34+I35</f>
        <v>304.22500000000014</v>
      </c>
      <c r="J36" s="15"/>
    </row>
    <row r="37" spans="1:10">
      <c r="A37" s="13" t="s">
        <v>2</v>
      </c>
      <c r="B37" s="43"/>
      <c r="C37" s="43">
        <f t="shared" ref="C37" si="15">(C36/B36-1)</f>
        <v>-0.16281915327514407</v>
      </c>
      <c r="D37" s="43">
        <f>(D36/C36-1)</f>
        <v>8.3016661794798052E-2</v>
      </c>
      <c r="E37" s="43">
        <f>(E36/D36-1)</f>
        <v>-8.9338731443995067E-2</v>
      </c>
      <c r="F37" s="43">
        <f>(F36/E36-1)</f>
        <v>0.30910887176447255</v>
      </c>
      <c r="G37" s="43">
        <f>(G36/F36-1)</f>
        <v>0.26482929332568705</v>
      </c>
      <c r="H37" s="194"/>
      <c r="I37" s="183" t="s">
        <v>200</v>
      </c>
      <c r="J37" s="170"/>
    </row>
    <row r="38" spans="1:10">
      <c r="A38" s="13" t="s">
        <v>80</v>
      </c>
      <c r="B38" s="34"/>
      <c r="C38" s="34"/>
      <c r="D38" s="34"/>
      <c r="E38" s="34">
        <f>((E36/B36)^(1/3)-1)</f>
        <v>-6.1854004070289625E-2</v>
      </c>
      <c r="F38" s="34">
        <f>((F36/C36)^(1/3)-1)</f>
        <v>8.8903156433439712E-2</v>
      </c>
      <c r="G38" s="34">
        <f>((G36/D36)^(1/3)-1)</f>
        <v>0.14671329852955695</v>
      </c>
      <c r="H38" s="182"/>
      <c r="I38" s="183" t="s">
        <v>200</v>
      </c>
      <c r="J38" s="170"/>
    </row>
    <row r="39" spans="1:10">
      <c r="A39" s="3" t="s">
        <v>77</v>
      </c>
      <c r="B39" s="32">
        <v>4.0999999999999996</v>
      </c>
      <c r="C39" s="32">
        <v>4.49</v>
      </c>
      <c r="D39" s="33">
        <v>4.84</v>
      </c>
      <c r="E39" s="33">
        <v>4.43</v>
      </c>
      <c r="F39" s="33">
        <v>6.03</v>
      </c>
      <c r="G39" s="33">
        <v>7.23</v>
      </c>
      <c r="H39" s="188"/>
      <c r="I39" s="188">
        <v>13.29</v>
      </c>
      <c r="J39" s="33"/>
    </row>
    <row r="40" spans="1:10">
      <c r="A40" s="18" t="s">
        <v>2</v>
      </c>
      <c r="B40" s="34"/>
      <c r="C40" s="34"/>
      <c r="D40" s="34">
        <f>(D39/C39-1)</f>
        <v>7.795100222717144E-2</v>
      </c>
      <c r="E40" s="34">
        <f>(E39/D39-1)</f>
        <v>-8.4710743801652888E-2</v>
      </c>
      <c r="F40" s="34">
        <f>(F39/E39-1)</f>
        <v>0.36117381489842004</v>
      </c>
      <c r="G40" s="34">
        <f>(G39/F39-1)</f>
        <v>0.19900497512437809</v>
      </c>
      <c r="H40" s="182"/>
      <c r="I40" s="183" t="s">
        <v>200</v>
      </c>
      <c r="J40" s="170"/>
    </row>
    <row r="41" spans="1:10">
      <c r="A41" s="18" t="s">
        <v>79</v>
      </c>
      <c r="B41" s="19"/>
      <c r="C41" s="19"/>
      <c r="D41" s="34"/>
      <c r="E41" s="34"/>
      <c r="F41" s="34">
        <f>((F39/C39)^(1/3)-1)</f>
        <v>0.10329163063057911</v>
      </c>
      <c r="G41" s="34">
        <f>((G39/D39)^(1/3)-1)</f>
        <v>0.14313532435273091</v>
      </c>
      <c r="H41" s="182"/>
      <c r="I41" s="183" t="s">
        <v>200</v>
      </c>
      <c r="J41" s="170"/>
    </row>
  </sheetData>
  <mergeCells count="1">
    <mergeCell ref="A1:J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0"/>
  <sheetViews>
    <sheetView workbookViewId="0">
      <selection activeCell="D41" sqref="D41"/>
    </sheetView>
  </sheetViews>
  <sheetFormatPr defaultColWidth="8.88671875" defaultRowHeight="14.4"/>
  <cols>
    <col min="1" max="1" width="24.44140625" bestFit="1" customWidth="1"/>
    <col min="2" max="2" width="13.44140625" bestFit="1" customWidth="1"/>
    <col min="3" max="3" width="10.88671875" bestFit="1" customWidth="1"/>
    <col min="4" max="4" width="10.5546875" bestFit="1" customWidth="1"/>
    <col min="5" max="5" width="13.44140625" bestFit="1" customWidth="1"/>
    <col min="6" max="6" width="8.44140625" bestFit="1" customWidth="1"/>
    <col min="7" max="7" width="7.5546875" bestFit="1" customWidth="1"/>
    <col min="9" max="9" width="21.44140625" bestFit="1" customWidth="1"/>
    <col min="10" max="11" width="12" bestFit="1" customWidth="1"/>
    <col min="12" max="12" width="13.109375" bestFit="1" customWidth="1"/>
    <col min="13" max="13" width="13.44140625" bestFit="1" customWidth="1"/>
    <col min="14" max="14" width="12" bestFit="1" customWidth="1"/>
  </cols>
  <sheetData>
    <row r="1" spans="1:14">
      <c r="A1" t="s">
        <v>120</v>
      </c>
      <c r="B1" t="s">
        <v>121</v>
      </c>
    </row>
    <row r="4" spans="1:14">
      <c r="A4" s="67" t="s">
        <v>154</v>
      </c>
      <c r="B4" s="67" t="s">
        <v>122</v>
      </c>
      <c r="C4" s="67" t="s">
        <v>123</v>
      </c>
      <c r="D4" s="67" t="s">
        <v>83</v>
      </c>
      <c r="E4" s="67" t="s">
        <v>88</v>
      </c>
      <c r="F4" s="67" t="s">
        <v>85</v>
      </c>
      <c r="G4" s="67" t="s">
        <v>124</v>
      </c>
      <c r="I4" s="67" t="s">
        <v>75</v>
      </c>
      <c r="J4" s="67" t="s">
        <v>122</v>
      </c>
      <c r="K4" s="67" t="s">
        <v>123</v>
      </c>
      <c r="L4" s="67" t="s">
        <v>83</v>
      </c>
      <c r="M4" s="67" t="s">
        <v>88</v>
      </c>
      <c r="N4" s="67" t="s">
        <v>85</v>
      </c>
    </row>
    <row r="5" spans="1:14">
      <c r="A5" s="67" t="s">
        <v>183</v>
      </c>
      <c r="B5" s="68">
        <v>9037</v>
      </c>
      <c r="C5" s="123">
        <v>131753.65599999999</v>
      </c>
      <c r="D5" s="123">
        <v>56003.921999999999</v>
      </c>
      <c r="E5" s="123">
        <v>12674.31</v>
      </c>
      <c r="F5" s="123">
        <v>19229.483</v>
      </c>
      <c r="G5" s="67"/>
      <c r="I5" s="67" t="s">
        <v>126</v>
      </c>
      <c r="J5" s="67">
        <v>1828.6000000000001</v>
      </c>
      <c r="K5" s="67">
        <v>-50228.231</v>
      </c>
      <c r="L5" s="67">
        <v>2346.6999999999998</v>
      </c>
      <c r="M5" s="67">
        <v>3978.8</v>
      </c>
      <c r="N5" s="67">
        <v>3695.6</v>
      </c>
    </row>
    <row r="6" spans="1:14">
      <c r="A6" s="67" t="s">
        <v>184</v>
      </c>
      <c r="B6" s="67">
        <v>6645.5</v>
      </c>
      <c r="C6" s="67">
        <v>192804.9</v>
      </c>
      <c r="D6" s="67">
        <v>43246</v>
      </c>
      <c r="E6" s="67">
        <v>7787</v>
      </c>
      <c r="F6" s="67">
        <v>8517</v>
      </c>
      <c r="G6" s="67"/>
      <c r="I6" s="67" t="s">
        <v>31</v>
      </c>
      <c r="J6" s="67">
        <v>864.5</v>
      </c>
      <c r="K6" s="67">
        <v>160.69999999999999</v>
      </c>
      <c r="L6" s="67">
        <v>528.1</v>
      </c>
      <c r="M6" s="67">
        <v>1695.367</v>
      </c>
      <c r="N6" s="67">
        <v>0</v>
      </c>
    </row>
    <row r="7" spans="1:14">
      <c r="A7" s="71" t="s">
        <v>128</v>
      </c>
      <c r="B7" s="72">
        <f>((B5/B6)^(1/3)-1)</f>
        <v>0.10789569116632025</v>
      </c>
      <c r="C7" s="72">
        <f t="shared" ref="C7:G7" si="0">((C5/C6)^(1/3)-1)</f>
        <v>-0.11919142082181822</v>
      </c>
      <c r="D7" s="72">
        <f t="shared" si="0"/>
        <v>8.9994147341441177E-2</v>
      </c>
      <c r="E7" s="72">
        <f t="shared" si="0"/>
        <v>0.17629987318624263</v>
      </c>
      <c r="F7" s="72">
        <f t="shared" si="0"/>
        <v>0.31187861781805903</v>
      </c>
      <c r="G7" s="72" t="e">
        <f t="shared" si="0"/>
        <v>#DIV/0!</v>
      </c>
      <c r="I7" s="67" t="s">
        <v>32</v>
      </c>
      <c r="J7" s="67">
        <v>1055.1000000000001</v>
      </c>
      <c r="K7" s="67">
        <v>82290.899999999994</v>
      </c>
      <c r="L7" s="67">
        <v>2391.3999999999996</v>
      </c>
      <c r="M7" s="67">
        <v>314.10000000000002</v>
      </c>
      <c r="N7" s="67">
        <v>21</v>
      </c>
    </row>
    <row r="8" spans="1:14">
      <c r="A8" s="67"/>
      <c r="B8" s="73"/>
      <c r="C8" s="67"/>
      <c r="D8" s="67"/>
      <c r="E8" s="67"/>
      <c r="F8" s="67"/>
      <c r="G8" s="67"/>
      <c r="I8" s="71" t="s">
        <v>33</v>
      </c>
      <c r="J8" s="71">
        <f>J6+J7</f>
        <v>1919.6000000000001</v>
      </c>
      <c r="K8" s="71">
        <f t="shared" ref="K8:N8" si="1">K6+K7</f>
        <v>82451.599999999991</v>
      </c>
      <c r="L8" s="71">
        <f t="shared" si="1"/>
        <v>2919.4999999999995</v>
      </c>
      <c r="M8" s="71">
        <f t="shared" si="1"/>
        <v>2009.4670000000001</v>
      </c>
      <c r="N8" s="71">
        <f t="shared" si="1"/>
        <v>21</v>
      </c>
    </row>
    <row r="9" spans="1:14">
      <c r="A9" s="67" t="s">
        <v>129</v>
      </c>
      <c r="B9" s="74">
        <v>7124</v>
      </c>
      <c r="C9" s="67">
        <v>113243</v>
      </c>
      <c r="D9" s="67">
        <v>43251.6</v>
      </c>
      <c r="E9" s="67">
        <v>6020.4</v>
      </c>
      <c r="F9" s="67">
        <v>6854.8</v>
      </c>
      <c r="G9" s="67"/>
      <c r="I9" s="71" t="s">
        <v>34</v>
      </c>
      <c r="J9" s="71">
        <f>(J10+J11-J17-J7)</f>
        <v>1768.3999999999999</v>
      </c>
      <c r="K9" s="71">
        <f t="shared" ref="K9:N9" si="2">(K10+K11-K17-K7)</f>
        <v>-132135.29999999999</v>
      </c>
      <c r="L9" s="71">
        <f t="shared" si="2"/>
        <v>522.70000000000073</v>
      </c>
      <c r="M9" s="71">
        <f t="shared" si="2"/>
        <v>5636.3</v>
      </c>
      <c r="N9" s="71">
        <f t="shared" si="2"/>
        <v>3851.2999999999993</v>
      </c>
    </row>
    <row r="10" spans="1:14">
      <c r="A10" s="67" t="s">
        <v>130</v>
      </c>
      <c r="B10" s="67">
        <v>-78.899999999999991</v>
      </c>
      <c r="C10" s="67">
        <v>778.19999999999993</v>
      </c>
      <c r="D10" s="67">
        <v>-760.19999999999993</v>
      </c>
      <c r="E10" s="67">
        <v>-30</v>
      </c>
      <c r="F10" s="67">
        <v>70</v>
      </c>
      <c r="G10" s="67"/>
      <c r="I10" s="67" t="s">
        <v>131</v>
      </c>
      <c r="J10" s="67">
        <v>1668.5</v>
      </c>
      <c r="K10" s="67">
        <v>54181.7</v>
      </c>
      <c r="L10" s="67">
        <v>2395.4</v>
      </c>
      <c r="M10" s="67">
        <v>6175.7000000000007</v>
      </c>
      <c r="N10" s="67">
        <v>1797.7</v>
      </c>
    </row>
    <row r="11" spans="1:14">
      <c r="A11" s="67"/>
      <c r="B11" s="67"/>
      <c r="C11" s="67"/>
      <c r="D11" s="67"/>
      <c r="E11" s="67"/>
      <c r="F11" s="67"/>
      <c r="G11" s="67"/>
      <c r="I11" s="67" t="s">
        <v>132</v>
      </c>
      <c r="J11" s="67">
        <v>3934.1000000000004</v>
      </c>
      <c r="K11" s="67">
        <v>25458.899999999998</v>
      </c>
      <c r="L11" s="67">
        <v>10613.900000000001</v>
      </c>
      <c r="M11" s="67">
        <v>1516.2</v>
      </c>
      <c r="N11" s="67">
        <v>2813.8999999999996</v>
      </c>
    </row>
    <row r="12" spans="1:14">
      <c r="A12" s="71" t="s">
        <v>133</v>
      </c>
      <c r="B12" s="71">
        <f>(B22+B16+B17)</f>
        <v>632.1</v>
      </c>
      <c r="C12" s="71">
        <f t="shared" ref="C12:G12" si="3">(C22+C16+C17)</f>
        <v>79061</v>
      </c>
      <c r="D12" s="71">
        <f t="shared" si="3"/>
        <v>1328.7</v>
      </c>
      <c r="E12" s="71">
        <f t="shared" si="3"/>
        <v>1284.7</v>
      </c>
      <c r="F12" s="71">
        <f t="shared" si="3"/>
        <v>363.90000000000003</v>
      </c>
      <c r="G12" s="71">
        <f t="shared" si="3"/>
        <v>0</v>
      </c>
      <c r="I12" s="67" t="s">
        <v>134</v>
      </c>
      <c r="J12" s="67">
        <v>2662.3</v>
      </c>
      <c r="K12" s="67">
        <v>12618</v>
      </c>
      <c r="L12" s="67">
        <v>4726.8</v>
      </c>
      <c r="M12" s="67">
        <v>777.69999999999993</v>
      </c>
      <c r="N12" s="67">
        <v>653.40000000000009</v>
      </c>
    </row>
    <row r="13" spans="1:14">
      <c r="A13" s="71" t="s">
        <v>135</v>
      </c>
      <c r="B13" s="71">
        <f>(B23+B19+B20)</f>
        <v>411.6</v>
      </c>
      <c r="C13" s="71">
        <f t="shared" ref="C13:G13" si="4">(C23+C19+C20)</f>
        <v>-6164.4</v>
      </c>
      <c r="D13" s="71">
        <f t="shared" si="4"/>
        <v>949.19999999999993</v>
      </c>
      <c r="E13" s="71">
        <f t="shared" si="4"/>
        <v>587</v>
      </c>
      <c r="F13" s="71">
        <f t="shared" si="4"/>
        <v>630.19999999999993</v>
      </c>
      <c r="G13" s="71">
        <f t="shared" si="4"/>
        <v>0</v>
      </c>
      <c r="I13" s="67" t="s">
        <v>136</v>
      </c>
      <c r="J13" s="67">
        <v>2624.1000000000004</v>
      </c>
      <c r="K13" s="67">
        <v>11912.6</v>
      </c>
      <c r="L13" s="67">
        <v>4138.6000000000004</v>
      </c>
      <c r="M13" s="67">
        <v>603.80000000000007</v>
      </c>
      <c r="N13" s="67">
        <v>651.70000000000005</v>
      </c>
    </row>
    <row r="14" spans="1:14">
      <c r="A14" s="71" t="s">
        <v>128</v>
      </c>
      <c r="B14" s="72">
        <f>((B12/B13)^(1/3)-1)</f>
        <v>0.15372811165243716</v>
      </c>
      <c r="C14" s="72">
        <f t="shared" ref="C14:G14" si="5">((C12/C13)^(1/3)-1)</f>
        <v>-3.3407614896933415</v>
      </c>
      <c r="D14" s="72">
        <f t="shared" si="5"/>
        <v>0.11863843009586361</v>
      </c>
      <c r="E14" s="72">
        <f t="shared" si="5"/>
        <v>0.29833831688532597</v>
      </c>
      <c r="F14" s="72">
        <f t="shared" si="5"/>
        <v>-0.16727573684581831</v>
      </c>
      <c r="G14" s="72" t="e">
        <f t="shared" si="5"/>
        <v>#DIV/0!</v>
      </c>
      <c r="I14" s="67" t="s">
        <v>137</v>
      </c>
      <c r="J14" s="67">
        <v>616.1</v>
      </c>
      <c r="K14" s="67">
        <v>2641.1000000000004</v>
      </c>
      <c r="L14" s="67">
        <v>3382</v>
      </c>
      <c r="M14" s="67">
        <v>490.79999999999995</v>
      </c>
      <c r="N14" s="67">
        <v>585</v>
      </c>
    </row>
    <row r="15" spans="1:14">
      <c r="A15" s="67"/>
      <c r="B15" s="67"/>
      <c r="C15" s="67"/>
      <c r="D15" s="67"/>
      <c r="E15" s="67"/>
      <c r="F15" s="67"/>
      <c r="G15" s="67"/>
      <c r="I15" s="67" t="s">
        <v>138</v>
      </c>
      <c r="J15" s="67">
        <v>420.90000000000003</v>
      </c>
      <c r="K15" s="67">
        <v>2831.5</v>
      </c>
      <c r="L15" s="67">
        <v>3771.8</v>
      </c>
      <c r="M15" s="67">
        <v>483.5</v>
      </c>
      <c r="N15" s="67">
        <v>629.20000000000005</v>
      </c>
    </row>
    <row r="16" spans="1:14">
      <c r="A16" s="67" t="s">
        <v>185</v>
      </c>
      <c r="B16" s="67">
        <v>135.1</v>
      </c>
      <c r="C16" s="67">
        <v>1357.7</v>
      </c>
      <c r="D16" s="67">
        <v>226.2</v>
      </c>
      <c r="E16" s="67">
        <v>380.2</v>
      </c>
      <c r="F16" s="67">
        <v>177.2</v>
      </c>
      <c r="G16" s="67"/>
      <c r="I16" s="67" t="s">
        <v>36</v>
      </c>
      <c r="J16" s="67">
        <v>135</v>
      </c>
      <c r="K16" s="67">
        <v>1591.2</v>
      </c>
      <c r="L16" s="67">
        <v>168.9</v>
      </c>
      <c r="M16" s="67">
        <v>16</v>
      </c>
      <c r="N16" s="67">
        <v>448.29999999999995</v>
      </c>
    </row>
    <row r="17" spans="1:14">
      <c r="A17" s="67" t="s">
        <v>186</v>
      </c>
      <c r="B17" s="67">
        <v>148.1</v>
      </c>
      <c r="C17" s="67">
        <v>1123.0999999999999</v>
      </c>
      <c r="D17" s="67">
        <v>838.4</v>
      </c>
      <c r="E17" s="67">
        <v>235.5</v>
      </c>
      <c r="F17" s="67">
        <v>18.8</v>
      </c>
      <c r="G17" s="67"/>
      <c r="I17" s="67" t="s">
        <v>141</v>
      </c>
      <c r="J17" s="67">
        <v>2779.1000000000004</v>
      </c>
      <c r="K17" s="67">
        <v>129485</v>
      </c>
      <c r="L17" s="67">
        <v>10095.200000000001</v>
      </c>
      <c r="M17" s="67">
        <v>1741.5</v>
      </c>
      <c r="N17" s="67">
        <v>739.30000000000007</v>
      </c>
    </row>
    <row r="18" spans="1:14">
      <c r="A18" s="67"/>
      <c r="B18" s="67"/>
      <c r="C18" s="67"/>
      <c r="D18" s="67"/>
      <c r="E18" s="67"/>
      <c r="F18" s="67"/>
      <c r="G18" s="67"/>
      <c r="I18" s="67" t="s">
        <v>142</v>
      </c>
      <c r="J18" s="67">
        <v>1520.1</v>
      </c>
      <c r="K18" s="67">
        <v>18690</v>
      </c>
      <c r="L18" s="67">
        <v>7281.5999999999995</v>
      </c>
      <c r="M18" s="67">
        <v>946.5</v>
      </c>
      <c r="N18" s="67">
        <v>368.5</v>
      </c>
    </row>
    <row r="19" spans="1:14">
      <c r="A19" s="67" t="s">
        <v>187</v>
      </c>
      <c r="B19" s="67">
        <v>85.1</v>
      </c>
      <c r="C19" s="67">
        <v>1588.7</v>
      </c>
      <c r="D19" s="67">
        <v>207</v>
      </c>
      <c r="E19" s="67">
        <v>268.7</v>
      </c>
      <c r="F19" s="67">
        <v>203.3</v>
      </c>
      <c r="G19" s="67"/>
      <c r="I19" s="67" t="s">
        <v>144</v>
      </c>
      <c r="J19" s="67">
        <v>1011.1</v>
      </c>
      <c r="K19" s="67">
        <v>25440</v>
      </c>
      <c r="L19" s="67">
        <v>7043.0999999999995</v>
      </c>
      <c r="M19" s="67">
        <v>964.7</v>
      </c>
      <c r="N19" s="67">
        <v>388.2</v>
      </c>
    </row>
    <row r="20" spans="1:14">
      <c r="A20" s="67" t="s">
        <v>188</v>
      </c>
      <c r="B20" s="67">
        <v>213.6</v>
      </c>
      <c r="C20" s="67">
        <v>9605.9</v>
      </c>
      <c r="D20" s="67">
        <v>434.4</v>
      </c>
      <c r="E20" s="67">
        <v>175.2</v>
      </c>
      <c r="F20" s="67">
        <v>15.4</v>
      </c>
      <c r="G20" s="67"/>
      <c r="I20" s="71" t="s">
        <v>38</v>
      </c>
      <c r="J20" s="71">
        <f>J11-J17</f>
        <v>1155</v>
      </c>
      <c r="K20" s="71">
        <f t="shared" ref="K20:N20" si="6">K11-K17</f>
        <v>-104026.1</v>
      </c>
      <c r="L20" s="71">
        <f t="shared" si="6"/>
        <v>518.70000000000073</v>
      </c>
      <c r="M20" s="71">
        <f t="shared" si="6"/>
        <v>-225.29999999999995</v>
      </c>
      <c r="N20" s="71">
        <f t="shared" si="6"/>
        <v>2074.5999999999995</v>
      </c>
    </row>
    <row r="21" spans="1:14">
      <c r="A21" s="67"/>
      <c r="B21" s="67"/>
      <c r="C21" s="67"/>
      <c r="D21" s="67"/>
      <c r="E21" s="67"/>
      <c r="F21" s="67"/>
      <c r="G21" s="67"/>
    </row>
    <row r="22" spans="1:14">
      <c r="A22" s="67" t="s">
        <v>189</v>
      </c>
      <c r="B22" s="67">
        <v>348.9</v>
      </c>
      <c r="C22" s="67">
        <v>76580.2</v>
      </c>
      <c r="D22" s="67">
        <v>264.10000000000002</v>
      </c>
      <c r="E22" s="67">
        <v>669</v>
      </c>
      <c r="F22" s="67">
        <v>167.9</v>
      </c>
      <c r="G22" s="67"/>
    </row>
    <row r="23" spans="1:14">
      <c r="A23" s="67" t="s">
        <v>190</v>
      </c>
      <c r="B23" s="67">
        <v>112.9</v>
      </c>
      <c r="C23" s="67">
        <v>-17359</v>
      </c>
      <c r="D23" s="67">
        <v>307.8</v>
      </c>
      <c r="E23" s="67">
        <v>143.1</v>
      </c>
      <c r="F23" s="67">
        <v>411.5</v>
      </c>
      <c r="G23" s="67"/>
    </row>
    <row r="24" spans="1:14">
      <c r="A24" s="67"/>
      <c r="B24" s="67"/>
      <c r="C24" s="67"/>
      <c r="D24" s="67"/>
      <c r="E24" s="67"/>
      <c r="F24" s="67"/>
      <c r="G24" s="67"/>
    </row>
    <row r="25" spans="1:14">
      <c r="A25" s="67" t="s">
        <v>191</v>
      </c>
      <c r="B25" s="67">
        <v>258.5</v>
      </c>
      <c r="C25" s="67">
        <v>76720</v>
      </c>
      <c r="D25" s="67">
        <v>191.9</v>
      </c>
      <c r="E25" s="67">
        <v>497</v>
      </c>
      <c r="F25" s="67">
        <v>222.1</v>
      </c>
      <c r="G25" s="67"/>
      <c r="I25" s="67" t="s">
        <v>39</v>
      </c>
      <c r="J25" s="67"/>
      <c r="K25" s="67"/>
      <c r="L25" s="67"/>
      <c r="M25" s="67"/>
      <c r="N25" s="67"/>
    </row>
    <row r="26" spans="1:14">
      <c r="A26" s="67" t="s">
        <v>192</v>
      </c>
      <c r="B26" s="67">
        <v>97.6</v>
      </c>
      <c r="C26" s="67">
        <v>-13617.8</v>
      </c>
      <c r="D26" s="67">
        <v>200.1</v>
      </c>
      <c r="E26" s="67">
        <v>144.80000000000001</v>
      </c>
      <c r="F26" s="67">
        <v>326.8</v>
      </c>
      <c r="G26" s="67"/>
      <c r="I26" s="67" t="s">
        <v>61</v>
      </c>
      <c r="J26" s="75">
        <v>17433000</v>
      </c>
      <c r="K26" s="75">
        <v>334100722</v>
      </c>
      <c r="L26" s="76">
        <v>131895000</v>
      </c>
      <c r="M26" s="75">
        <v>28799268</v>
      </c>
      <c r="N26" s="75">
        <v>9367111</v>
      </c>
    </row>
    <row r="27" spans="1:14">
      <c r="A27" s="71" t="s">
        <v>128</v>
      </c>
      <c r="B27" s="72">
        <f>((B25/B26)^(1/3)-1)</f>
        <v>0.38357777323800768</v>
      </c>
      <c r="C27" s="72">
        <f t="shared" ref="C27:G27" si="7">((C25/C26)^(1/3)-1)</f>
        <v>-2.779373892586249</v>
      </c>
      <c r="D27" s="72">
        <f t="shared" si="7"/>
        <v>-1.3850795552576511E-2</v>
      </c>
      <c r="E27" s="72">
        <f t="shared" si="7"/>
        <v>0.50844429076307396</v>
      </c>
      <c r="F27" s="72">
        <f t="shared" si="7"/>
        <v>-0.12079765675517373</v>
      </c>
      <c r="G27" s="72" t="e">
        <f t="shared" si="7"/>
        <v>#DIV/0!</v>
      </c>
      <c r="I27" s="67" t="s">
        <v>62</v>
      </c>
      <c r="J27" s="71">
        <f>J26*J31/1000000</f>
        <v>1725.867</v>
      </c>
      <c r="K27" s="71">
        <f t="shared" ref="K27:N27" si="8">K26*K31/1000000</f>
        <v>2261.8618879400001</v>
      </c>
      <c r="L27" s="71">
        <f t="shared" si="8"/>
        <v>1503.6030000000001</v>
      </c>
      <c r="M27" s="71">
        <f t="shared" si="8"/>
        <v>4031.89752</v>
      </c>
      <c r="N27" s="71">
        <f t="shared" si="8"/>
        <v>4599.2515009999997</v>
      </c>
    </row>
    <row r="28" spans="1:14">
      <c r="A28" s="67"/>
      <c r="B28" s="67"/>
      <c r="C28" s="67"/>
      <c r="D28" s="67"/>
      <c r="E28" s="67"/>
      <c r="F28" s="67"/>
      <c r="G28" s="67"/>
      <c r="I28" s="67" t="s">
        <v>65</v>
      </c>
      <c r="J28" s="71">
        <f>J8</f>
        <v>1919.6000000000001</v>
      </c>
      <c r="K28" s="71">
        <f t="shared" ref="K28:N28" si="9">K8</f>
        <v>82451.599999999991</v>
      </c>
      <c r="L28" s="71">
        <f t="shared" si="9"/>
        <v>2919.4999999999995</v>
      </c>
      <c r="M28" s="71">
        <f t="shared" si="9"/>
        <v>2009.4670000000001</v>
      </c>
      <c r="N28" s="71">
        <f t="shared" si="9"/>
        <v>21</v>
      </c>
    </row>
    <row r="29" spans="1:14">
      <c r="A29" s="67" t="s">
        <v>193</v>
      </c>
      <c r="B29" s="67">
        <v>24.55</v>
      </c>
      <c r="C29" s="67">
        <v>-0.32</v>
      </c>
      <c r="D29" s="67">
        <v>0.83</v>
      </c>
      <c r="E29" s="67">
        <v>8.26</v>
      </c>
      <c r="F29" s="67">
        <v>33.479999999999997</v>
      </c>
      <c r="G29" s="67"/>
      <c r="I29" s="67" t="s">
        <v>63</v>
      </c>
      <c r="J29" s="71">
        <f>J16</f>
        <v>135</v>
      </c>
      <c r="K29" s="71">
        <f t="shared" ref="K29:N29" si="10">K16</f>
        <v>1591.2</v>
      </c>
      <c r="L29" s="71">
        <f t="shared" si="10"/>
        <v>168.9</v>
      </c>
      <c r="M29" s="71">
        <f t="shared" si="10"/>
        <v>16</v>
      </c>
      <c r="N29" s="71">
        <f t="shared" si="10"/>
        <v>448.29999999999995</v>
      </c>
    </row>
    <row r="30" spans="1:14">
      <c r="I30" s="67" t="s">
        <v>64</v>
      </c>
      <c r="J30" s="29">
        <f>J27+J28-J29</f>
        <v>3510.4670000000001</v>
      </c>
      <c r="K30" s="29">
        <f t="shared" ref="K30:N30" si="11">K27+K28-K29</f>
        <v>83122.261887939996</v>
      </c>
      <c r="L30" s="29">
        <f t="shared" si="11"/>
        <v>4254.2029999999995</v>
      </c>
      <c r="M30" s="29">
        <f t="shared" si="11"/>
        <v>6025.3645200000001</v>
      </c>
      <c r="N30" s="29">
        <f t="shared" si="11"/>
        <v>4171.9515009999996</v>
      </c>
    </row>
    <row r="31" spans="1:14">
      <c r="I31" s="67" t="s">
        <v>41</v>
      </c>
      <c r="J31" s="67">
        <v>99</v>
      </c>
      <c r="K31" s="67">
        <v>6.77</v>
      </c>
      <c r="L31" s="67">
        <v>11.4</v>
      </c>
      <c r="M31" s="67">
        <v>140</v>
      </c>
      <c r="N31" s="67">
        <v>491</v>
      </c>
    </row>
    <row r="32" spans="1:14">
      <c r="I32" s="67" t="s">
        <v>42</v>
      </c>
      <c r="J32" s="71">
        <f>B29</f>
        <v>24.55</v>
      </c>
      <c r="K32" s="71">
        <f t="shared" ref="K32:N32" si="12">C29</f>
        <v>-0.32</v>
      </c>
      <c r="L32" s="71">
        <f t="shared" si="12"/>
        <v>0.83</v>
      </c>
      <c r="M32" s="71">
        <f t="shared" si="12"/>
        <v>8.26</v>
      </c>
      <c r="N32" s="71">
        <f t="shared" si="12"/>
        <v>33.479999999999997</v>
      </c>
    </row>
    <row r="33" spans="9:14">
      <c r="I33" s="67" t="s">
        <v>43</v>
      </c>
      <c r="J33" s="77">
        <f>J31*1000000/J26</f>
        <v>5.678884873515746</v>
      </c>
      <c r="K33" s="77">
        <f t="shared" ref="K33:N33" si="13">K31*1000000/K26</f>
        <v>2.026335040365462E-2</v>
      </c>
      <c r="L33" s="77">
        <f t="shared" si="13"/>
        <v>8.6432389400659615E-2</v>
      </c>
      <c r="M33" s="77">
        <f t="shared" si="13"/>
        <v>4.8612346674922433</v>
      </c>
      <c r="N33" s="77">
        <f t="shared" si="13"/>
        <v>52.41744226154681</v>
      </c>
    </row>
    <row r="34" spans="9:14">
      <c r="I34" s="67" t="s">
        <v>45</v>
      </c>
      <c r="J34" s="77">
        <f>J31/J32</f>
        <v>4.0325865580448061</v>
      </c>
      <c r="K34" s="77">
        <f t="shared" ref="K34:N34" si="14">K31/K32</f>
        <v>-21.15625</v>
      </c>
      <c r="L34" s="77">
        <f t="shared" si="14"/>
        <v>13.734939759036145</v>
      </c>
      <c r="M34" s="77">
        <f t="shared" si="14"/>
        <v>16.949152542372882</v>
      </c>
      <c r="N34" s="77">
        <f t="shared" si="14"/>
        <v>14.66547192353644</v>
      </c>
    </row>
    <row r="35" spans="9:14">
      <c r="I35" s="67" t="s">
        <v>46</v>
      </c>
      <c r="J35" s="78">
        <f>J31/J33</f>
        <v>17.433</v>
      </c>
      <c r="K35" s="78">
        <f t="shared" ref="K35:N35" si="15">K31/K33</f>
        <v>334.10072199999996</v>
      </c>
      <c r="L35" s="78">
        <f t="shared" si="15"/>
        <v>131.89500000000001</v>
      </c>
      <c r="M35" s="78">
        <f t="shared" si="15"/>
        <v>28.799267999999998</v>
      </c>
      <c r="N35" s="78">
        <f t="shared" si="15"/>
        <v>9.3671109999999995</v>
      </c>
    </row>
    <row r="36" spans="9:14">
      <c r="I36" s="67" t="s">
        <v>47</v>
      </c>
      <c r="J36" s="77">
        <f>J30/B12</f>
        <v>5.553657649106154</v>
      </c>
      <c r="K36" s="77">
        <f t="shared" ref="K36:N36" si="16">K30/C12</f>
        <v>1.0513687138783976</v>
      </c>
      <c r="L36" s="77">
        <f t="shared" si="16"/>
        <v>3.2017784300444037</v>
      </c>
      <c r="M36" s="77">
        <f t="shared" si="16"/>
        <v>4.6900945901766953</v>
      </c>
      <c r="N36" s="77">
        <f t="shared" si="16"/>
        <v>11.464554825501509</v>
      </c>
    </row>
    <row r="37" spans="9:14">
      <c r="I37" s="67" t="s">
        <v>48</v>
      </c>
      <c r="J37" s="79">
        <f>B25/J5</f>
        <v>0.14136497867220824</v>
      </c>
      <c r="K37" s="79">
        <f t="shared" ref="K37:N37" si="17">C25/K5</f>
        <v>-1.5274278721860621</v>
      </c>
      <c r="L37" s="79">
        <f t="shared" si="17"/>
        <v>8.1774406613542433E-2</v>
      </c>
      <c r="M37" s="79">
        <f t="shared" si="17"/>
        <v>0.12491203377902885</v>
      </c>
      <c r="N37" s="79">
        <f t="shared" si="17"/>
        <v>6.0098495508171881E-2</v>
      </c>
    </row>
    <row r="38" spans="9:14">
      <c r="I38" s="67" t="s">
        <v>49</v>
      </c>
      <c r="J38" s="79">
        <f>(B22+B20)/J9</f>
        <v>0.31808414385885547</v>
      </c>
      <c r="K38" s="79">
        <f>(C22+C20)/K9</f>
        <v>-0.65225643715191928</v>
      </c>
      <c r="L38" s="79">
        <f>(D22+D17)/L9</f>
        <v>2.1092404821121074</v>
      </c>
      <c r="M38" s="79">
        <f t="shared" ref="M38:N38" si="18">(E22+E20)/M9</f>
        <v>0.14977911040931108</v>
      </c>
      <c r="N38" s="79">
        <f t="shared" si="18"/>
        <v>4.7594318801443679E-2</v>
      </c>
    </row>
    <row r="39" spans="9:14">
      <c r="I39" s="67" t="s">
        <v>50</v>
      </c>
      <c r="J39" s="77">
        <f>J8/J5</f>
        <v>1.0497648474242589</v>
      </c>
      <c r="K39" s="77">
        <f t="shared" ref="K39:N39" si="19">K8/K5</f>
        <v>-1.6415389982577724</v>
      </c>
      <c r="L39" s="77">
        <f t="shared" si="19"/>
        <v>1.2440874419397452</v>
      </c>
      <c r="M39" s="77">
        <f t="shared" si="19"/>
        <v>0.50504348044636571</v>
      </c>
      <c r="N39" s="77">
        <f t="shared" si="19"/>
        <v>5.6824331637623125E-3</v>
      </c>
    </row>
    <row r="40" spans="9:14">
      <c r="I40" s="67" t="s">
        <v>51</v>
      </c>
      <c r="J40" s="77">
        <f>(J8-J16)/J5</f>
        <v>0.97593787597068793</v>
      </c>
      <c r="K40" s="77">
        <f t="shared" ref="K40:N40" si="20">(K8-K16)/K5</f>
        <v>-1.6098596026605037</v>
      </c>
      <c r="L40" s="77">
        <f t="shared" si="20"/>
        <v>1.1721140324711294</v>
      </c>
      <c r="M40" s="77">
        <f t="shared" si="20"/>
        <v>0.50102216748768469</v>
      </c>
      <c r="N40" s="77">
        <f t="shared" si="20"/>
        <v>-0.11562398527979217</v>
      </c>
    </row>
    <row r="41" spans="9:14">
      <c r="I41" s="67" t="s">
        <v>151</v>
      </c>
      <c r="J41" s="67">
        <v>1.2</v>
      </c>
      <c r="K41" s="67">
        <v>0</v>
      </c>
      <c r="L41" s="67">
        <v>0</v>
      </c>
      <c r="M41" s="67">
        <v>0</v>
      </c>
      <c r="N41" s="67">
        <v>0</v>
      </c>
    </row>
    <row r="42" spans="9:14">
      <c r="I42" s="67" t="s">
        <v>52</v>
      </c>
      <c r="J42" s="71">
        <f>J41/J31</f>
        <v>1.2121212121212121E-2</v>
      </c>
      <c r="K42" s="71">
        <f t="shared" ref="K42:N42" si="21">K41/K31</f>
        <v>0</v>
      </c>
      <c r="L42" s="71">
        <f t="shared" si="21"/>
        <v>0</v>
      </c>
      <c r="M42" s="71">
        <f t="shared" si="21"/>
        <v>0</v>
      </c>
      <c r="N42" s="71">
        <f t="shared" si="21"/>
        <v>0</v>
      </c>
    </row>
    <row r="43" spans="9:14">
      <c r="I43" s="67" t="s">
        <v>53</v>
      </c>
      <c r="J43" s="80">
        <f>AVERAGE(J14:J15)/B5*365</f>
        <v>20.941960827708311</v>
      </c>
      <c r="K43" s="80">
        <f t="shared" ref="K43:N43" si="22">AVERAGE(K14:K15)/C5*365</f>
        <v>7.5804310128593331</v>
      </c>
      <c r="L43" s="80">
        <f t="shared" si="22"/>
        <v>23.312090535373578</v>
      </c>
      <c r="M43" s="80">
        <f t="shared" si="22"/>
        <v>14.029146359841286</v>
      </c>
      <c r="N43" s="80">
        <f t="shared" si="22"/>
        <v>11.523528739696227</v>
      </c>
    </row>
    <row r="44" spans="9:14">
      <c r="I44" s="67" t="s">
        <v>54</v>
      </c>
      <c r="J44" s="80">
        <f>AVERAGE(J18:J19)/B9*365</f>
        <v>64.843346434587303</v>
      </c>
      <c r="K44" s="80">
        <f t="shared" ref="K44:N44" si="23">AVERAGE(K18:K19)/C9*365</f>
        <v>71.118965410665552</v>
      </c>
      <c r="L44" s="80">
        <f t="shared" si="23"/>
        <v>60.443029853230854</v>
      </c>
      <c r="M44" s="80">
        <f t="shared" si="23"/>
        <v>57.935353132682216</v>
      </c>
      <c r="N44" s="80">
        <f t="shared" si="23"/>
        <v>20.146138472311375</v>
      </c>
    </row>
    <row r="45" spans="9:14">
      <c r="I45" s="67" t="s">
        <v>55</v>
      </c>
      <c r="J45" s="80">
        <f>AVERAGE(J12:J13)/(B9+B10)*365</f>
        <v>136.94170416317723</v>
      </c>
      <c r="K45" s="80">
        <f t="shared" ref="K45:N45" si="24">AVERAGE(K12:K13)/(C9+C10)*365</f>
        <v>39.263176497002313</v>
      </c>
      <c r="L45" s="80">
        <f t="shared" si="24"/>
        <v>38.07677553575548</v>
      </c>
      <c r="M45" s="80">
        <f t="shared" si="24"/>
        <v>42.087965745192307</v>
      </c>
      <c r="N45" s="80">
        <f t="shared" si="24"/>
        <v>34.395325496765253</v>
      </c>
    </row>
    <row r="46" spans="9:14">
      <c r="I46" s="67" t="s">
        <v>68</v>
      </c>
      <c r="J46" s="80">
        <f>J43+J45-J44</f>
        <v>93.040318556298232</v>
      </c>
      <c r="K46" s="80">
        <f t="shared" ref="K46:N46" si="25">K43+K45-K44</f>
        <v>-24.275357900803904</v>
      </c>
      <c r="L46" s="80">
        <f t="shared" si="25"/>
        <v>0.94583621789820427</v>
      </c>
      <c r="M46" s="80">
        <f t="shared" si="25"/>
        <v>-1.8182410276486252</v>
      </c>
      <c r="N46" s="80">
        <f t="shared" si="25"/>
        <v>25.772715764150103</v>
      </c>
    </row>
    <row r="47" spans="9:14">
      <c r="I47" s="67" t="s">
        <v>56</v>
      </c>
      <c r="J47" s="80">
        <f>J20/B5*365</f>
        <v>46.649883810999228</v>
      </c>
      <c r="K47" s="80">
        <f t="shared" ref="K47:N47" si="26">K20/C5*365</f>
        <v>-288.18575250769516</v>
      </c>
      <c r="L47" s="80">
        <f t="shared" si="26"/>
        <v>3.3805757389634294</v>
      </c>
      <c r="M47" s="80">
        <f t="shared" si="26"/>
        <v>-6.4882822023447417</v>
      </c>
      <c r="N47" s="80">
        <f t="shared" si="26"/>
        <v>39.378541794389363</v>
      </c>
    </row>
    <row r="48" spans="9:14">
      <c r="I48" s="67" t="s">
        <v>70</v>
      </c>
      <c r="J48" s="72">
        <f>B17/J8</f>
        <v>7.7151489893727845E-2</v>
      </c>
      <c r="K48" s="72">
        <f t="shared" ref="K48:N48" si="27">C17/K8</f>
        <v>1.3621324510379423E-2</v>
      </c>
      <c r="L48" s="72">
        <f t="shared" si="27"/>
        <v>0.28717246103784899</v>
      </c>
      <c r="M48" s="72">
        <f t="shared" si="27"/>
        <v>0.11719525625451922</v>
      </c>
      <c r="N48" s="72">
        <f t="shared" si="27"/>
        <v>0.89523809523809528</v>
      </c>
    </row>
    <row r="49" spans="9:14">
      <c r="I49" s="67" t="s">
        <v>152</v>
      </c>
      <c r="J49" s="77">
        <f>J10/B5</f>
        <v>0.18462985504038951</v>
      </c>
      <c r="K49" s="77">
        <f t="shared" ref="K49:N49" si="28">K10/C5</f>
        <v>0.41123488823718107</v>
      </c>
      <c r="L49" s="77">
        <f t="shared" si="28"/>
        <v>4.277200443211817E-2</v>
      </c>
      <c r="M49" s="77">
        <f t="shared" si="28"/>
        <v>0.48726123946786853</v>
      </c>
      <c r="N49" s="77">
        <f t="shared" si="28"/>
        <v>9.348665276128329E-2</v>
      </c>
    </row>
    <row r="50" spans="9:14">
      <c r="I50" s="67" t="s">
        <v>153</v>
      </c>
      <c r="J50" s="77">
        <f>(B22+B17)/B17</f>
        <v>3.3558406482106684</v>
      </c>
      <c r="K50" s="77">
        <f t="shared" ref="K50:N50" si="29">(C22+C17)/C17</f>
        <v>69.186448223666645</v>
      </c>
      <c r="L50" s="77">
        <f t="shared" si="29"/>
        <v>1.3150047709923665</v>
      </c>
      <c r="M50" s="77">
        <f t="shared" si="29"/>
        <v>3.8407643312101909</v>
      </c>
      <c r="N50" s="77">
        <f t="shared" si="29"/>
        <v>9.9308510638297882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 Sheet</vt:lpstr>
      <vt:lpstr>Peer Comparison</vt:lpstr>
      <vt:lpstr>Working</vt:lpstr>
      <vt:lpstr>Peer Comparison .</vt:lpstr>
      <vt:lpstr>Quarterly</vt:lpstr>
      <vt:lpstr>Workin.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Ashwini raj</cp:lastModifiedBy>
  <cp:lastPrinted>2022-08-16T10:20:19Z</cp:lastPrinted>
  <dcterms:created xsi:type="dcterms:W3CDTF">2017-09-19T08:05:47Z</dcterms:created>
  <dcterms:modified xsi:type="dcterms:W3CDTF">2024-12-01T08:55:21Z</dcterms:modified>
</cp:coreProperties>
</file>