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1570" windowHeight="9060" tabRatio="603"/>
  </bookViews>
  <sheets>
    <sheet name="Summary Sheet" sheetId="1" r:id="rId1"/>
    <sheet name="Highlights" sheetId="4" r:id="rId2"/>
    <sheet name="Peer working" sheetId="3" state="hidden" r:id="rId3"/>
    <sheet name="Peers" sheetId="2" state="hidden" r:id="rId4"/>
  </sheets>
  <definedNames>
    <definedName name="_xlnm.Print_Area" localSheetId="0">'Summary Sheet'!$A$1:$X$85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71" i="1" l="1"/>
  <c r="Z68" i="1"/>
  <c r="Z61" i="1" l="1"/>
  <c r="Z88" i="1"/>
  <c r="Y92" i="1"/>
  <c r="X92" i="1"/>
  <c r="W92" i="1"/>
  <c r="V92" i="1"/>
  <c r="U92" i="1"/>
  <c r="T92" i="1"/>
  <c r="J38" i="1"/>
  <c r="M38" i="1" s="1"/>
  <c r="I16" i="1"/>
  <c r="I17" i="1"/>
  <c r="J6" i="1"/>
  <c r="M6" i="1" s="1"/>
  <c r="L16" i="1"/>
  <c r="K17" i="1"/>
  <c r="L17" i="1"/>
  <c r="N38" i="1"/>
  <c r="L75" i="1"/>
  <c r="L74" i="1"/>
  <c r="L71" i="1"/>
  <c r="L7" i="1" l="1"/>
  <c r="L8" i="1" s="1"/>
  <c r="L26" i="1"/>
  <c r="L11" i="1"/>
  <c r="L18" i="1" s="1"/>
  <c r="N6" i="1"/>
  <c r="K26" i="1"/>
  <c r="K11" i="1"/>
  <c r="K18" i="1" s="1"/>
  <c r="K8" i="1"/>
  <c r="L21" i="1" l="1"/>
  <c r="L24" i="1"/>
  <c r="K21" i="1"/>
  <c r="K24" i="1"/>
  <c r="K32" i="1" s="1"/>
  <c r="L32" i="1" l="1"/>
  <c r="L31" i="1"/>
  <c r="K31" i="1"/>
  <c r="K33" i="1"/>
  <c r="K35" i="1"/>
  <c r="L35" i="1" l="1"/>
  <c r="L33" i="1"/>
  <c r="Z78" i="1" l="1"/>
  <c r="AA39" i="1"/>
  <c r="AA38" i="1"/>
  <c r="AA37" i="1"/>
  <c r="H54" i="1"/>
  <c r="H56" i="1" s="1"/>
  <c r="H49" i="1"/>
  <c r="Z60" i="1"/>
  <c r="Z48" i="1"/>
  <c r="Z62" i="1" s="1"/>
  <c r="Z34" i="1"/>
  <c r="Z22" i="1"/>
  <c r="Z8" i="1"/>
  <c r="Z69" i="1" s="1"/>
  <c r="Z72" i="1" s="1"/>
  <c r="J74" i="1"/>
  <c r="J34" i="1"/>
  <c r="J70" i="1"/>
  <c r="J69" i="1"/>
  <c r="J68" i="1"/>
  <c r="J71" i="1" s="1"/>
  <c r="I75" i="1"/>
  <c r="I71" i="1"/>
  <c r="Z63" i="1" l="1"/>
  <c r="Z76" i="1"/>
  <c r="Z77" i="1"/>
  <c r="Z13" i="1"/>
  <c r="Z14" i="1"/>
  <c r="I7" i="1" l="1"/>
  <c r="J30" i="1"/>
  <c r="J27" i="1"/>
  <c r="J23" i="1"/>
  <c r="J22" i="1"/>
  <c r="J16" i="1"/>
  <c r="J15" i="1"/>
  <c r="J14" i="1"/>
  <c r="J13" i="1"/>
  <c r="J12" i="1"/>
  <c r="Z81" i="1" s="1"/>
  <c r="Z79" i="1"/>
  <c r="I26" i="1"/>
  <c r="I11" i="1"/>
  <c r="I18" i="1" s="1"/>
  <c r="N18" i="1" s="1"/>
  <c r="J26" i="1" l="1"/>
  <c r="I8" i="1"/>
  <c r="N8" i="1" s="1"/>
  <c r="I24" i="1"/>
  <c r="N24" i="1" s="1"/>
  <c r="I21" i="1"/>
  <c r="N21" i="1" s="1"/>
  <c r="I32" i="1" l="1"/>
  <c r="I31" i="1"/>
  <c r="I35" i="1" l="1"/>
  <c r="N32" i="1"/>
  <c r="I33" i="1"/>
  <c r="H75" i="1" l="1"/>
  <c r="J75" i="1" s="1"/>
  <c r="G75" i="1"/>
  <c r="Z90" i="1"/>
  <c r="H62" i="1"/>
  <c r="Z87" i="1"/>
  <c r="Z89" i="1"/>
  <c r="H60" i="1"/>
  <c r="H71" i="1"/>
  <c r="H17" i="1" l="1"/>
  <c r="J17" i="1" s="1"/>
  <c r="J11" i="1" s="1"/>
  <c r="J18" i="1" s="1"/>
  <c r="M18" i="1" s="1"/>
  <c r="H63" i="1"/>
  <c r="Z91" i="1"/>
  <c r="H7" i="1"/>
  <c r="J7" i="1" s="1"/>
  <c r="J8" i="1" s="1"/>
  <c r="M8" i="1" s="1"/>
  <c r="J21" i="1" l="1"/>
  <c r="M21" i="1" s="1"/>
  <c r="J24" i="1"/>
  <c r="M24" i="1" s="1"/>
  <c r="Y68" i="1"/>
  <c r="H26" i="1"/>
  <c r="H11" i="1"/>
  <c r="H18" i="1" s="1"/>
  <c r="Z73" i="1" s="1"/>
  <c r="H8" i="1"/>
  <c r="J31" i="1" l="1"/>
  <c r="J32" i="1"/>
  <c r="H24" i="1"/>
  <c r="H32" i="1" s="1"/>
  <c r="H31" i="1"/>
  <c r="H21" i="1"/>
  <c r="G62" i="1"/>
  <c r="G60" i="1"/>
  <c r="X26" i="1"/>
  <c r="G40" i="1"/>
  <c r="Y78" i="1"/>
  <c r="Y79" i="1"/>
  <c r="Y81" i="1"/>
  <c r="G49" i="1"/>
  <c r="G50" i="1" s="1"/>
  <c r="H45" i="1" s="1"/>
  <c r="H50" i="1" s="1"/>
  <c r="Y26" i="1"/>
  <c r="Z80" i="1" s="1"/>
  <c r="Z82" i="1" s="1"/>
  <c r="X22" i="1"/>
  <c r="Y60" i="1"/>
  <c r="Y88" i="1" s="1"/>
  <c r="Y41" i="1"/>
  <c r="AA41" i="1" s="1"/>
  <c r="F34" i="1"/>
  <c r="F11" i="1"/>
  <c r="G39" i="1"/>
  <c r="G34" i="1"/>
  <c r="G26" i="1"/>
  <c r="G11" i="1"/>
  <c r="G18" i="1" s="1"/>
  <c r="G54" i="1"/>
  <c r="G56" i="1" s="1"/>
  <c r="Z94" i="1" l="1"/>
  <c r="Z92" i="1"/>
  <c r="Z93" i="1" s="1"/>
  <c r="Z75" i="1" s="1"/>
  <c r="Z74" i="1"/>
  <c r="M32" i="1"/>
  <c r="J33" i="1"/>
  <c r="J35" i="1"/>
  <c r="Y34" i="1"/>
  <c r="H35" i="1"/>
  <c r="H33" i="1"/>
  <c r="Y80" i="1"/>
  <c r="Y82" i="1" s="1"/>
  <c r="G63" i="1"/>
  <c r="Y73" i="1" s="1"/>
  <c r="G21" i="1"/>
  <c r="Y61" i="1"/>
  <c r="Z83" i="1" s="1"/>
  <c r="X60" i="1"/>
  <c r="W60" i="1"/>
  <c r="V60" i="1"/>
  <c r="U60" i="1"/>
  <c r="AO67" i="1"/>
  <c r="T60" i="1"/>
  <c r="Y90" i="1"/>
  <c r="X90" i="1"/>
  <c r="AM90" i="1" s="1"/>
  <c r="W90" i="1"/>
  <c r="AL90" i="1" s="1"/>
  <c r="V90" i="1"/>
  <c r="AK90" i="1" s="1"/>
  <c r="U90" i="1"/>
  <c r="AJ90" i="1" s="1"/>
  <c r="T90" i="1"/>
  <c r="AI90" i="1" s="1"/>
  <c r="V88" i="1" l="1"/>
  <c r="AK88" i="1" s="1"/>
  <c r="T88" i="1"/>
  <c r="AI88" i="1" s="1"/>
  <c r="X88" i="1"/>
  <c r="AM88" i="1" s="1"/>
  <c r="W88" i="1"/>
  <c r="AL88" i="1" s="1"/>
  <c r="U88" i="1"/>
  <c r="AJ88" i="1" s="1"/>
  <c r="X79" i="1"/>
  <c r="Y71" i="1"/>
  <c r="G8" i="1"/>
  <c r="Y48" i="1"/>
  <c r="Y22" i="1"/>
  <c r="Y89" i="1"/>
  <c r="X78" i="1"/>
  <c r="S68" i="1"/>
  <c r="Y8" i="1"/>
  <c r="Y69" i="1" s="1"/>
  <c r="Y87" i="1" l="1"/>
  <c r="Y91" i="1" s="1"/>
  <c r="Y62" i="1"/>
  <c r="Y14" i="1" s="1"/>
  <c r="Y76" i="1"/>
  <c r="Y77" i="1"/>
  <c r="Y63" i="1"/>
  <c r="Y13" i="1"/>
  <c r="F74" i="1"/>
  <c r="Y72" i="1" l="1"/>
  <c r="Y93" i="1"/>
  <c r="Y75" i="1" s="1"/>
  <c r="G71" i="1"/>
  <c r="F71" i="1"/>
  <c r="E71" i="1"/>
  <c r="D71" i="1"/>
  <c r="C71" i="1"/>
  <c r="B71" i="1"/>
  <c r="F75" i="1"/>
  <c r="E75" i="1"/>
  <c r="D75" i="1"/>
  <c r="C75" i="1"/>
  <c r="B75" i="1"/>
  <c r="D7" i="1" l="1"/>
  <c r="E7" i="1"/>
  <c r="E8" i="1" s="1"/>
  <c r="B7" i="1"/>
  <c r="B17" i="1"/>
  <c r="C17" i="1"/>
  <c r="C7" i="1"/>
  <c r="D17" i="1"/>
  <c r="E17" i="1"/>
  <c r="T79" i="1"/>
  <c r="U81" i="1"/>
  <c r="V81" i="1"/>
  <c r="W81" i="1"/>
  <c r="X81" i="1"/>
  <c r="T81" i="1"/>
  <c r="U22" i="1"/>
  <c r="T22" i="1"/>
  <c r="E55" i="1"/>
  <c r="W79" i="1"/>
  <c r="V79" i="1"/>
  <c r="U79" i="1"/>
  <c r="V78" i="1"/>
  <c r="W78" i="1"/>
  <c r="U78" i="1"/>
  <c r="T78" i="1"/>
  <c r="X68" i="1" l="1"/>
  <c r="W68" i="1"/>
  <c r="V68" i="1"/>
  <c r="U68" i="1"/>
  <c r="T68" i="1"/>
  <c r="X48" i="1"/>
  <c r="W48" i="1"/>
  <c r="W22" i="1"/>
  <c r="X8" i="1"/>
  <c r="X13" i="1" s="1"/>
  <c r="W8" i="1"/>
  <c r="F60" i="1"/>
  <c r="E60" i="1"/>
  <c r="F62" i="1"/>
  <c r="E62" i="1"/>
  <c r="F54" i="1"/>
  <c r="F56" i="1" s="1"/>
  <c r="E54" i="1"/>
  <c r="E56" i="1" s="1"/>
  <c r="F49" i="1"/>
  <c r="E49" i="1"/>
  <c r="E40" i="1"/>
  <c r="F40" i="1"/>
  <c r="F39" i="1"/>
  <c r="E39" i="1"/>
  <c r="F26" i="1"/>
  <c r="E26" i="1"/>
  <c r="F18" i="1"/>
  <c r="E11" i="1"/>
  <c r="E18" i="1" s="1"/>
  <c r="F8" i="1"/>
  <c r="W87" i="1" l="1"/>
  <c r="W62" i="1"/>
  <c r="W13" i="1"/>
  <c r="X87" i="1"/>
  <c r="AM87" i="1" s="1"/>
  <c r="X62" i="1"/>
  <c r="F9" i="1"/>
  <c r="G9" i="1"/>
  <c r="G19" i="1"/>
  <c r="U71" i="1"/>
  <c r="V71" i="1"/>
  <c r="T71" i="1"/>
  <c r="E21" i="1"/>
  <c r="W71" i="1"/>
  <c r="X71" i="1"/>
  <c r="AL87" i="1"/>
  <c r="F21" i="1"/>
  <c r="E24" i="1"/>
  <c r="E32" i="1" s="1"/>
  <c r="X69" i="1"/>
  <c r="F19" i="1"/>
  <c r="F24" i="1"/>
  <c r="F32" i="1" s="1"/>
  <c r="X94" i="1" s="1"/>
  <c r="AM94" i="1" s="1"/>
  <c r="W69" i="1"/>
  <c r="U48" i="1"/>
  <c r="B62" i="1"/>
  <c r="C62" i="1"/>
  <c r="D62" i="1"/>
  <c r="B49" i="1"/>
  <c r="B50" i="1" s="1"/>
  <c r="D26" i="1"/>
  <c r="D8" i="1"/>
  <c r="V26" i="1"/>
  <c r="B11" i="1"/>
  <c r="B26" i="1"/>
  <c r="C34" i="1"/>
  <c r="AJ47" i="1"/>
  <c r="AJ50" i="1" s="1"/>
  <c r="AN42" i="1"/>
  <c r="C11" i="1"/>
  <c r="C18" i="1" s="1"/>
  <c r="T26" i="1"/>
  <c r="U26" i="1"/>
  <c r="W26" i="1"/>
  <c r="X34" i="1"/>
  <c r="B8" i="1"/>
  <c r="E10" i="1" s="1"/>
  <c r="B54" i="1"/>
  <c r="B60" i="1"/>
  <c r="B61" i="1"/>
  <c r="C55" i="1"/>
  <c r="D55" i="1"/>
  <c r="F20" i="1" l="1"/>
  <c r="U87" i="1"/>
  <c r="AJ87" i="1" s="1"/>
  <c r="U62" i="1"/>
  <c r="X61" i="1"/>
  <c r="X89" i="1"/>
  <c r="W72" i="1"/>
  <c r="C21" i="1"/>
  <c r="E33" i="1"/>
  <c r="W94" i="1"/>
  <c r="AL94" i="1" s="1"/>
  <c r="E9" i="1"/>
  <c r="G10" i="1"/>
  <c r="AL92" i="1"/>
  <c r="X72" i="1"/>
  <c r="AM92" i="1"/>
  <c r="E35" i="1"/>
  <c r="E31" i="1"/>
  <c r="F33" i="1"/>
  <c r="F35" i="1"/>
  <c r="X80" i="1"/>
  <c r="X82" i="1" s="1"/>
  <c r="W34" i="1"/>
  <c r="W89" i="1" s="1"/>
  <c r="F31" i="1"/>
  <c r="V34" i="1"/>
  <c r="V89" i="1" s="1"/>
  <c r="AK89" i="1" s="1"/>
  <c r="W80" i="1"/>
  <c r="U34" i="1"/>
  <c r="U89" i="1" s="1"/>
  <c r="AJ89" i="1" s="1"/>
  <c r="V80" i="1"/>
  <c r="T34" i="1"/>
  <c r="T89" i="1" s="1"/>
  <c r="AI89" i="1" s="1"/>
  <c r="U80" i="1"/>
  <c r="T80" i="1"/>
  <c r="B18" i="1"/>
  <c r="B63" i="1"/>
  <c r="D11" i="1"/>
  <c r="V22" i="1"/>
  <c r="AI92" i="1" l="1"/>
  <c r="Y83" i="1"/>
  <c r="V82" i="1"/>
  <c r="U82" i="1"/>
  <c r="W82" i="1"/>
  <c r="AM89" i="1"/>
  <c r="X91" i="1"/>
  <c r="T82" i="1"/>
  <c r="AL89" i="1"/>
  <c r="W91" i="1"/>
  <c r="AJ92" i="1"/>
  <c r="U91" i="1"/>
  <c r="AJ91" i="1" s="1"/>
  <c r="E20" i="1"/>
  <c r="B21" i="1"/>
  <c r="T73" i="1"/>
  <c r="F36" i="1"/>
  <c r="W61" i="1"/>
  <c r="X83" i="1" s="1"/>
  <c r="C19" i="1"/>
  <c r="W14" i="1"/>
  <c r="D18" i="1"/>
  <c r="B24" i="1"/>
  <c r="G20" i="1" l="1"/>
  <c r="U93" i="1"/>
  <c r="AL91" i="1"/>
  <c r="W93" i="1"/>
  <c r="AM91" i="1"/>
  <c r="X93" i="1"/>
  <c r="D21" i="1"/>
  <c r="D24" i="1"/>
  <c r="E19" i="1"/>
  <c r="B32" i="1"/>
  <c r="B31" i="1"/>
  <c r="X12" i="1"/>
  <c r="AM93" i="1" l="1"/>
  <c r="X75" i="1"/>
  <c r="AJ93" i="1"/>
  <c r="U75" i="1"/>
  <c r="AL93" i="1"/>
  <c r="W75" i="1"/>
  <c r="AK92" i="1"/>
  <c r="B35" i="1"/>
  <c r="E37" i="1" s="1"/>
  <c r="X76" i="1"/>
  <c r="X77" i="1"/>
  <c r="X63" i="1"/>
  <c r="D32" i="1"/>
  <c r="B33" i="1"/>
  <c r="F61" i="1"/>
  <c r="F63" i="1" s="1"/>
  <c r="X73" i="1" s="1"/>
  <c r="D39" i="1"/>
  <c r="D33" i="1" l="1"/>
  <c r="X14" i="1"/>
  <c r="X74" i="1" l="1"/>
  <c r="W12" i="1" l="1"/>
  <c r="D60" i="1"/>
  <c r="C60" i="1"/>
  <c r="W77" i="1" l="1"/>
  <c r="W76" i="1"/>
  <c r="W63" i="1"/>
  <c r="E61" i="1"/>
  <c r="E63" i="1" s="1"/>
  <c r="W73" i="1" s="1"/>
  <c r="V48" i="1"/>
  <c r="V8" i="1"/>
  <c r="V94" i="1" s="1"/>
  <c r="AK94" i="1" s="1"/>
  <c r="V87" i="1" l="1"/>
  <c r="AK87" i="1" s="1"/>
  <c r="V62" i="1"/>
  <c r="V14" i="1" s="1"/>
  <c r="V76" i="1"/>
  <c r="V13" i="1"/>
  <c r="V77" i="1"/>
  <c r="V69" i="1"/>
  <c r="D61" i="1"/>
  <c r="V63" i="1"/>
  <c r="V61" i="1"/>
  <c r="W83" i="1" s="1"/>
  <c r="D54" i="1"/>
  <c r="D56" i="1" s="1"/>
  <c r="D49" i="1"/>
  <c r="V91" i="1" l="1"/>
  <c r="AK91" i="1" s="1"/>
  <c r="V72" i="1"/>
  <c r="C39" i="1"/>
  <c r="V93" i="1" l="1"/>
  <c r="K18" i="3"/>
  <c r="K17" i="3"/>
  <c r="K16" i="3"/>
  <c r="K14" i="3"/>
  <c r="K12" i="3"/>
  <c r="K11" i="3"/>
  <c r="K10" i="3"/>
  <c r="K9" i="3"/>
  <c r="K5" i="3"/>
  <c r="M20" i="3"/>
  <c r="L20" i="3"/>
  <c r="J20" i="3"/>
  <c r="J18" i="3"/>
  <c r="J8" i="3"/>
  <c r="Q79" i="1"/>
  <c r="I16" i="3"/>
  <c r="I14" i="3"/>
  <c r="I12" i="3"/>
  <c r="AK93" i="1" l="1"/>
  <c r="V75" i="1"/>
  <c r="K20" i="3"/>
  <c r="I6" i="3"/>
  <c r="I7" i="3"/>
  <c r="D25" i="3"/>
  <c r="D24" i="3"/>
  <c r="D26" i="3" s="1"/>
  <c r="D21" i="3"/>
  <c r="D22" i="3"/>
  <c r="D19" i="3"/>
  <c r="D18" i="3"/>
  <c r="D16" i="3"/>
  <c r="D15" i="3"/>
  <c r="D12" i="3"/>
  <c r="D9" i="3"/>
  <c r="D6" i="3"/>
  <c r="D5" i="3"/>
  <c r="D11" i="3" s="1"/>
  <c r="I8" i="3" l="1"/>
  <c r="C26" i="3"/>
  <c r="C11" i="3"/>
  <c r="B28" i="3" l="1"/>
  <c r="B19" i="3"/>
  <c r="B18" i="3"/>
  <c r="B16" i="3"/>
  <c r="B15" i="3"/>
  <c r="F13" i="3"/>
  <c r="E13" i="3"/>
  <c r="D13" i="3"/>
  <c r="C13" i="3"/>
  <c r="B6" i="3"/>
  <c r="B5" i="3"/>
  <c r="F7" i="3"/>
  <c r="E7" i="3"/>
  <c r="D7" i="3"/>
  <c r="C7" i="3"/>
  <c r="P48" i="1"/>
  <c r="P60" i="1"/>
  <c r="P62" i="1" l="1"/>
  <c r="B7" i="3"/>
  <c r="P61" i="1" l="1"/>
  <c r="P22" i="1"/>
  <c r="P34" i="1"/>
  <c r="P12" i="1"/>
  <c r="P8" i="1"/>
  <c r="P13" i="1" s="1"/>
  <c r="P14" i="1" l="1"/>
  <c r="P63" i="1"/>
  <c r="S79" i="1" l="1"/>
  <c r="R79" i="1"/>
  <c r="C54" i="1"/>
  <c r="C56" i="1" s="1"/>
  <c r="C49" i="1" l="1"/>
  <c r="R68" i="1"/>
  <c r="Q68" i="1"/>
  <c r="S34" i="1"/>
  <c r="R34" i="1"/>
  <c r="Q34" i="1"/>
  <c r="S22" i="1"/>
  <c r="R22" i="1"/>
  <c r="Q22" i="1"/>
  <c r="C61" i="1"/>
  <c r="S12" i="1"/>
  <c r="R12" i="1"/>
  <c r="Q12" i="1"/>
  <c r="U8" i="1"/>
  <c r="T8" i="1"/>
  <c r="T94" i="1" s="1"/>
  <c r="AI94" i="1" s="1"/>
  <c r="S8" i="1"/>
  <c r="R8" i="1"/>
  <c r="Q8" i="1"/>
  <c r="U13" i="1" l="1"/>
  <c r="I9" i="3" s="1"/>
  <c r="U77" i="1"/>
  <c r="U69" i="1"/>
  <c r="U76" i="1"/>
  <c r="T13" i="1"/>
  <c r="T76" i="1"/>
  <c r="T69" i="1"/>
  <c r="T77" i="1"/>
  <c r="T74" i="1"/>
  <c r="Q84" i="1"/>
  <c r="R84" i="1"/>
  <c r="S84" i="1"/>
  <c r="I5" i="3"/>
  <c r="D63" i="1"/>
  <c r="V73" i="1" s="1"/>
  <c r="S13" i="1"/>
  <c r="S69" i="1"/>
  <c r="S72" i="1" s="1"/>
  <c r="Q76" i="1"/>
  <c r="Q77" i="1"/>
  <c r="C63" i="1"/>
  <c r="U73" i="1" s="1"/>
  <c r="Q71" i="1"/>
  <c r="Q78" i="1"/>
  <c r="R77" i="1"/>
  <c r="R76" i="1"/>
  <c r="R71" i="1"/>
  <c r="R78" i="1"/>
  <c r="R13" i="1"/>
  <c r="R69" i="1"/>
  <c r="R72" i="1" s="1"/>
  <c r="Q13" i="1"/>
  <c r="Q69" i="1"/>
  <c r="Q72" i="1" s="1"/>
  <c r="S77" i="1"/>
  <c r="S76" i="1"/>
  <c r="S71" i="1"/>
  <c r="S78" i="1"/>
  <c r="Q63" i="1"/>
  <c r="R63" i="1"/>
  <c r="S63" i="1"/>
  <c r="C50" i="1"/>
  <c r="S60" i="1"/>
  <c r="S61" i="1" s="1"/>
  <c r="R60" i="1"/>
  <c r="R61" i="1" s="1"/>
  <c r="R48" i="1"/>
  <c r="Q60" i="1"/>
  <c r="Q61" i="1" s="1"/>
  <c r="Q48" i="1"/>
  <c r="S48" i="1"/>
  <c r="I10" i="3"/>
  <c r="T48" i="1"/>
  <c r="T87" i="1" l="1"/>
  <c r="T62" i="1"/>
  <c r="T14" i="1" s="1"/>
  <c r="AI87" i="1"/>
  <c r="T91" i="1"/>
  <c r="U72" i="1"/>
  <c r="T72" i="1"/>
  <c r="D45" i="1"/>
  <c r="D50" i="1" s="1"/>
  <c r="E45" i="1" s="1"/>
  <c r="E50" i="1" s="1"/>
  <c r="F50" i="1" s="1"/>
  <c r="I11" i="3"/>
  <c r="U61" i="1"/>
  <c r="V83" i="1" s="1"/>
  <c r="I18" i="3"/>
  <c r="T63" i="1"/>
  <c r="S62" i="1"/>
  <c r="Q62" i="1"/>
  <c r="R62" i="1"/>
  <c r="T93" i="1" l="1"/>
  <c r="AI91" i="1"/>
  <c r="U63" i="1"/>
  <c r="I17" i="3"/>
  <c r="I20" i="3" s="1"/>
  <c r="T61" i="1"/>
  <c r="U14" i="1"/>
  <c r="Q14" i="1"/>
  <c r="R14" i="1"/>
  <c r="S14" i="1"/>
  <c r="AI93" i="1" l="1"/>
  <c r="T75" i="1"/>
  <c r="U83" i="1"/>
  <c r="T83" i="1"/>
  <c r="C26" i="1"/>
  <c r="C8" i="1"/>
  <c r="F10" i="1" s="1"/>
  <c r="C9" i="1" l="1"/>
  <c r="D9" i="1"/>
  <c r="B9" i="3"/>
  <c r="R83" i="1"/>
  <c r="S83" i="1"/>
  <c r="Q80" i="1"/>
  <c r="Q81" i="1"/>
  <c r="R80" i="1"/>
  <c r="R81" i="1"/>
  <c r="S81" i="1"/>
  <c r="S80" i="1"/>
  <c r="C24" i="1" l="1"/>
  <c r="C32" i="1" s="1"/>
  <c r="S75" i="1"/>
  <c r="R75" i="1"/>
  <c r="Q82" i="1"/>
  <c r="B11" i="3"/>
  <c r="B12" i="3"/>
  <c r="S82" i="1"/>
  <c r="R82" i="1"/>
  <c r="S74" i="1"/>
  <c r="S73" i="1"/>
  <c r="R73" i="1"/>
  <c r="W74" i="1"/>
  <c r="C33" i="1" l="1"/>
  <c r="U94" i="1"/>
  <c r="AJ94" i="1" s="1"/>
  <c r="B13" i="3"/>
  <c r="B22" i="3"/>
  <c r="C31" i="1"/>
  <c r="B21" i="3"/>
  <c r="U74" i="1" l="1"/>
  <c r="B24" i="3"/>
  <c r="R74" i="1"/>
  <c r="B25" i="3"/>
  <c r="Q83" i="1"/>
  <c r="C35" i="1"/>
  <c r="F37" i="1" s="1"/>
  <c r="Q74" i="1" l="1"/>
  <c r="Q75" i="1"/>
  <c r="Q73" i="1"/>
  <c r="C36" i="1"/>
  <c r="B26" i="3"/>
  <c r="D31" i="1" l="1"/>
  <c r="D35" i="1"/>
  <c r="D36" i="1" l="1"/>
  <c r="E36" i="1"/>
  <c r="V74" i="1"/>
  <c r="D19" i="1"/>
  <c r="G24" i="1" l="1"/>
  <c r="G32" i="1" s="1"/>
  <c r="G35" i="1" l="1"/>
  <c r="Y74" i="1"/>
  <c r="Y94" i="1"/>
  <c r="G31" i="1"/>
  <c r="G37" i="1" l="1"/>
  <c r="G36" i="1"/>
  <c r="G33" i="1"/>
</calcChain>
</file>

<file path=xl/sharedStrings.xml><?xml version="1.0" encoding="utf-8"?>
<sst xmlns="http://schemas.openxmlformats.org/spreadsheetml/2006/main" count="362" uniqueCount="245">
  <si>
    <t>Income Statement</t>
  </si>
  <si>
    <t>Y/E, Mar (Rs. mn)</t>
  </si>
  <si>
    <t>FY16</t>
  </si>
  <si>
    <t>FY17</t>
  </si>
  <si>
    <t>FY18</t>
  </si>
  <si>
    <t>FY19</t>
  </si>
  <si>
    <t>FY20</t>
  </si>
  <si>
    <t>Net Income</t>
  </si>
  <si>
    <t>Growth (%)</t>
  </si>
  <si>
    <t>CAGR (%) - 3 Years</t>
  </si>
  <si>
    <t>Expenditure</t>
  </si>
  <si>
    <t>Cost of materials consumed</t>
  </si>
  <si>
    <t>Other Expenses</t>
  </si>
  <si>
    <t>EBITDA</t>
  </si>
  <si>
    <t>EBITDA margin (%)</t>
  </si>
  <si>
    <t>Depreciation</t>
  </si>
  <si>
    <t>Other Income</t>
  </si>
  <si>
    <t>PBT</t>
  </si>
  <si>
    <t>Effective tax rate (%)</t>
  </si>
  <si>
    <t>PAT</t>
  </si>
  <si>
    <t>PAT margin (%)</t>
  </si>
  <si>
    <t>Other Comprehensive Income</t>
  </si>
  <si>
    <t>EPS</t>
  </si>
  <si>
    <t>Y/E, Mar (Rs. Mn)</t>
  </si>
  <si>
    <t>Purchase of stock-in-trade</t>
  </si>
  <si>
    <t>Changes in Inventory of finished goods, work in progress and stock in trade</t>
  </si>
  <si>
    <t>Finance Cost</t>
  </si>
  <si>
    <t>Current Tax</t>
  </si>
  <si>
    <t>Deferred Tax</t>
  </si>
  <si>
    <t>Tax Expenses</t>
  </si>
  <si>
    <t>(A) Share Capital</t>
  </si>
  <si>
    <t>(B) Other Equity</t>
  </si>
  <si>
    <t>Non Controlling Interest</t>
  </si>
  <si>
    <t>Non Current Liabilities</t>
  </si>
  <si>
    <t>(A) Financial Liabilities</t>
  </si>
  <si>
    <t>(i) Borrowings</t>
  </si>
  <si>
    <t>(B) Provisions</t>
  </si>
  <si>
    <t>(C) Deferred tax liabilities (Net)</t>
  </si>
  <si>
    <t>Total - Non – Current Liabilities</t>
  </si>
  <si>
    <t>Current Liabilities</t>
  </si>
  <si>
    <t>Financial Liabilities</t>
  </si>
  <si>
    <t>(ii) Trade Payables</t>
  </si>
  <si>
    <t>(iii) Other Financial Liabilities</t>
  </si>
  <si>
    <t>(D) Other current liabilities</t>
  </si>
  <si>
    <t>(E) Provisions</t>
  </si>
  <si>
    <t>(F) Current tax liabilities (Net)</t>
  </si>
  <si>
    <t>Total – Current Liabilities</t>
  </si>
  <si>
    <t>Total Equity and Liabilities</t>
  </si>
  <si>
    <t>(A) Property plant &amp; Equipment</t>
  </si>
  <si>
    <t xml:space="preserve">(B) Capital Work in Progress </t>
  </si>
  <si>
    <t>(i) Investments</t>
  </si>
  <si>
    <t>(ii) Other financial assets</t>
  </si>
  <si>
    <t>Total - Non – Current Assets</t>
  </si>
  <si>
    <t>Current Assets</t>
  </si>
  <si>
    <t>(A) Inventories</t>
  </si>
  <si>
    <t>(B) Financial assets</t>
  </si>
  <si>
    <t>(ii) Trade receivables</t>
  </si>
  <si>
    <t>iii. Cash and cash equivalents</t>
  </si>
  <si>
    <t>iv. Bank balances other than (iii) above</t>
  </si>
  <si>
    <t>(D) Current Tax Assets (Net)</t>
  </si>
  <si>
    <t>Total current assets</t>
  </si>
  <si>
    <t>Total Assets</t>
  </si>
  <si>
    <t xml:space="preserve">Assets (INR Mn) </t>
  </si>
  <si>
    <t>Networth/Shareholders Fund/ Book Value</t>
  </si>
  <si>
    <t>Long Term Debt</t>
  </si>
  <si>
    <t>Short Term Debt</t>
  </si>
  <si>
    <t>Loans</t>
  </si>
  <si>
    <t>Capital Employed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</si>
  <si>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</si>
  <si>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</si>
  <si>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</si>
  <si>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</si>
  <si>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</si>
  <si>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</si>
  <si>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</si>
  <si>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</si>
  <si>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</si>
  <si>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</si>
  <si>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</si>
  <si>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</si>
  <si>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</si>
  <si>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</si>
  <si>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</si>
  <si>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</si>
  <si>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</si>
  <si>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</si>
  <si>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</si>
  <si>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</si>
  <si>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Cash Flow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</si>
  <si>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</si>
  <si>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</si>
  <si>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</si>
  <si>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</si>
  <si>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</si>
  <si>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</si>
  <si>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</si>
  <si>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</si>
  <si>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</si>
  <si>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</si>
  <si>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</si>
  <si>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</si>
  <si>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</si>
  <si>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</si>
  <si>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EV</t>
  </si>
  <si>
    <t>FY15</t>
  </si>
  <si>
    <t>Net Working Capital</t>
  </si>
  <si>
    <t>INR Mn</t>
  </si>
  <si>
    <t>P&amp;L Comparision</t>
  </si>
  <si>
    <t>Total Income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</si>
  <si>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</si>
  <si>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</si>
  <si>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</si>
  <si>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</si>
  <si>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</si>
  <si>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</si>
  <si>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</si>
  <si>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</si>
  <si>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</t>
  </si>
  <si>
    <t>Stock P/E</t>
  </si>
  <si>
    <t>Price/Book Value</t>
  </si>
  <si>
    <t>EV/ EBITDA</t>
  </si>
  <si>
    <t>OPERATIONAL RATIOS COMPARISION</t>
  </si>
  <si>
    <t>CMP (As on 31.03.2020)</t>
  </si>
  <si>
    <t>Book Value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</si>
  <si>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</si>
  <si>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</si>
  <si>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</si>
  <si>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</si>
  <si>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</si>
  <si>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</si>
  <si>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</si>
  <si>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</si>
  <si>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</si>
  <si>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</si>
  <si>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</si>
  <si>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ACE</t>
  </si>
  <si>
    <t>Escorts</t>
  </si>
  <si>
    <t>BEML</t>
  </si>
  <si>
    <t>CAGR 3 YRS</t>
  </si>
  <si>
    <t>VST Tillers</t>
  </si>
  <si>
    <t>M&amp;M</t>
  </si>
  <si>
    <t>Balance Sheet</t>
  </si>
  <si>
    <t>Net Worth</t>
  </si>
  <si>
    <t>Non Current Asset</t>
  </si>
  <si>
    <t>Current Asset</t>
  </si>
  <si>
    <t>Cash &amp; Bank Balances</t>
  </si>
  <si>
    <t>Current Liabilites</t>
  </si>
  <si>
    <t>NET CURRENT ASSETS</t>
  </si>
  <si>
    <t>Asset T/O ratio</t>
  </si>
  <si>
    <t>DPS</t>
  </si>
  <si>
    <t>EBITDA 2020</t>
  </si>
  <si>
    <t>EBITDA 2017</t>
  </si>
  <si>
    <t>Depreciation 2020</t>
  </si>
  <si>
    <t>Interest 2020</t>
  </si>
  <si>
    <t>Depreciation 2017</t>
  </si>
  <si>
    <t>Interest 2017</t>
  </si>
  <si>
    <t>PBT 2020</t>
  </si>
  <si>
    <t>PBT 2017</t>
  </si>
  <si>
    <t>PAT 2020</t>
  </si>
  <si>
    <t>PAT 2017</t>
  </si>
  <si>
    <t>EPS 2020</t>
  </si>
  <si>
    <t>Long term loans and advances</t>
  </si>
  <si>
    <t>Income 2020</t>
  </si>
  <si>
    <t>Income 2017</t>
  </si>
  <si>
    <t>Inventories 2020</t>
  </si>
  <si>
    <t>Inventories 2017</t>
  </si>
  <si>
    <t>Sundry Debtors 2020</t>
  </si>
  <si>
    <t>Sundry Debtors 2017</t>
  </si>
  <si>
    <t>Trade Payables 2020</t>
  </si>
  <si>
    <t>Trade Payables 2017</t>
  </si>
  <si>
    <t>Particulars</t>
  </si>
  <si>
    <t>FY21</t>
  </si>
  <si>
    <t>FY22</t>
  </si>
  <si>
    <t>(C) Right of use asset</t>
  </si>
  <si>
    <t>(vi) Other current financial assets</t>
  </si>
  <si>
    <t>(D) Investment properties</t>
  </si>
  <si>
    <t>(E) Intangible assets</t>
  </si>
  <si>
    <t>(F) Financial assets</t>
  </si>
  <si>
    <t>(G) Other non-current assets</t>
  </si>
  <si>
    <t>(H) Non-current tax assets (Net)</t>
  </si>
  <si>
    <t>(ii) Lease liabilities</t>
  </si>
  <si>
    <t>(iv) Lease liabilities</t>
  </si>
  <si>
    <t>TTM EPS</t>
  </si>
  <si>
    <t>FY23</t>
  </si>
  <si>
    <t xml:space="preserve">    -</t>
  </si>
  <si>
    <t xml:space="preserve">  -</t>
  </si>
  <si>
    <t xml:space="preserve"> </t>
  </si>
  <si>
    <t xml:space="preserve">   </t>
  </si>
  <si>
    <t>(v) Assets classified as held for sale</t>
  </si>
  <si>
    <t xml:space="preserve">India Nippon Electricals Ltd. (Consolidated) </t>
  </si>
  <si>
    <t>Other current assets</t>
  </si>
  <si>
    <t>Revenue from Operations</t>
  </si>
  <si>
    <t>Other Operating Expenses</t>
  </si>
  <si>
    <t>Employee Benefit Expenses</t>
  </si>
  <si>
    <t>Share of Net (Loss) of Associate &amp; Others</t>
  </si>
  <si>
    <t>Total Comprehensive Income</t>
  </si>
  <si>
    <t>Income tax relating to earlier year</t>
  </si>
  <si>
    <t>Deferred tax relating to earlier years</t>
  </si>
  <si>
    <t>Adjustments for EBITDTA Operations)</t>
  </si>
  <si>
    <t>Investment written off (included in other expenses)</t>
  </si>
  <si>
    <t>Net gain on foreign currency transactions (included in other income)</t>
  </si>
  <si>
    <t>VAT provision reversal (included in other income)</t>
  </si>
  <si>
    <t>Derecognition of RoU (included in other income)</t>
  </si>
  <si>
    <t>To be excluded from other income</t>
  </si>
  <si>
    <t>To be excluded from other expenses</t>
  </si>
  <si>
    <t>Capital employed (operations)</t>
  </si>
  <si>
    <t>Non-current assets</t>
  </si>
  <si>
    <t>Current assets</t>
  </si>
  <si>
    <t>Current liabilities</t>
  </si>
  <si>
    <t>Loans/Borrowings</t>
  </si>
  <si>
    <t>FY24</t>
  </si>
  <si>
    <t>EBIT(operations)</t>
  </si>
  <si>
    <t>Q1-FY25</t>
  </si>
  <si>
    <t>EBITDA (operations)</t>
  </si>
  <si>
    <t>Q2 FY25</t>
  </si>
  <si>
    <t>H1 FY25</t>
  </si>
  <si>
    <t>Q2 FY24</t>
  </si>
  <si>
    <t>H1-FY25</t>
  </si>
  <si>
    <t>Q2 YOY</t>
  </si>
  <si>
    <t>H1 FY24</t>
  </si>
  <si>
    <t>H1 YOY</t>
  </si>
  <si>
    <t>EBITDA margin has increased from 10.4% to 11.4%</t>
  </si>
  <si>
    <t>PBT increase YOY by 38%</t>
  </si>
  <si>
    <t>Q2</t>
  </si>
  <si>
    <t xml:space="preserve">EPS has increased by Rs. 2.10 </t>
  </si>
  <si>
    <t>H1</t>
  </si>
  <si>
    <t>Income from operations yoy growth by 13%</t>
  </si>
  <si>
    <t>Income from operations yoy growth by 11%</t>
  </si>
  <si>
    <t>EBITDA(operations)  YOY increase by 22%</t>
  </si>
  <si>
    <t>EBITDA(operations)  YOY increase by 32%</t>
  </si>
  <si>
    <t>EBITDA margin has increased from 8.9% to 10.4%</t>
  </si>
  <si>
    <t>PBT increase YOY by 59%</t>
  </si>
  <si>
    <t>EPS has increased by Rs. 5.86</t>
  </si>
  <si>
    <t>Operating leverage benefit for scaling of operations and increase in AFM sales</t>
  </si>
  <si>
    <t>ROCE(operations) continues to be more than 20%</t>
  </si>
  <si>
    <t>Better workiing capital management</t>
  </si>
  <si>
    <t>Financial highlights</t>
  </si>
  <si>
    <t>Operational Highlights</t>
  </si>
  <si>
    <t>Sales registered growth by 11%</t>
  </si>
  <si>
    <t>First time entry into south India customer. Received new business award</t>
  </si>
  <si>
    <t>Developed In house Machine building capability to reduce lead time and high performance features</t>
  </si>
  <si>
    <t>Export prospects become brighter after US elections</t>
  </si>
  <si>
    <t>Partial compensation received from few customers for non-indexed commodities</t>
  </si>
  <si>
    <t xml:space="preserve">Pilot planned for ISG system in Q3  for western Customer for 3W/4W </t>
  </si>
  <si>
    <t>After market trend looks up consequent to advanced monsoon rains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</si>
</sst>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3">
    <xf numFmtId="0" fontId="0" fillId="0" borderId="0" xfId="0"/>
    <xf numFmtId="0" fontId="3" fillId="0" borderId="1" xfId="0" applyFont="1" applyBorder="1"/>
    <xf numFmtId="0" fontId="0" fillId="0" borderId="1" xfId="0" applyBorder="1"/>
    <xf numFmtId="2" fontId="3" fillId="0" borderId="1" xfId="0" applyNumberFormat="1" applyFont="1" applyBorder="1"/>
    <xf numFmtId="2" fontId="0" fillId="0" borderId="0" xfId="0" applyNumberFormat="1"/>
    <xf numFmtId="1" fontId="0" fillId="0" borderId="0" xfId="0" applyNumberFormat="1"/>
    <xf numFmtId="0" fontId="3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horizontal="right" vertical="top"/>
    </xf>
    <xf numFmtId="0" fontId="0" fillId="0" borderId="1" xfId="0" applyBorder="1" applyAlignment="1">
      <alignment vertical="top"/>
    </xf>
    <xf numFmtId="0" fontId="3" fillId="6" borderId="4" xfId="0" applyFont="1" applyFill="1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3" borderId="5" xfId="0" applyFill="1" applyBorder="1" applyAlignment="1">
      <alignment vertical="top"/>
    </xf>
    <xf numFmtId="0" fontId="0" fillId="0" borderId="6" xfId="0" applyBorder="1" applyAlignment="1">
      <alignment vertical="top"/>
    </xf>
    <xf numFmtId="0" fontId="3" fillId="6" borderId="4" xfId="0" applyFont="1" applyFill="1" applyBorder="1" applyAlignment="1">
      <alignment vertical="top"/>
    </xf>
    <xf numFmtId="0" fontId="0" fillId="3" borderId="6" xfId="0" applyFill="1" applyBorder="1" applyAlignment="1">
      <alignment vertical="top"/>
    </xf>
    <xf numFmtId="165" fontId="0" fillId="3" borderId="1" xfId="2" applyNumberFormat="1" applyFont="1" applyFill="1" applyBorder="1" applyAlignment="1">
      <alignment vertical="top"/>
    </xf>
    <xf numFmtId="165" fontId="0" fillId="3" borderId="1" xfId="2" applyNumberFormat="1" applyFont="1" applyFill="1" applyBorder="1" applyAlignment="1">
      <alignment horizontal="right" vertical="top"/>
    </xf>
    <xf numFmtId="166" fontId="3" fillId="0" borderId="1" xfId="3" applyNumberFormat="1" applyFont="1" applyBorder="1"/>
    <xf numFmtId="166" fontId="0" fillId="0" borderId="1" xfId="3" applyNumberFormat="1" applyFont="1" applyBorder="1"/>
    <xf numFmtId="166" fontId="3" fillId="3" borderId="1" xfId="3" applyNumberFormat="1" applyFont="1" applyFill="1" applyBorder="1"/>
    <xf numFmtId="10" fontId="6" fillId="3" borderId="1" xfId="2" applyNumberFormat="1" applyFont="1" applyFill="1" applyBorder="1"/>
    <xf numFmtId="10" fontId="3" fillId="3" borderId="1" xfId="2" applyNumberFormat="1" applyFont="1" applyFill="1" applyBorder="1"/>
    <xf numFmtId="166" fontId="0" fillId="0" borderId="7" xfId="3" applyNumberFormat="1" applyFont="1" applyBorder="1"/>
    <xf numFmtId="0" fontId="3" fillId="0" borderId="5" xfId="0" applyFont="1" applyBorder="1"/>
    <xf numFmtId="0" fontId="0" fillId="0" borderId="5" xfId="0" applyBorder="1"/>
    <xf numFmtId="0" fontId="3" fillId="3" borderId="5" xfId="0" applyFont="1" applyFill="1" applyBorder="1"/>
    <xf numFmtId="9" fontId="0" fillId="0" borderId="7" xfId="2" applyFont="1" applyBorder="1"/>
    <xf numFmtId="165" fontId="6" fillId="3" borderId="1" xfId="2" applyNumberFormat="1" applyFont="1" applyFill="1" applyBorder="1" applyAlignment="1">
      <alignment horizontal="right"/>
    </xf>
    <xf numFmtId="166" fontId="0" fillId="3" borderId="7" xfId="3" applyNumberFormat="1" applyFont="1" applyFill="1" applyBorder="1"/>
    <xf numFmtId="10" fontId="0" fillId="0" borderId="1" xfId="2" applyNumberFormat="1" applyFont="1" applyBorder="1"/>
    <xf numFmtId="10" fontId="0" fillId="3" borderId="1" xfId="2" applyNumberFormat="1" applyFont="1" applyFill="1" applyBorder="1"/>
    <xf numFmtId="0" fontId="0" fillId="3" borderId="1" xfId="0" applyFill="1" applyBorder="1"/>
    <xf numFmtId="2" fontId="0" fillId="3" borderId="1" xfId="0" applyNumberFormat="1" applyFill="1" applyBorder="1"/>
    <xf numFmtId="2" fontId="0" fillId="0" borderId="1" xfId="0" applyNumberFormat="1" applyBorder="1"/>
    <xf numFmtId="1" fontId="0" fillId="0" borderId="1" xfId="0" applyNumberFormat="1" applyBorder="1"/>
    <xf numFmtId="0" fontId="0" fillId="0" borderId="7" xfId="0" applyBorder="1"/>
    <xf numFmtId="164" fontId="0" fillId="0" borderId="5" xfId="0" applyNumberFormat="1" applyBorder="1"/>
    <xf numFmtId="164" fontId="0" fillId="3" borderId="5" xfId="0" applyNumberFormat="1" applyFill="1" applyBorder="1"/>
    <xf numFmtId="165" fontId="0" fillId="3" borderId="5" xfId="0" applyNumberFormat="1" applyFill="1" applyBorder="1"/>
    <xf numFmtId="1" fontId="9" fillId="3" borderId="1" xfId="0" applyNumberFormat="1" applyFont="1" applyFill="1" applyBorder="1"/>
    <xf numFmtId="0" fontId="9" fillId="0" borderId="6" xfId="0" applyFont="1" applyBorder="1"/>
    <xf numFmtId="2" fontId="0" fillId="0" borderId="8" xfId="0" applyNumberFormat="1" applyBorder="1"/>
    <xf numFmtId="0" fontId="0" fillId="0" borderId="6" xfId="0" applyBorder="1"/>
    <xf numFmtId="166" fontId="0" fillId="0" borderId="0" xfId="0" applyNumberFormat="1"/>
    <xf numFmtId="0" fontId="3" fillId="3" borderId="6" xfId="0" applyFont="1" applyFill="1" applyBorder="1"/>
    <xf numFmtId="166" fontId="3" fillId="3" borderId="7" xfId="3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3" borderId="1" xfId="0" applyFont="1" applyFill="1" applyBorder="1"/>
    <xf numFmtId="0" fontId="3" fillId="0" borderId="3" xfId="0" applyFont="1" applyBorder="1" applyAlignment="1">
      <alignment horizontal="right"/>
    </xf>
    <xf numFmtId="0" fontId="3" fillId="0" borderId="9" xfId="0" applyFont="1" applyBorder="1"/>
    <xf numFmtId="0" fontId="0" fillId="0" borderId="3" xfId="0" applyBorder="1"/>
    <xf numFmtId="0" fontId="10" fillId="0" borderId="3" xfId="0" applyFont="1" applyBorder="1" applyAlignment="1">
      <alignment horizontal="right"/>
    </xf>
    <xf numFmtId="166" fontId="0" fillId="0" borderId="1" xfId="3" applyNumberFormat="1" applyFont="1" applyFill="1" applyBorder="1"/>
    <xf numFmtId="9" fontId="0" fillId="3" borderId="1" xfId="2" applyFont="1" applyFill="1" applyBorder="1"/>
    <xf numFmtId="0" fontId="3" fillId="0" borderId="0" xfId="0" applyFont="1" applyAlignment="1">
      <alignment horizontal="right"/>
    </xf>
    <xf numFmtId="0" fontId="7" fillId="2" borderId="14" xfId="1" applyFont="1" applyFill="1" applyBorder="1"/>
    <xf numFmtId="0" fontId="3" fillId="2" borderId="13" xfId="1" applyFont="1" applyFill="1" applyBorder="1" applyAlignment="1">
      <alignment horizontal="center"/>
    </xf>
    <xf numFmtId="3" fontId="0" fillId="0" borderId="1" xfId="0" applyNumberFormat="1" applyBorder="1"/>
    <xf numFmtId="0" fontId="5" fillId="3" borderId="1" xfId="0" applyFont="1" applyFill="1" applyBorder="1"/>
    <xf numFmtId="0" fontId="8" fillId="0" borderId="1" xfId="1" applyFont="1" applyBorder="1"/>
    <xf numFmtId="3" fontId="3" fillId="3" borderId="1" xfId="0" applyNumberFormat="1" applyFont="1" applyFill="1" applyBorder="1"/>
    <xf numFmtId="0" fontId="7" fillId="2" borderId="1" xfId="1" applyFont="1" applyFill="1" applyBorder="1"/>
    <xf numFmtId="0" fontId="3" fillId="2" borderId="1" xfId="1" applyFont="1" applyFill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4" fontId="0" fillId="0" borderId="1" xfId="0" applyNumberFormat="1" applyBorder="1"/>
    <xf numFmtId="0" fontId="7" fillId="2" borderId="13" xfId="1" applyFont="1" applyFill="1" applyBorder="1"/>
    <xf numFmtId="0" fontId="0" fillId="0" borderId="4" xfId="0" applyBorder="1"/>
    <xf numFmtId="166" fontId="0" fillId="0" borderId="16" xfId="3" applyNumberFormat="1" applyFont="1" applyBorder="1"/>
    <xf numFmtId="3" fontId="0" fillId="0" borderId="16" xfId="0" applyNumberFormat="1" applyBorder="1"/>
    <xf numFmtId="0" fontId="0" fillId="0" borderId="17" xfId="0" applyBorder="1"/>
    <xf numFmtId="0" fontId="0" fillId="0" borderId="18" xfId="0" applyBorder="1"/>
    <xf numFmtId="0" fontId="0" fillId="3" borderId="19" xfId="0" applyFill="1" applyBorder="1"/>
    <xf numFmtId="0" fontId="3" fillId="0" borderId="10" xfId="0" applyFont="1" applyBorder="1" applyAlignment="1">
      <alignment horizontal="center"/>
    </xf>
    <xf numFmtId="0" fontId="3" fillId="3" borderId="9" xfId="0" applyFont="1" applyFill="1" applyBorder="1"/>
    <xf numFmtId="166" fontId="3" fillId="3" borderId="3" xfId="3" applyNumberFormat="1" applyFont="1" applyFill="1" applyBorder="1"/>
    <xf numFmtId="4" fontId="0" fillId="0" borderId="7" xfId="0" applyNumberFormat="1" applyBorder="1"/>
    <xf numFmtId="0" fontId="3" fillId="3" borderId="14" xfId="0" applyFont="1" applyFill="1" applyBorder="1"/>
    <xf numFmtId="166" fontId="3" fillId="3" borderId="13" xfId="3" applyNumberFormat="1" applyFont="1" applyFill="1" applyBorder="1"/>
    <xf numFmtId="3" fontId="0" fillId="0" borderId="20" xfId="0" applyNumberFormat="1" applyBorder="1"/>
    <xf numFmtId="3" fontId="3" fillId="0" borderId="1" xfId="0" applyNumberFormat="1" applyFont="1" applyBorder="1"/>
    <xf numFmtId="0" fontId="3" fillId="3" borderId="21" xfId="0" applyFont="1" applyFill="1" applyBorder="1"/>
    <xf numFmtId="166" fontId="3" fillId="3" borderId="2" xfId="3" applyNumberFormat="1" applyFont="1" applyFill="1" applyBorder="1"/>
    <xf numFmtId="0" fontId="3" fillId="3" borderId="4" xfId="0" applyFont="1" applyFill="1" applyBorder="1"/>
    <xf numFmtId="166" fontId="3" fillId="3" borderId="16" xfId="3" applyNumberFormat="1" applyFont="1" applyFill="1" applyBorder="1"/>
    <xf numFmtId="0" fontId="3" fillId="0" borderId="3" xfId="0" applyFont="1" applyBorder="1"/>
    <xf numFmtId="0" fontId="0" fillId="0" borderId="10" xfId="0" applyBorder="1"/>
    <xf numFmtId="0" fontId="0" fillId="0" borderId="11" xfId="0" applyBorder="1"/>
    <xf numFmtId="166" fontId="3" fillId="0" borderId="1" xfId="3" applyNumberFormat="1" applyFont="1" applyFill="1" applyBorder="1"/>
    <xf numFmtId="3" fontId="3" fillId="3" borderId="7" xfId="0" applyNumberFormat="1" applyFont="1" applyFill="1" applyBorder="1"/>
    <xf numFmtId="166" fontId="0" fillId="0" borderId="23" xfId="3" applyNumberFormat="1" applyFont="1" applyBorder="1"/>
    <xf numFmtId="166" fontId="0" fillId="0" borderId="24" xfId="3" applyNumberFormat="1" applyFont="1" applyBorder="1"/>
    <xf numFmtId="166" fontId="3" fillId="3" borderId="25" xfId="3" applyNumberFormat="1" applyFont="1" applyFill="1" applyBorder="1"/>
    <xf numFmtId="166" fontId="0" fillId="0" borderId="26" xfId="3" applyNumberFormat="1" applyFont="1" applyBorder="1"/>
    <xf numFmtId="166" fontId="0" fillId="0" borderId="27" xfId="3" applyNumberFormat="1" applyFont="1" applyBorder="1"/>
    <xf numFmtId="166" fontId="3" fillId="3" borderId="28" xfId="3" applyNumberFormat="1" applyFont="1" applyFill="1" applyBorder="1"/>
    <xf numFmtId="166" fontId="0" fillId="0" borderId="22" xfId="3" applyNumberFormat="1" applyFont="1" applyFill="1" applyBorder="1"/>
    <xf numFmtId="166" fontId="0" fillId="0" borderId="26" xfId="3" applyNumberFormat="1" applyFont="1" applyFill="1" applyBorder="1"/>
    <xf numFmtId="166" fontId="0" fillId="0" borderId="27" xfId="3" applyNumberFormat="1" applyFont="1" applyFill="1" applyBorder="1"/>
    <xf numFmtId="166" fontId="0" fillId="0" borderId="29" xfId="3" applyNumberFormat="1" applyFont="1" applyFill="1" applyBorder="1"/>
    <xf numFmtId="166" fontId="3" fillId="3" borderId="30" xfId="3" applyNumberFormat="1" applyFont="1" applyFill="1" applyBorder="1"/>
    <xf numFmtId="166" fontId="0" fillId="0" borderId="23" xfId="3" applyNumberFormat="1" applyFont="1" applyFill="1" applyBorder="1"/>
    <xf numFmtId="166" fontId="0" fillId="0" borderId="24" xfId="3" applyNumberFormat="1" applyFont="1" applyFill="1" applyBorder="1"/>
    <xf numFmtId="4" fontId="0" fillId="0" borderId="15" xfId="0" applyNumberFormat="1" applyBorder="1"/>
    <xf numFmtId="3" fontId="0" fillId="0" borderId="7" xfId="0" applyNumberFormat="1" applyBorder="1"/>
    <xf numFmtId="1" fontId="0" fillId="3" borderId="1" xfId="0" applyNumberFormat="1" applyFill="1" applyBorder="1"/>
    <xf numFmtId="9" fontId="0" fillId="3" borderId="7" xfId="2" applyFont="1" applyFill="1" applyBorder="1"/>
    <xf numFmtId="49" fontId="0" fillId="0" borderId="31" xfId="3" applyNumberFormat="1" applyFont="1" applyBorder="1" applyAlignment="1">
      <alignment horizontal="left" vertical="center" indent="3"/>
    </xf>
    <xf numFmtId="43" fontId="0" fillId="0" borderId="0" xfId="3" applyFont="1"/>
    <xf numFmtId="49" fontId="0" fillId="0" borderId="0" xfId="3" applyNumberFormat="1" applyFont="1" applyFill="1" applyBorder="1" applyAlignment="1">
      <alignment horizontal="left" vertical="center" indent="3"/>
    </xf>
    <xf numFmtId="43" fontId="0" fillId="0" borderId="0" xfId="0" applyNumberFormat="1"/>
    <xf numFmtId="49" fontId="11" fillId="0" borderId="0" xfId="3" applyNumberFormat="1" applyFont="1" applyFill="1" applyBorder="1" applyAlignment="1">
      <alignment horizontal="left" vertical="center" indent="3"/>
    </xf>
    <xf numFmtId="0" fontId="12" fillId="0" borderId="0" xfId="0" applyFont="1"/>
    <xf numFmtId="166" fontId="0" fillId="0" borderId="32" xfId="3" applyNumberFormat="1" applyFont="1" applyFill="1" applyBorder="1"/>
    <xf numFmtId="166" fontId="0" fillId="3" borderId="15" xfId="3" applyNumberFormat="1" applyFont="1" applyFill="1" applyBorder="1"/>
    <xf numFmtId="0" fontId="3" fillId="2" borderId="31" xfId="1" applyFont="1" applyFill="1" applyBorder="1" applyAlignment="1">
      <alignment horizontal="center"/>
    </xf>
    <xf numFmtId="166" fontId="3" fillId="3" borderId="31" xfId="3" applyNumberFormat="1" applyFont="1" applyFill="1" applyBorder="1"/>
    <xf numFmtId="166" fontId="0" fillId="0" borderId="20" xfId="3" applyNumberFormat="1" applyFont="1" applyBorder="1"/>
    <xf numFmtId="166" fontId="0" fillId="0" borderId="32" xfId="3" applyNumberFormat="1" applyFont="1" applyBorder="1"/>
    <xf numFmtId="166" fontId="0" fillId="0" borderId="15" xfId="3" applyNumberFormat="1" applyFont="1" applyBorder="1"/>
    <xf numFmtId="166" fontId="3" fillId="3" borderId="34" xfId="3" applyNumberFormat="1" applyFont="1" applyFill="1" applyBorder="1"/>
    <xf numFmtId="166" fontId="3" fillId="3" borderId="32" xfId="3" applyNumberFormat="1" applyFont="1" applyFill="1" applyBorder="1"/>
    <xf numFmtId="2" fontId="3" fillId="0" borderId="32" xfId="0" applyNumberFormat="1" applyFont="1" applyBorder="1"/>
    <xf numFmtId="1" fontId="0" fillId="0" borderId="32" xfId="0" applyNumberFormat="1" applyBorder="1"/>
    <xf numFmtId="0" fontId="0" fillId="0" borderId="32" xfId="0" applyBorder="1"/>
    <xf numFmtId="166" fontId="3" fillId="3" borderId="33" xfId="3" applyNumberFormat="1" applyFont="1" applyFill="1" applyBorder="1"/>
    <xf numFmtId="0" fontId="0" fillId="0" borderId="34" xfId="0" applyBorder="1"/>
    <xf numFmtId="166" fontId="3" fillId="3" borderId="20" xfId="3" applyNumberFormat="1" applyFont="1" applyFill="1" applyBorder="1"/>
    <xf numFmtId="3" fontId="3" fillId="3" borderId="15" xfId="0" applyNumberFormat="1" applyFont="1" applyFill="1" applyBorder="1"/>
    <xf numFmtId="0" fontId="3" fillId="8" borderId="0" xfId="0" applyFont="1" applyFill="1"/>
    <xf numFmtId="166" fontId="3" fillId="8" borderId="0" xfId="0" applyNumberFormat="1" applyFont="1" applyFill="1"/>
    <xf numFmtId="0" fontId="3" fillId="9" borderId="0" xfId="0" applyFont="1" applyFill="1"/>
    <xf numFmtId="165" fontId="3" fillId="9" borderId="0" xfId="2" applyNumberFormat="1" applyFont="1" applyFill="1"/>
    <xf numFmtId="165" fontId="0" fillId="0" borderId="0" xfId="2" applyNumberFormat="1" applyFont="1"/>
    <xf numFmtId="2" fontId="0" fillId="3" borderId="8" xfId="0" applyNumberFormat="1" applyFill="1" applyBorder="1"/>
    <xf numFmtId="10" fontId="13" fillId="3" borderId="1" xfId="2" applyNumberFormat="1" applyFont="1" applyFill="1" applyBorder="1"/>
    <xf numFmtId="166" fontId="0" fillId="3" borderId="1" xfId="3" applyNumberFormat="1" applyFont="1" applyFill="1" applyBorder="1"/>
    <xf numFmtId="3" fontId="0" fillId="0" borderId="15" xfId="0" applyNumberFormat="1" applyBorder="1"/>
    <xf numFmtId="3" fontId="0" fillId="0" borderId="32" xfId="0" applyNumberFormat="1" applyBorder="1"/>
    <xf numFmtId="1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3" fillId="7" borderId="0" xfId="0" applyFont="1" applyFill="1" applyAlignment="1">
      <alignment horizontal="center"/>
    </xf>
    <xf numFmtId="9" fontId="0" fillId="0" borderId="0" xfId="2" applyFont="1"/>
    <xf numFmtId="10" fontId="0" fillId="10" borderId="1" xfId="2" applyNumberFormat="1" applyFont="1" applyFill="1" applyBorder="1"/>
    <xf numFmtId="166" fontId="0" fillId="0" borderId="0" xfId="3" applyNumberFormat="1" applyFont="1" applyFill="1" applyBorder="1"/>
    <xf numFmtId="0" fontId="3" fillId="0" borderId="13" xfId="0" applyFont="1" applyBorder="1" applyAlignment="1">
      <alignment horizontal="right"/>
    </xf>
    <xf numFmtId="0" fontId="3" fillId="2" borderId="2" xfId="1" applyFont="1" applyFill="1" applyBorder="1" applyAlignment="1">
      <alignment horizontal="center"/>
    </xf>
    <xf numFmtId="0" fontId="3" fillId="2" borderId="36" xfId="1" applyFont="1" applyFill="1" applyBorder="1" applyAlignment="1">
      <alignment horizontal="center"/>
    </xf>
    <xf numFmtId="0" fontId="3" fillId="2" borderId="37" xfId="1" applyFont="1" applyFill="1" applyBorder="1" applyAlignment="1">
      <alignment horizontal="center"/>
    </xf>
    <xf numFmtId="0" fontId="10" fillId="0" borderId="34" xfId="0" applyFont="1" applyBorder="1" applyAlignment="1">
      <alignment horizontal="right"/>
    </xf>
    <xf numFmtId="0" fontId="3" fillId="7" borderId="38" xfId="0" applyFont="1" applyFill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0" fillId="3" borderId="32" xfId="0" applyFill="1" applyBorder="1"/>
    <xf numFmtId="2" fontId="0" fillId="0" borderId="32" xfId="0" applyNumberFormat="1" applyBorder="1"/>
    <xf numFmtId="1" fontId="0" fillId="5" borderId="1" xfId="0" applyNumberFormat="1" applyFill="1" applyBorder="1"/>
    <xf numFmtId="0" fontId="3" fillId="0" borderId="10" xfId="0" applyFont="1" applyBorder="1" applyAlignment="1">
      <alignment horizontal="right"/>
    </xf>
    <xf numFmtId="166" fontId="0" fillId="0" borderId="18" xfId="3" applyNumberFormat="1" applyFont="1" applyFill="1" applyBorder="1"/>
    <xf numFmtId="166" fontId="3" fillId="5" borderId="0" xfId="3" applyNumberFormat="1" applyFont="1" applyFill="1" applyBorder="1"/>
    <xf numFmtId="0" fontId="3" fillId="5" borderId="0" xfId="0" applyFont="1" applyFill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4" xfId="0" applyFont="1" applyBorder="1" applyAlignment="1">
      <alignment horizontal="right"/>
    </xf>
    <xf numFmtId="9" fontId="0" fillId="0" borderId="1" xfId="2" applyFont="1" applyBorder="1"/>
    <xf numFmtId="4" fontId="0" fillId="3" borderId="1" xfId="0" applyNumberFormat="1" applyFill="1" applyBorder="1"/>
    <xf numFmtId="43" fontId="0" fillId="0" borderId="1" xfId="3" applyFont="1" applyBorder="1"/>
    <xf numFmtId="165" fontId="2" fillId="0" borderId="0" xfId="2" applyNumberFormat="1" applyFont="1"/>
    <xf numFmtId="3" fontId="0" fillId="0" borderId="0" xfId="0" applyNumberFormat="1"/>
    <xf numFmtId="10" fontId="0" fillId="0" borderId="0" xfId="2" applyNumberFormat="1" applyFont="1" applyBorder="1"/>
    <xf numFmtId="9" fontId="0" fillId="0" borderId="0" xfId="2" applyFont="1" applyBorder="1"/>
    <xf numFmtId="43" fontId="0" fillId="0" borderId="0" xfId="3" applyFont="1" applyBorder="1"/>
    <xf numFmtId="165" fontId="0" fillId="0" borderId="0" xfId="2" applyNumberFormat="1" applyFont="1" applyBorder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top"/>
    </xf>
    <xf numFmtId="0" fontId="16" fillId="0" borderId="0" xfId="0" applyFont="1" applyAlignment="1">
      <alignment wrapText="1"/>
    </xf>
    <xf numFmtId="0" fontId="4" fillId="0" borderId="0" xfId="0" applyFont="1"/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vertical="top" wrapText="1"/>
    </xf>
    <xf numFmtId="0" fontId="3" fillId="7" borderId="4" xfId="0" applyFont="1" applyFill="1" applyBorder="1" applyAlignment="1">
      <alignment horizontal="center"/>
    </xf>
    <xf numFmtId="0" fontId="3" fillId="7" borderId="16" xfId="0" applyFont="1" applyFill="1" applyBorder="1" applyAlignment="1">
      <alignment horizontal="center"/>
    </xf>
    <xf numFmtId="0" fontId="3" fillId="7" borderId="20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0" fontId="3" fillId="7" borderId="3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</cellXfs>
  <cellStyles count="4">
    <cellStyle name="Comma" xfId="3" builtinId="3"/>
    <cellStyle name="Normal" xfId="0" builtinId="0"/>
    <cellStyle name="Percent" xfId="2" builtinId="5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97"/>
  <sheetViews>
    <sheetView tabSelected="1" zoomScale="87" zoomScaleNormal="87" zoomScaleSheetLayoutView="91" workbookViewId="0">
      <pane xSplit="1" ySplit="5" topLeftCell="M66" activePane="bottomRight" state="frozen"/>
      <selection pane="topRight" activeCell="B1" sqref="B1"/>
      <selection pane="bottomLeft" activeCell="A6" sqref="A6"/>
      <selection pane="bottomRight" activeCell="Z72" sqref="Z72"/>
    </sheetView>
  </sheetViews>
  <sheetFormatPr defaultRowHeight="15" x14ac:dyDescent="0.25"/>
  <cols>
    <col min="1" max="1" width="28.5703125" customWidth="1"/>
    <col min="2" max="2" width="12.42578125" customWidth="1"/>
    <col min="3" max="6" width="12.85546875" bestFit="1" customWidth="1"/>
    <col min="7" max="7" width="12.85546875" customWidth="1"/>
    <col min="8" max="8" width="12.85546875" bestFit="1" customWidth="1"/>
    <col min="9" max="13" width="12.85546875" customWidth="1"/>
    <col min="14" max="14" width="8.85546875" customWidth="1"/>
    <col min="15" max="15" width="39.28515625" bestFit="1" customWidth="1"/>
    <col min="16" max="17" width="6.42578125" hidden="1" customWidth="1"/>
    <col min="18" max="18" width="0.140625" customWidth="1"/>
    <col min="19" max="19" width="0.5703125" customWidth="1"/>
    <col min="20" max="22" width="9" bestFit="1" customWidth="1"/>
    <col min="23" max="23" width="8" bestFit="1" customWidth="1"/>
    <col min="24" max="24" width="10" bestFit="1" customWidth="1"/>
    <col min="25" max="25" width="8.7109375" bestFit="1" customWidth="1"/>
    <col min="26" max="26" width="8.7109375" customWidth="1"/>
    <col min="27" max="27" width="13.28515625" bestFit="1" customWidth="1"/>
    <col min="36" max="36" width="13.140625" bestFit="1" customWidth="1"/>
    <col min="40" max="40" width="5" bestFit="1" customWidth="1"/>
  </cols>
  <sheetData>
    <row r="1" spans="1:27" ht="15.75" thickBot="1" x14ac:dyDescent="0.3"/>
    <row r="2" spans="1:27" ht="15.75" thickBot="1" x14ac:dyDescent="0.3">
      <c r="A2" s="185" t="s">
        <v>189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7"/>
    </row>
    <row r="4" spans="1:27" x14ac:dyDescent="0.25">
      <c r="A4" s="188" t="s">
        <v>0</v>
      </c>
      <c r="B4" s="189"/>
      <c r="C4" s="189"/>
      <c r="D4" s="189"/>
      <c r="E4" s="189"/>
      <c r="F4" s="189"/>
      <c r="G4" s="189"/>
      <c r="H4" s="189"/>
      <c r="I4" s="189"/>
      <c r="J4" s="189"/>
      <c r="K4" s="190"/>
      <c r="L4" s="144"/>
      <c r="M4" s="144"/>
      <c r="O4" s="188" t="s">
        <v>141</v>
      </c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90"/>
    </row>
    <row r="5" spans="1:27" ht="15.75" thickBot="1" x14ac:dyDescent="0.3">
      <c r="A5" s="63" t="s">
        <v>23</v>
      </c>
      <c r="B5" s="64" t="s">
        <v>5</v>
      </c>
      <c r="C5" s="64" t="s">
        <v>6</v>
      </c>
      <c r="D5" s="64" t="s">
        <v>171</v>
      </c>
      <c r="E5" s="64" t="s">
        <v>172</v>
      </c>
      <c r="F5" s="64" t="s">
        <v>183</v>
      </c>
      <c r="G5" s="64" t="s">
        <v>210</v>
      </c>
      <c r="H5" s="149" t="s">
        <v>212</v>
      </c>
      <c r="I5" s="64" t="s">
        <v>214</v>
      </c>
      <c r="J5" s="150" t="s">
        <v>215</v>
      </c>
      <c r="K5" s="151" t="s">
        <v>216</v>
      </c>
      <c r="L5" s="151" t="s">
        <v>219</v>
      </c>
      <c r="M5" s="151" t="s">
        <v>220</v>
      </c>
      <c r="N5" s="151" t="s">
        <v>218</v>
      </c>
      <c r="O5" s="57" t="s">
        <v>1</v>
      </c>
      <c r="P5" s="69" t="s">
        <v>104</v>
      </c>
      <c r="Q5" s="58" t="s">
        <v>2</v>
      </c>
      <c r="R5" s="58" t="s">
        <v>3</v>
      </c>
      <c r="S5" s="58" t="s">
        <v>4</v>
      </c>
      <c r="T5" s="58" t="s">
        <v>5</v>
      </c>
      <c r="U5" s="58" t="s">
        <v>6</v>
      </c>
      <c r="V5" s="58" t="s">
        <v>171</v>
      </c>
      <c r="W5" s="58" t="s">
        <v>172</v>
      </c>
      <c r="X5" s="118" t="s">
        <v>183</v>
      </c>
      <c r="Y5" s="118" t="s">
        <v>210</v>
      </c>
      <c r="Z5" s="163" t="s">
        <v>215</v>
      </c>
    </row>
    <row r="6" spans="1:27" x14ac:dyDescent="0.25">
      <c r="A6" s="1" t="s">
        <v>191</v>
      </c>
      <c r="B6" s="18">
        <v>5252</v>
      </c>
      <c r="C6" s="18">
        <v>4788</v>
      </c>
      <c r="D6" s="18">
        <v>4812</v>
      </c>
      <c r="E6" s="83">
        <v>5663</v>
      </c>
      <c r="F6" s="83">
        <v>6562.5</v>
      </c>
      <c r="G6" s="83">
        <v>7240.8</v>
      </c>
      <c r="H6" s="83">
        <v>1865.5</v>
      </c>
      <c r="I6" s="59">
        <v>2099</v>
      </c>
      <c r="J6" s="59">
        <f>I6+H6</f>
        <v>3964.5</v>
      </c>
      <c r="K6" s="59">
        <v>1897</v>
      </c>
      <c r="L6" s="170">
        <v>3495</v>
      </c>
      <c r="M6" s="174">
        <f>J6/L6-1</f>
        <v>0.13433476394849775</v>
      </c>
      <c r="N6" s="169">
        <f>I6/K6-1</f>
        <v>0.10648392198207701</v>
      </c>
      <c r="O6" s="70" t="s">
        <v>30</v>
      </c>
      <c r="P6" s="71">
        <v>197.88</v>
      </c>
      <c r="Q6" s="71">
        <v>234.64599999999999</v>
      </c>
      <c r="R6" s="71">
        <v>234.64599999999999</v>
      </c>
      <c r="S6" s="71">
        <v>234.64599999999999</v>
      </c>
      <c r="T6" s="72">
        <v>113</v>
      </c>
      <c r="U6" s="72">
        <v>113</v>
      </c>
      <c r="V6" s="82">
        <v>113</v>
      </c>
      <c r="W6" s="72">
        <v>113</v>
      </c>
      <c r="X6" s="82">
        <v>113</v>
      </c>
      <c r="Y6" s="82">
        <v>113.1</v>
      </c>
      <c r="Z6" s="82">
        <v>113.1</v>
      </c>
    </row>
    <row r="7" spans="1:27" ht="15.75" thickBot="1" x14ac:dyDescent="0.3">
      <c r="A7" s="2" t="s">
        <v>16</v>
      </c>
      <c r="B7" s="19">
        <f>147-B71-B75</f>
        <v>135.547</v>
      </c>
      <c r="C7" s="19">
        <f>263-C71-C75</f>
        <v>260.44800000000004</v>
      </c>
      <c r="D7" s="19">
        <f>162-D71-D75</f>
        <v>151.52799999999999</v>
      </c>
      <c r="E7" s="59">
        <f>253-E71-E75</f>
        <v>251.93799999999999</v>
      </c>
      <c r="F7" s="59">
        <v>225.6</v>
      </c>
      <c r="G7" s="59">
        <v>248.7</v>
      </c>
      <c r="H7" s="59">
        <f>105.8-H71-H75</f>
        <v>101.6</v>
      </c>
      <c r="I7" s="59">
        <f>89-I71-I75</f>
        <v>86</v>
      </c>
      <c r="J7" s="59">
        <f>I7+H7</f>
        <v>187.6</v>
      </c>
      <c r="K7" s="59">
        <v>49</v>
      </c>
      <c r="L7" s="59">
        <f>106-L71-L75</f>
        <v>91.5</v>
      </c>
      <c r="M7" s="170"/>
      <c r="N7" s="169"/>
      <c r="O7" s="43" t="s">
        <v>31</v>
      </c>
      <c r="P7" s="23">
        <v>2717.3919999999998</v>
      </c>
      <c r="Q7" s="23">
        <v>2956.4349999999999</v>
      </c>
      <c r="R7" s="23">
        <v>3105.165</v>
      </c>
      <c r="S7" s="23">
        <v>3586.8150000000001</v>
      </c>
      <c r="T7" s="79">
        <v>3891</v>
      </c>
      <c r="U7" s="79">
        <v>4085</v>
      </c>
      <c r="V7" s="106">
        <v>4397</v>
      </c>
      <c r="W7" s="107">
        <v>4939</v>
      </c>
      <c r="X7" s="140">
        <v>5490.2</v>
      </c>
      <c r="Y7" s="140">
        <v>6119.4</v>
      </c>
      <c r="Z7" s="59">
        <v>6542.1</v>
      </c>
    </row>
    <row r="8" spans="1:27" ht="15.75" thickBot="1" x14ac:dyDescent="0.3">
      <c r="A8" s="49" t="s">
        <v>7</v>
      </c>
      <c r="B8" s="20">
        <f t="shared" ref="B8:C8" si="0">B6+B7</f>
        <v>5387.5469999999996</v>
      </c>
      <c r="C8" s="20">
        <f t="shared" si="0"/>
        <v>5048.4480000000003</v>
      </c>
      <c r="D8" s="20">
        <f t="shared" ref="D8:L8" si="1">D6+D7</f>
        <v>4963.5280000000002</v>
      </c>
      <c r="E8" s="20">
        <f t="shared" si="1"/>
        <v>5914.9380000000001</v>
      </c>
      <c r="F8" s="20">
        <f t="shared" si="1"/>
        <v>6788.1</v>
      </c>
      <c r="G8" s="20">
        <f t="shared" si="1"/>
        <v>7489.5</v>
      </c>
      <c r="H8" s="20">
        <f t="shared" si="1"/>
        <v>1967.1</v>
      </c>
      <c r="I8" s="20">
        <f t="shared" si="1"/>
        <v>2185</v>
      </c>
      <c r="J8" s="20">
        <f t="shared" si="1"/>
        <v>4152.1000000000004</v>
      </c>
      <c r="K8" s="20">
        <f t="shared" si="1"/>
        <v>1946</v>
      </c>
      <c r="L8" s="20">
        <f t="shared" si="1"/>
        <v>3586.5</v>
      </c>
      <c r="M8" s="174">
        <f>J8/L8-1</f>
        <v>0.15770249546912041</v>
      </c>
      <c r="N8" s="169">
        <f>I8/K8-1</f>
        <v>0.12281603288797527</v>
      </c>
      <c r="O8" s="80" t="s">
        <v>63</v>
      </c>
      <c r="P8" s="81">
        <f>SUM(P6:P7)</f>
        <v>2915.2719999999999</v>
      </c>
      <c r="Q8" s="81">
        <f>SUM(Q6:Q7)</f>
        <v>3191.0810000000001</v>
      </c>
      <c r="R8" s="81">
        <f t="shared" ref="R8:U8" si="2">SUM(R6:R7)</f>
        <v>3339.8110000000001</v>
      </c>
      <c r="S8" s="81">
        <f t="shared" si="2"/>
        <v>3821.4610000000002</v>
      </c>
      <c r="T8" s="81">
        <f t="shared" si="2"/>
        <v>4004</v>
      </c>
      <c r="U8" s="81">
        <f t="shared" si="2"/>
        <v>4198</v>
      </c>
      <c r="V8" s="81">
        <f>SUM(V6:V7)</f>
        <v>4510</v>
      </c>
      <c r="W8" s="81">
        <f>SUM(W6:W7)</f>
        <v>5052</v>
      </c>
      <c r="X8" s="119">
        <f>SUM(X6:X7)</f>
        <v>5603.2</v>
      </c>
      <c r="Y8" s="119">
        <f>Y7+Y6</f>
        <v>6232.5</v>
      </c>
      <c r="Z8" s="119">
        <f>Z7+Z6</f>
        <v>6655.2000000000007</v>
      </c>
    </row>
    <row r="9" spans="1:27" x14ac:dyDescent="0.25">
      <c r="A9" s="60" t="s">
        <v>8</v>
      </c>
      <c r="B9" s="28"/>
      <c r="C9" s="28">
        <f>+C8/B8-1</f>
        <v>-6.2941260651647069E-2</v>
      </c>
      <c r="D9" s="28">
        <f>+D8/C8-1</f>
        <v>-1.6821011130549457E-2</v>
      </c>
      <c r="E9" s="28">
        <f>E8/D8-1</f>
        <v>0.19168019199246977</v>
      </c>
      <c r="F9" s="28">
        <f>F8/E8-1</f>
        <v>0.1476198059895133</v>
      </c>
      <c r="G9" s="28">
        <f>G8/F8-1</f>
        <v>0.10332788261811099</v>
      </c>
      <c r="H9" s="59"/>
      <c r="I9" s="59"/>
      <c r="J9" s="59"/>
      <c r="K9" s="59"/>
      <c r="L9" s="170"/>
      <c r="M9" s="170"/>
      <c r="N9" s="169"/>
      <c r="O9" s="70" t="s">
        <v>32</v>
      </c>
      <c r="P9" s="71">
        <v>4.13</v>
      </c>
      <c r="Q9" s="71">
        <v>3.39</v>
      </c>
      <c r="R9" s="71">
        <v>3.0910000000000002</v>
      </c>
      <c r="S9" s="71">
        <v>3.0790000000000002</v>
      </c>
      <c r="T9" s="71"/>
      <c r="U9" s="71"/>
      <c r="V9" s="71"/>
      <c r="W9" s="71"/>
      <c r="X9" s="120"/>
      <c r="Y9" s="71"/>
      <c r="Z9" s="19"/>
    </row>
    <row r="10" spans="1:27" x14ac:dyDescent="0.25">
      <c r="A10" s="60" t="s">
        <v>9</v>
      </c>
      <c r="B10" s="28"/>
      <c r="C10" s="28"/>
      <c r="D10" s="28"/>
      <c r="E10" s="28">
        <f>((E8/B8)^(1/3)-1)</f>
        <v>3.1619893285841583E-2</v>
      </c>
      <c r="F10" s="28">
        <f>((F8/C8)^(1/3)-1)</f>
        <v>0.10373152743222058</v>
      </c>
      <c r="G10" s="28">
        <f>((G8/D8)^(1/3)-1)</f>
        <v>0.14697543418892556</v>
      </c>
      <c r="H10" s="59"/>
      <c r="I10" s="59"/>
      <c r="J10" s="59"/>
      <c r="K10" s="59"/>
      <c r="L10" s="170"/>
      <c r="M10" s="170"/>
      <c r="N10" s="169"/>
      <c r="O10" s="25" t="s">
        <v>64</v>
      </c>
      <c r="P10" s="19">
        <v>317.31900000000002</v>
      </c>
      <c r="Q10" s="19">
        <v>541.88300000000004</v>
      </c>
      <c r="R10" s="19">
        <v>678.76199999999994</v>
      </c>
      <c r="S10" s="19">
        <v>636.74099999999999</v>
      </c>
      <c r="T10" s="19">
        <v>0</v>
      </c>
      <c r="U10" s="19">
        <v>0</v>
      </c>
      <c r="V10" s="19">
        <v>0</v>
      </c>
      <c r="W10" s="19">
        <v>0</v>
      </c>
      <c r="X10" s="121">
        <v>0</v>
      </c>
      <c r="Y10" s="19">
        <v>0</v>
      </c>
      <c r="Z10" s="19"/>
      <c r="AA10" s="136"/>
    </row>
    <row r="11" spans="1:27" ht="15.75" thickBot="1" x14ac:dyDescent="0.3">
      <c r="A11" s="49" t="s">
        <v>10</v>
      </c>
      <c r="B11" s="20">
        <f>SUM(B12:B17)</f>
        <v>4469.5469999999996</v>
      </c>
      <c r="C11" s="20">
        <f>SUM(C12:C17)</f>
        <v>4219.4480000000003</v>
      </c>
      <c r="D11" s="20">
        <f t="shared" ref="D11" si="3">SUM(D12:D17)</f>
        <v>4348.5280000000002</v>
      </c>
      <c r="E11" s="20">
        <f t="shared" ref="E11:L11" si="4">SUM(E12:E17)</f>
        <v>5165.9380000000001</v>
      </c>
      <c r="F11" s="20">
        <f t="shared" si="4"/>
        <v>6033.5000000000009</v>
      </c>
      <c r="G11" s="20">
        <f t="shared" si="4"/>
        <v>6576.9</v>
      </c>
      <c r="H11" s="59">
        <f t="shared" si="4"/>
        <v>1694.1000000000001</v>
      </c>
      <c r="I11" s="59">
        <f t="shared" si="4"/>
        <v>1859.1</v>
      </c>
      <c r="J11" s="59">
        <f t="shared" si="4"/>
        <v>3553.2000000000003</v>
      </c>
      <c r="K11" s="59">
        <f t="shared" si="4"/>
        <v>1700.6000000000001</v>
      </c>
      <c r="L11" s="59">
        <f t="shared" si="4"/>
        <v>3183.5</v>
      </c>
      <c r="M11" s="170"/>
      <c r="N11" s="169"/>
      <c r="O11" s="43" t="s">
        <v>65</v>
      </c>
      <c r="P11" s="23">
        <v>858.25300000000004</v>
      </c>
      <c r="Q11" s="23">
        <v>824.23699999999997</v>
      </c>
      <c r="R11" s="23">
        <v>248.01300000000001</v>
      </c>
      <c r="S11" s="23">
        <v>5.7430000000000003</v>
      </c>
      <c r="T11" s="23">
        <v>0</v>
      </c>
      <c r="U11" s="23">
        <v>0</v>
      </c>
      <c r="V11" s="23">
        <v>0</v>
      </c>
      <c r="W11" s="23">
        <v>0</v>
      </c>
      <c r="X11" s="122">
        <v>0</v>
      </c>
      <c r="Y11" s="23">
        <v>0</v>
      </c>
      <c r="Z11" s="19"/>
    </row>
    <row r="12" spans="1:27" x14ac:dyDescent="0.25">
      <c r="A12" s="2" t="s">
        <v>11</v>
      </c>
      <c r="B12" s="19">
        <v>3423</v>
      </c>
      <c r="C12" s="19">
        <v>3143</v>
      </c>
      <c r="D12" s="19">
        <v>3263</v>
      </c>
      <c r="E12" s="59">
        <v>3859</v>
      </c>
      <c r="F12" s="59">
        <v>4412.3</v>
      </c>
      <c r="G12" s="59">
        <v>4755</v>
      </c>
      <c r="H12" s="59">
        <v>1243.5999999999999</v>
      </c>
      <c r="I12" s="59">
        <v>1338</v>
      </c>
      <c r="J12" s="59">
        <f t="shared" ref="J12:J17" si="5">I12+H12</f>
        <v>2581.6</v>
      </c>
      <c r="K12" s="59">
        <v>1240.2</v>
      </c>
      <c r="L12" s="59">
        <v>2333</v>
      </c>
      <c r="M12" s="170"/>
      <c r="N12" s="169"/>
      <c r="O12" s="77" t="s">
        <v>66</v>
      </c>
      <c r="P12" s="78">
        <f>P10+P11</f>
        <v>1175.5720000000001</v>
      </c>
      <c r="Q12" s="78">
        <f>Q10+Q11</f>
        <v>1366.12</v>
      </c>
      <c r="R12" s="78">
        <f t="shared" ref="R12:S12" si="6">R10+R11</f>
        <v>926.77499999999998</v>
      </c>
      <c r="S12" s="78">
        <f t="shared" si="6"/>
        <v>642.48400000000004</v>
      </c>
      <c r="T12" s="78">
        <v>0</v>
      </c>
      <c r="U12" s="78">
        <v>0</v>
      </c>
      <c r="V12" s="78">
        <v>0</v>
      </c>
      <c r="W12" s="78">
        <f>W10+W11</f>
        <v>0</v>
      </c>
      <c r="X12" s="123">
        <f>X10+X11</f>
        <v>0</v>
      </c>
      <c r="Y12" s="123">
        <v>0</v>
      </c>
      <c r="Z12" s="139"/>
    </row>
    <row r="13" spans="1:27" x14ac:dyDescent="0.25">
      <c r="A13" s="2" t="s">
        <v>24</v>
      </c>
      <c r="B13" s="19">
        <v>0</v>
      </c>
      <c r="C13" s="19">
        <v>0</v>
      </c>
      <c r="D13" s="19">
        <v>0</v>
      </c>
      <c r="E13" s="59">
        <v>113</v>
      </c>
      <c r="F13" s="59">
        <v>164.6</v>
      </c>
      <c r="G13" s="59">
        <v>243.8</v>
      </c>
      <c r="H13" s="59">
        <v>43.4</v>
      </c>
      <c r="I13" s="59">
        <v>81</v>
      </c>
      <c r="J13" s="59">
        <f t="shared" si="5"/>
        <v>124.4</v>
      </c>
      <c r="K13" s="59">
        <v>60.9</v>
      </c>
      <c r="L13" s="59">
        <v>104</v>
      </c>
      <c r="M13" s="170"/>
      <c r="N13" s="169"/>
      <c r="O13" s="26" t="s">
        <v>67</v>
      </c>
      <c r="P13" s="20">
        <f t="shared" ref="P13:S13" si="7">+P8+P9+P20+P21+P10</f>
        <v>3335.8420000000001</v>
      </c>
      <c r="Q13" s="20">
        <f t="shared" si="7"/>
        <v>3848.4470000000001</v>
      </c>
      <c r="R13" s="20">
        <f t="shared" si="7"/>
        <v>4139.7920000000004</v>
      </c>
      <c r="S13" s="20">
        <f t="shared" si="7"/>
        <v>4663.8350000000009</v>
      </c>
      <c r="T13" s="20">
        <f>+T8+T9+T20+T21+T10</f>
        <v>4065</v>
      </c>
      <c r="U13" s="20">
        <f t="shared" ref="U13:Y13" si="8">U8+U22</f>
        <v>4344</v>
      </c>
      <c r="V13" s="20">
        <f t="shared" si="8"/>
        <v>4688.1000000000004</v>
      </c>
      <c r="W13" s="20">
        <f t="shared" si="8"/>
        <v>5326</v>
      </c>
      <c r="X13" s="124">
        <f t="shared" si="8"/>
        <v>5963.2</v>
      </c>
      <c r="Y13" s="124">
        <f t="shared" si="8"/>
        <v>6666.9</v>
      </c>
      <c r="Z13" s="124">
        <f t="shared" ref="Z13" si="9">Z8+Z22</f>
        <v>7071.2000000000007</v>
      </c>
    </row>
    <row r="14" spans="1:27" x14ac:dyDescent="0.25">
      <c r="A14" s="61" t="s">
        <v>25</v>
      </c>
      <c r="B14" s="19">
        <v>-5</v>
      </c>
      <c r="C14" s="19">
        <v>3</v>
      </c>
      <c r="D14" s="19">
        <v>-13</v>
      </c>
      <c r="E14" s="54">
        <v>-18</v>
      </c>
      <c r="F14" s="2">
        <v>-32</v>
      </c>
      <c r="G14" s="54">
        <v>-3.5</v>
      </c>
      <c r="H14" s="59">
        <v>-11.8</v>
      </c>
      <c r="I14" s="59">
        <v>15</v>
      </c>
      <c r="J14" s="59">
        <f t="shared" si="5"/>
        <v>3.1999999999999993</v>
      </c>
      <c r="K14" s="59">
        <v>-2.5</v>
      </c>
      <c r="L14" s="59">
        <v>3</v>
      </c>
      <c r="M14" s="170"/>
      <c r="N14" s="169"/>
      <c r="O14" s="26" t="s">
        <v>67</v>
      </c>
      <c r="P14" s="20">
        <f t="shared" ref="P14:X14" si="10">P62-P34-P11</f>
        <v>3335.8420000000001</v>
      </c>
      <c r="Q14" s="20">
        <f t="shared" si="10"/>
        <v>3667.9179999999997</v>
      </c>
      <c r="R14" s="20">
        <f t="shared" si="10"/>
        <v>3921.8620000000001</v>
      </c>
      <c r="S14" s="20">
        <f t="shared" si="10"/>
        <v>4298.7659999999996</v>
      </c>
      <c r="T14" s="20">
        <f>T62-T34-T11</f>
        <v>4065</v>
      </c>
      <c r="U14" s="20">
        <f t="shared" si="10"/>
        <v>4344.3</v>
      </c>
      <c r="V14" s="20">
        <f t="shared" si="10"/>
        <v>4686.5</v>
      </c>
      <c r="W14" s="20">
        <f>W62-W34-W11</f>
        <v>5326</v>
      </c>
      <c r="X14" s="124">
        <f t="shared" si="10"/>
        <v>5963.3000000000011</v>
      </c>
      <c r="Y14" s="124">
        <f>Y62-Y34-Y11</f>
        <v>6666.9</v>
      </c>
      <c r="Z14" s="124">
        <f>Z62-Z34-Z11</f>
        <v>7071.2000000000007</v>
      </c>
    </row>
    <row r="15" spans="1:27" x14ac:dyDescent="0.25">
      <c r="A15" s="2" t="s">
        <v>193</v>
      </c>
      <c r="B15" s="19">
        <v>575</v>
      </c>
      <c r="C15" s="19">
        <v>604</v>
      </c>
      <c r="D15" s="19">
        <v>661</v>
      </c>
      <c r="E15" s="54">
        <v>679</v>
      </c>
      <c r="F15" s="59">
        <v>797.1</v>
      </c>
      <c r="G15" s="59">
        <v>879.7</v>
      </c>
      <c r="H15" s="59">
        <v>242.9</v>
      </c>
      <c r="I15" s="59">
        <v>244</v>
      </c>
      <c r="J15" s="59">
        <f t="shared" si="5"/>
        <v>486.9</v>
      </c>
      <c r="K15" s="59">
        <v>222</v>
      </c>
      <c r="L15" s="59">
        <v>422</v>
      </c>
      <c r="M15" s="170"/>
      <c r="N15" s="169"/>
      <c r="O15" s="24"/>
      <c r="P15" s="3"/>
      <c r="Q15" s="3"/>
      <c r="R15" s="3"/>
      <c r="S15" s="3"/>
      <c r="T15" s="3"/>
      <c r="U15" s="3"/>
      <c r="V15" s="3"/>
      <c r="W15" s="3"/>
      <c r="X15" s="125"/>
      <c r="Y15" s="2"/>
      <c r="Z15" s="19"/>
    </row>
    <row r="16" spans="1:27" x14ac:dyDescent="0.25">
      <c r="A16" s="2" t="s">
        <v>12</v>
      </c>
      <c r="B16" s="19">
        <v>262</v>
      </c>
      <c r="C16" s="19">
        <v>229</v>
      </c>
      <c r="D16" s="19">
        <v>216</v>
      </c>
      <c r="E16" s="59">
        <v>256</v>
      </c>
      <c r="F16" s="59">
        <v>402.7</v>
      </c>
      <c r="G16" s="59">
        <v>411.9</v>
      </c>
      <c r="H16" s="59">
        <v>97.8</v>
      </c>
      <c r="I16" s="59">
        <f>99+4</f>
        <v>103</v>
      </c>
      <c r="J16" s="59">
        <f t="shared" si="5"/>
        <v>200.8</v>
      </c>
      <c r="K16" s="59">
        <v>108</v>
      </c>
      <c r="L16" s="59">
        <f>202-2</f>
        <v>200</v>
      </c>
      <c r="M16" s="170"/>
      <c r="N16" s="169"/>
      <c r="O16" s="24" t="s">
        <v>33</v>
      </c>
      <c r="P16" s="1"/>
      <c r="Q16" s="2"/>
      <c r="R16" s="2"/>
      <c r="S16" s="2"/>
      <c r="T16" s="34"/>
      <c r="U16" s="34"/>
      <c r="V16" s="35"/>
      <c r="W16" s="35"/>
      <c r="X16" s="126"/>
      <c r="Y16" s="2"/>
      <c r="Z16" s="19"/>
    </row>
    <row r="17" spans="1:27" x14ac:dyDescent="0.25">
      <c r="A17" s="2" t="s">
        <v>192</v>
      </c>
      <c r="B17" s="19">
        <f>226-B71-B75</f>
        <v>214.547</v>
      </c>
      <c r="C17" s="19">
        <f>243-C71-C75</f>
        <v>240.44799999999998</v>
      </c>
      <c r="D17" s="19">
        <f>232-D71-D75</f>
        <v>221.52799999999999</v>
      </c>
      <c r="E17" s="59">
        <f>278-E71-E75</f>
        <v>276.93799999999999</v>
      </c>
      <c r="F17" s="59">
        <v>288.8</v>
      </c>
      <c r="G17" s="59">
        <v>290</v>
      </c>
      <c r="H17" s="59">
        <f>82.4-H71-H75</f>
        <v>78.2</v>
      </c>
      <c r="I17" s="59">
        <f>81.1-I71-I75</f>
        <v>78.099999999999994</v>
      </c>
      <c r="J17" s="59">
        <f t="shared" si="5"/>
        <v>156.30000000000001</v>
      </c>
      <c r="K17" s="59">
        <f>72-K71-K75</f>
        <v>72</v>
      </c>
      <c r="L17" s="59">
        <f>136-L71-L75</f>
        <v>121.5</v>
      </c>
      <c r="M17" s="170"/>
      <c r="N17" s="169"/>
      <c r="O17" s="25" t="s">
        <v>34</v>
      </c>
      <c r="P17" s="2"/>
      <c r="Q17" s="2"/>
      <c r="R17" s="2"/>
      <c r="S17" s="2"/>
      <c r="T17" s="34"/>
      <c r="U17" s="34"/>
      <c r="V17" s="35"/>
      <c r="W17" s="35"/>
      <c r="X17" s="126"/>
      <c r="Y17" s="2"/>
      <c r="Z17" s="19"/>
    </row>
    <row r="18" spans="1:27" x14ac:dyDescent="0.25">
      <c r="A18" s="49" t="s">
        <v>213</v>
      </c>
      <c r="B18" s="20">
        <f t="shared" ref="B18:F18" si="11">B6-B11</f>
        <v>782.45300000000043</v>
      </c>
      <c r="C18" s="20">
        <f t="shared" si="11"/>
        <v>568.55199999999968</v>
      </c>
      <c r="D18" s="20">
        <f t="shared" si="11"/>
        <v>463.47199999999975</v>
      </c>
      <c r="E18" s="20">
        <f t="shared" si="11"/>
        <v>497.0619999999999</v>
      </c>
      <c r="F18" s="20">
        <f t="shared" si="11"/>
        <v>528.99999999999909</v>
      </c>
      <c r="G18" s="20">
        <f t="shared" ref="G18:L18" si="12">G6-G11</f>
        <v>663.90000000000055</v>
      </c>
      <c r="H18" s="59">
        <f t="shared" si="12"/>
        <v>171.39999999999986</v>
      </c>
      <c r="I18" s="59">
        <f t="shared" si="12"/>
        <v>239.90000000000009</v>
      </c>
      <c r="J18" s="59">
        <f t="shared" si="12"/>
        <v>411.29999999999973</v>
      </c>
      <c r="K18" s="59">
        <f t="shared" si="12"/>
        <v>196.39999999999986</v>
      </c>
      <c r="L18" s="59">
        <f t="shared" si="12"/>
        <v>311.5</v>
      </c>
      <c r="M18" s="174">
        <f>J18/L18-1</f>
        <v>0.32038523274478248</v>
      </c>
      <c r="N18" s="169">
        <f>I18/K18-1</f>
        <v>0.22148676171079562</v>
      </c>
      <c r="O18" s="25" t="s">
        <v>35</v>
      </c>
      <c r="P18" s="2"/>
      <c r="Q18" s="2"/>
      <c r="R18" s="2"/>
      <c r="S18" s="2"/>
      <c r="T18" s="34"/>
      <c r="U18" s="34"/>
      <c r="V18" s="35"/>
      <c r="W18" s="35"/>
      <c r="X18" s="126"/>
      <c r="Y18" s="2"/>
      <c r="Z18" s="19"/>
    </row>
    <row r="19" spans="1:27" x14ac:dyDescent="0.25">
      <c r="A19" s="60" t="s">
        <v>8</v>
      </c>
      <c r="B19" s="28"/>
      <c r="C19" s="28">
        <f>(+C18/B18-1)*-1</f>
        <v>0.27337233035083341</v>
      </c>
      <c r="D19" s="28">
        <f t="shared" ref="D19" si="13">+D18/C18-1</f>
        <v>-0.18482038582222904</v>
      </c>
      <c r="E19" s="28">
        <f>+E18/D18-1</f>
        <v>7.2474712603997959E-2</v>
      </c>
      <c r="F19" s="28">
        <f>+F18/E18-1</f>
        <v>6.4253553882612557E-2</v>
      </c>
      <c r="G19" s="28">
        <f>G18/F18-1</f>
        <v>0.25500945179584433</v>
      </c>
      <c r="H19" s="59"/>
      <c r="I19" s="59"/>
      <c r="J19" s="59"/>
      <c r="K19" s="59"/>
      <c r="L19" s="59"/>
      <c r="M19" s="170"/>
      <c r="N19" s="169"/>
      <c r="O19" s="25" t="s">
        <v>180</v>
      </c>
      <c r="P19" s="2"/>
      <c r="Q19" s="2"/>
      <c r="R19" s="2"/>
      <c r="S19" s="2"/>
      <c r="T19" s="34">
        <v>0</v>
      </c>
      <c r="U19" s="2">
        <v>41</v>
      </c>
      <c r="V19" s="35">
        <v>35.1</v>
      </c>
      <c r="W19" s="35">
        <v>33</v>
      </c>
      <c r="X19" s="126">
        <v>29.4</v>
      </c>
      <c r="Y19" s="35">
        <v>21.2</v>
      </c>
      <c r="Z19" s="19">
        <v>16.7</v>
      </c>
      <c r="AA19" s="136"/>
    </row>
    <row r="20" spans="1:27" x14ac:dyDescent="0.25">
      <c r="A20" s="60" t="s">
        <v>9</v>
      </c>
      <c r="B20" s="28"/>
      <c r="C20" s="28"/>
      <c r="D20" s="28"/>
      <c r="E20" s="28">
        <f>(((E18/B18)^(1/3)-1))*-1</f>
        <v>0.14035837924184502</v>
      </c>
      <c r="F20" s="28">
        <f>+((F18/C18)^(1/3)-1)</f>
        <v>-2.3748246797272832E-2</v>
      </c>
      <c r="G20" s="28">
        <f>+((G18/D18)^(1/3)-1)</f>
        <v>0.12726594976519978</v>
      </c>
      <c r="H20" s="59"/>
      <c r="I20" s="59"/>
      <c r="J20" s="59"/>
      <c r="K20" s="59"/>
      <c r="L20" s="59"/>
      <c r="M20" s="170"/>
      <c r="N20" s="169"/>
      <c r="O20" s="25" t="s">
        <v>36</v>
      </c>
      <c r="P20" s="19">
        <v>12.811</v>
      </c>
      <c r="Q20" s="19">
        <v>70.573999999999998</v>
      </c>
      <c r="R20" s="19">
        <v>76.641000000000005</v>
      </c>
      <c r="S20" s="19">
        <v>115.13</v>
      </c>
      <c r="T20" s="2">
        <v>35</v>
      </c>
      <c r="U20" s="2">
        <v>38</v>
      </c>
      <c r="V20" s="2">
        <v>25</v>
      </c>
      <c r="W20" s="54">
        <v>26</v>
      </c>
      <c r="X20" s="116">
        <v>32.1</v>
      </c>
      <c r="Y20" s="35">
        <v>36.299999999999997</v>
      </c>
      <c r="Z20" s="19">
        <v>41.7</v>
      </c>
    </row>
    <row r="21" spans="1:27" x14ac:dyDescent="0.25">
      <c r="A21" s="49" t="s">
        <v>14</v>
      </c>
      <c r="B21" s="138">
        <f>B18/B6</f>
        <v>0.1489819116527038</v>
      </c>
      <c r="C21" s="138">
        <f t="shared" ref="C21:F21" si="14">C18/C6</f>
        <v>0.11874519632414363</v>
      </c>
      <c r="D21" s="138">
        <f t="shared" si="14"/>
        <v>9.6315876974231038E-2</v>
      </c>
      <c r="E21" s="138">
        <f t="shared" si="14"/>
        <v>8.7773618223556407E-2</v>
      </c>
      <c r="F21" s="138">
        <f t="shared" si="14"/>
        <v>8.0609523809523673E-2</v>
      </c>
      <c r="G21" s="138">
        <f t="shared" ref="G21:L21" si="15">G18/G6</f>
        <v>9.1688763672522447E-2</v>
      </c>
      <c r="H21" s="30">
        <f t="shared" si="15"/>
        <v>9.1878852854462539E-2</v>
      </c>
      <c r="I21" s="30">
        <f t="shared" si="15"/>
        <v>0.11429252024773706</v>
      </c>
      <c r="J21" s="30">
        <f t="shared" si="15"/>
        <v>0.1037457434733257</v>
      </c>
      <c r="K21" s="30">
        <f t="shared" si="15"/>
        <v>0.10353189246178168</v>
      </c>
      <c r="L21" s="30">
        <f t="shared" si="15"/>
        <v>8.9127324749642342E-2</v>
      </c>
      <c r="M21" s="171">
        <f>J21-L21</f>
        <v>1.4618418723683357E-2</v>
      </c>
      <c r="N21" s="169">
        <f>I21-K21</f>
        <v>1.0760627785955379E-2</v>
      </c>
      <c r="O21" s="25" t="s">
        <v>37</v>
      </c>
      <c r="P21" s="19">
        <v>86.31</v>
      </c>
      <c r="Q21" s="19">
        <v>41.518999999999998</v>
      </c>
      <c r="R21" s="19">
        <v>41.487000000000002</v>
      </c>
      <c r="S21" s="19">
        <v>87.424000000000007</v>
      </c>
      <c r="T21" s="2">
        <v>26</v>
      </c>
      <c r="U21" s="2">
        <v>67</v>
      </c>
      <c r="V21" s="59">
        <v>118</v>
      </c>
      <c r="W21" s="54">
        <v>215</v>
      </c>
      <c r="X21" s="116">
        <v>298.5</v>
      </c>
      <c r="Y21" s="35">
        <v>376.9</v>
      </c>
      <c r="Z21" s="19">
        <v>357.6</v>
      </c>
    </row>
    <row r="22" spans="1:27" x14ac:dyDescent="0.25">
      <c r="A22" s="2" t="s">
        <v>15</v>
      </c>
      <c r="B22" s="19">
        <v>77</v>
      </c>
      <c r="C22" s="19">
        <v>94</v>
      </c>
      <c r="D22" s="19">
        <v>103</v>
      </c>
      <c r="E22" s="59">
        <v>129</v>
      </c>
      <c r="F22" s="59">
        <v>146.19999999999999</v>
      </c>
      <c r="G22" s="59">
        <v>150.9</v>
      </c>
      <c r="H22" s="59">
        <v>37.9</v>
      </c>
      <c r="I22" s="59">
        <v>40</v>
      </c>
      <c r="J22" s="59">
        <f t="shared" ref="J22:J23" si="16">I22+H22</f>
        <v>77.900000000000006</v>
      </c>
      <c r="K22" s="59">
        <v>38</v>
      </c>
      <c r="L22" s="59">
        <v>76</v>
      </c>
      <c r="M22" s="170"/>
      <c r="O22" s="26" t="s">
        <v>38</v>
      </c>
      <c r="P22" s="20">
        <f>SUM(P18:P21)</f>
        <v>99.121000000000009</v>
      </c>
      <c r="Q22" s="20">
        <f>SUM(Q18:Q21)</f>
        <v>112.09299999999999</v>
      </c>
      <c r="R22" s="20">
        <f t="shared" ref="R22:S22" si="17">SUM(R18:R21)</f>
        <v>118.12800000000001</v>
      </c>
      <c r="S22" s="20">
        <f t="shared" si="17"/>
        <v>202.554</v>
      </c>
      <c r="T22" s="20">
        <f>SUM(T19:T21)</f>
        <v>61</v>
      </c>
      <c r="U22" s="20">
        <f>SUM(U19:U21)</f>
        <v>146</v>
      </c>
      <c r="V22" s="20">
        <f>V19+V20+V21</f>
        <v>178.1</v>
      </c>
      <c r="W22" s="20">
        <f>SUM(W18:W21)</f>
        <v>274</v>
      </c>
      <c r="X22" s="124">
        <f>SUM(X18:X21)</f>
        <v>360</v>
      </c>
      <c r="Y22" s="124">
        <f>SUM(Y18:Y21)</f>
        <v>434.4</v>
      </c>
      <c r="Z22" s="124">
        <f>SUM(Z18:Z21)</f>
        <v>416</v>
      </c>
    </row>
    <row r="23" spans="1:27" x14ac:dyDescent="0.25">
      <c r="A23" s="2" t="s">
        <v>26</v>
      </c>
      <c r="B23" s="19">
        <v>1</v>
      </c>
      <c r="C23" s="19">
        <v>6</v>
      </c>
      <c r="D23" s="19">
        <v>6</v>
      </c>
      <c r="E23" s="2">
        <v>5</v>
      </c>
      <c r="F23" s="35">
        <v>4.2</v>
      </c>
      <c r="G23" s="2">
        <v>3.9</v>
      </c>
      <c r="H23" s="59">
        <v>1.4</v>
      </c>
      <c r="I23" s="59">
        <v>1</v>
      </c>
      <c r="J23" s="59">
        <f t="shared" si="16"/>
        <v>2.4</v>
      </c>
      <c r="K23" s="59">
        <v>1</v>
      </c>
      <c r="L23" s="59">
        <v>2</v>
      </c>
      <c r="M23" s="170"/>
      <c r="O23" s="24" t="s">
        <v>39</v>
      </c>
      <c r="P23" s="1"/>
      <c r="Q23" s="2"/>
      <c r="R23" s="2"/>
      <c r="S23" s="2"/>
      <c r="T23" s="34"/>
      <c r="U23" s="34"/>
      <c r="V23" s="35"/>
      <c r="W23" s="35"/>
      <c r="X23" s="126"/>
      <c r="Y23" s="2"/>
      <c r="Z23" s="19"/>
    </row>
    <row r="24" spans="1:27" x14ac:dyDescent="0.25">
      <c r="A24" s="49" t="s">
        <v>17</v>
      </c>
      <c r="B24" s="20">
        <f>B18-B22-B23+B7</f>
        <v>840.00000000000045</v>
      </c>
      <c r="C24" s="62">
        <f>C18-C22-C23+C7</f>
        <v>728.99999999999977</v>
      </c>
      <c r="D24" s="62">
        <f>D18-D22-D23+D7</f>
        <v>505.99999999999977</v>
      </c>
      <c r="E24" s="62">
        <f>E18-E22-E23+E7</f>
        <v>614.99999999999989</v>
      </c>
      <c r="F24" s="62">
        <f>F18-F22-F23+F7</f>
        <v>604.19999999999914</v>
      </c>
      <c r="G24" s="62">
        <f t="shared" ref="G24:L24" si="18">G18-G22-G23+G7</f>
        <v>757.80000000000064</v>
      </c>
      <c r="H24" s="59">
        <f t="shared" si="18"/>
        <v>233.69999999999985</v>
      </c>
      <c r="I24" s="59">
        <f t="shared" si="18"/>
        <v>284.90000000000009</v>
      </c>
      <c r="J24" s="59">
        <f t="shared" si="18"/>
        <v>518.5999999999998</v>
      </c>
      <c r="K24" s="59">
        <f t="shared" si="18"/>
        <v>206.39999999999986</v>
      </c>
      <c r="L24" s="59">
        <f t="shared" si="18"/>
        <v>325</v>
      </c>
      <c r="M24" s="174">
        <f>J24/L24-1</f>
        <v>0.59569230769230708</v>
      </c>
      <c r="N24" s="169">
        <f t="shared" ref="N24" si="19">I24/K24-1</f>
        <v>0.38032945736434254</v>
      </c>
      <c r="O24" s="25" t="s">
        <v>40</v>
      </c>
      <c r="P24" s="2"/>
      <c r="Q24" s="2"/>
      <c r="R24" s="2"/>
      <c r="S24" s="2"/>
      <c r="T24" s="34"/>
      <c r="U24" s="34"/>
      <c r="V24" s="35"/>
      <c r="W24" s="2"/>
      <c r="X24" s="127"/>
      <c r="Y24" s="2"/>
      <c r="Z24" s="19"/>
    </row>
    <row r="25" spans="1:27" x14ac:dyDescent="0.25">
      <c r="A25" t="s">
        <v>194</v>
      </c>
      <c r="B25" s="19">
        <v>10</v>
      </c>
      <c r="C25" s="19">
        <v>17</v>
      </c>
      <c r="D25" s="19">
        <v>0</v>
      </c>
      <c r="E25" s="2"/>
      <c r="F25" s="59"/>
      <c r="G25" s="59"/>
      <c r="H25" s="59"/>
      <c r="I25" s="59"/>
      <c r="J25" s="59"/>
      <c r="K25" s="59"/>
      <c r="L25" s="59"/>
      <c r="M25" s="170"/>
      <c r="O25" s="25" t="s">
        <v>35</v>
      </c>
      <c r="P25" s="2"/>
      <c r="Q25" s="2"/>
      <c r="R25" s="2"/>
      <c r="S25" s="2"/>
      <c r="T25" s="34"/>
      <c r="U25" s="34"/>
      <c r="V25" s="35"/>
      <c r="W25" s="35" t="s">
        <v>184</v>
      </c>
      <c r="X25" s="126" t="s">
        <v>185</v>
      </c>
      <c r="Y25" s="2"/>
      <c r="Z25" s="19"/>
    </row>
    <row r="26" spans="1:27" x14ac:dyDescent="0.25">
      <c r="A26" s="1" t="s">
        <v>29</v>
      </c>
      <c r="B26" s="18">
        <f t="shared" ref="B26:D26" si="20">SUM(B27:B30)</f>
        <v>245</v>
      </c>
      <c r="C26" s="18">
        <f t="shared" si="20"/>
        <v>169</v>
      </c>
      <c r="D26" s="18">
        <f t="shared" si="20"/>
        <v>110</v>
      </c>
      <c r="E26" s="91">
        <f>SUM(E27:E30)</f>
        <v>112</v>
      </c>
      <c r="F26" s="91">
        <f>SUM(F27:F30)</f>
        <v>121.89999999999999</v>
      </c>
      <c r="G26" s="91">
        <f t="shared" ref="G26:L26" si="21">G27+G30</f>
        <v>164.79999999999998</v>
      </c>
      <c r="H26" s="59">
        <f t="shared" si="21"/>
        <v>52.5</v>
      </c>
      <c r="I26" s="59">
        <f t="shared" si="21"/>
        <v>73</v>
      </c>
      <c r="J26" s="59">
        <f t="shared" si="21"/>
        <v>125.5</v>
      </c>
      <c r="K26" s="59">
        <f t="shared" si="21"/>
        <v>34.1</v>
      </c>
      <c r="L26" s="59">
        <f t="shared" si="21"/>
        <v>56</v>
      </c>
      <c r="M26" s="170"/>
      <c r="O26" s="25" t="s">
        <v>41</v>
      </c>
      <c r="P26" s="19">
        <v>1168.681</v>
      </c>
      <c r="Q26" s="19">
        <v>1129.114</v>
      </c>
      <c r="R26" s="19">
        <v>1473.941</v>
      </c>
      <c r="S26" s="19">
        <v>2359.0329999999999</v>
      </c>
      <c r="T26" s="19">
        <f>206+546</f>
        <v>752</v>
      </c>
      <c r="U26" s="19">
        <f>177+584</f>
        <v>761</v>
      </c>
      <c r="V26" s="19">
        <f>226+694</f>
        <v>920</v>
      </c>
      <c r="W26" s="54">
        <f>257+644</f>
        <v>901</v>
      </c>
      <c r="X26" s="116">
        <f>292.3+662.8</f>
        <v>955.09999999999991</v>
      </c>
      <c r="Y26" s="35">
        <f>433.3+948.8</f>
        <v>1382.1</v>
      </c>
      <c r="Z26" s="19">
        <v>1403</v>
      </c>
      <c r="AA26" s="44"/>
    </row>
    <row r="27" spans="1:27" x14ac:dyDescent="0.25">
      <c r="A27" s="2" t="s">
        <v>27</v>
      </c>
      <c r="B27" s="19">
        <v>222</v>
      </c>
      <c r="C27" s="19">
        <v>173</v>
      </c>
      <c r="D27" s="19">
        <v>103</v>
      </c>
      <c r="E27" s="2">
        <v>58</v>
      </c>
      <c r="F27" s="59">
        <v>115.6</v>
      </c>
      <c r="G27" s="59">
        <v>164.2</v>
      </c>
      <c r="H27" s="59">
        <v>50</v>
      </c>
      <c r="I27" s="59">
        <v>59</v>
      </c>
      <c r="J27" s="59">
        <f t="shared" ref="J27:J30" si="22">I27+H27</f>
        <v>109</v>
      </c>
      <c r="K27" s="59">
        <v>40.1</v>
      </c>
      <c r="L27" s="59">
        <v>67</v>
      </c>
      <c r="M27" s="170"/>
      <c r="O27" s="25" t="s">
        <v>42</v>
      </c>
      <c r="P27" s="19">
        <v>617.91700000000003</v>
      </c>
      <c r="Q27" s="19">
        <v>534.01900000000001</v>
      </c>
      <c r="R27" s="19">
        <v>687.08</v>
      </c>
      <c r="S27" s="19">
        <v>838.90700000000004</v>
      </c>
      <c r="T27" s="68">
        <v>109</v>
      </c>
      <c r="U27" s="2">
        <v>37</v>
      </c>
      <c r="V27" s="68">
        <v>172</v>
      </c>
      <c r="W27" s="54">
        <v>28</v>
      </c>
      <c r="X27" s="116">
        <v>26.6</v>
      </c>
      <c r="Y27" s="35">
        <v>35.799999999999997</v>
      </c>
      <c r="Z27" s="19">
        <v>24.2</v>
      </c>
    </row>
    <row r="28" spans="1:27" x14ac:dyDescent="0.25">
      <c r="A28" t="s">
        <v>196</v>
      </c>
      <c r="B28" s="19"/>
      <c r="C28" s="19">
        <v>0</v>
      </c>
      <c r="D28" s="19">
        <v>-39</v>
      </c>
      <c r="E28" s="2"/>
      <c r="F28" s="59"/>
      <c r="G28" s="59"/>
      <c r="H28" s="59"/>
      <c r="I28" s="59"/>
      <c r="J28" s="59"/>
      <c r="K28" s="59"/>
      <c r="L28" s="59"/>
      <c r="M28" s="170"/>
      <c r="O28" s="25"/>
      <c r="P28" s="19"/>
      <c r="Q28" s="19"/>
      <c r="R28" s="19"/>
      <c r="S28" s="19"/>
      <c r="T28" s="68"/>
      <c r="U28" s="2"/>
      <c r="V28" s="68"/>
      <c r="W28" s="54"/>
      <c r="X28" s="116"/>
      <c r="Y28" s="35"/>
      <c r="Z28" s="19"/>
    </row>
    <row r="29" spans="1:27" x14ac:dyDescent="0.25">
      <c r="A29" t="s">
        <v>197</v>
      </c>
      <c r="B29" s="19"/>
      <c r="C29" s="19">
        <v>0</v>
      </c>
      <c r="D29" s="19">
        <v>39</v>
      </c>
      <c r="E29" s="2"/>
      <c r="F29" s="59"/>
      <c r="G29" s="59"/>
      <c r="H29" s="59"/>
      <c r="I29" s="59"/>
      <c r="J29" s="59"/>
      <c r="K29" s="59"/>
      <c r="L29" s="59"/>
      <c r="M29" s="170"/>
      <c r="O29" s="25"/>
      <c r="P29" s="19"/>
      <c r="Q29" s="19"/>
      <c r="R29" s="19"/>
      <c r="S29" s="19"/>
      <c r="T29" s="68"/>
      <c r="U29" s="2"/>
      <c r="V29" s="68"/>
      <c r="W29" s="54"/>
      <c r="X29" s="116"/>
      <c r="Y29" s="35"/>
      <c r="Z29" s="19"/>
    </row>
    <row r="30" spans="1:27" x14ac:dyDescent="0.25">
      <c r="A30" s="2" t="s">
        <v>28</v>
      </c>
      <c r="B30" s="19">
        <v>23</v>
      </c>
      <c r="C30" s="19">
        <v>-4</v>
      </c>
      <c r="D30" s="19">
        <v>7</v>
      </c>
      <c r="E30" s="2">
        <v>54</v>
      </c>
      <c r="F30" s="2">
        <v>6.3</v>
      </c>
      <c r="G30" s="54">
        <v>0.6</v>
      </c>
      <c r="H30" s="59">
        <v>2.5</v>
      </c>
      <c r="I30" s="59">
        <v>14</v>
      </c>
      <c r="J30" s="59">
        <f t="shared" si="22"/>
        <v>16.5</v>
      </c>
      <c r="K30" s="59">
        <v>-6</v>
      </c>
      <c r="L30" s="59">
        <v>-11</v>
      </c>
      <c r="M30" s="170"/>
      <c r="O30" s="25" t="s">
        <v>181</v>
      </c>
      <c r="P30" s="19"/>
      <c r="Q30" s="19"/>
      <c r="R30" s="19"/>
      <c r="S30" s="19"/>
      <c r="T30" s="19">
        <v>0</v>
      </c>
      <c r="U30" s="19">
        <v>10</v>
      </c>
      <c r="V30" s="19">
        <v>11</v>
      </c>
      <c r="W30" s="54">
        <v>6</v>
      </c>
      <c r="X30" s="116">
        <v>7.1</v>
      </c>
      <c r="Y30" s="35">
        <v>8.1999999999999993</v>
      </c>
      <c r="Z30" s="19">
        <v>8.8000000000000007</v>
      </c>
    </row>
    <row r="31" spans="1:27" x14ac:dyDescent="0.25">
      <c r="A31" s="60" t="s">
        <v>18</v>
      </c>
      <c r="B31" s="55">
        <f t="shared" ref="B31:D31" si="23">B26/B24</f>
        <v>0.29166666666666652</v>
      </c>
      <c r="C31" s="55">
        <f t="shared" si="23"/>
        <v>0.23182441700960227</v>
      </c>
      <c r="D31" s="55">
        <f t="shared" si="23"/>
        <v>0.21739130434782619</v>
      </c>
      <c r="E31" s="55">
        <f t="shared" ref="E31:L31" si="24">E26/E24</f>
        <v>0.18211382113821142</v>
      </c>
      <c r="F31" s="55">
        <f t="shared" si="24"/>
        <v>0.20175438596491255</v>
      </c>
      <c r="G31" s="55">
        <f t="shared" si="24"/>
        <v>0.217471628397994</v>
      </c>
      <c r="H31" s="166">
        <f t="shared" si="24"/>
        <v>0.22464698331193853</v>
      </c>
      <c r="I31" s="166">
        <f t="shared" si="24"/>
        <v>0.25623025623025614</v>
      </c>
      <c r="J31" s="166">
        <f t="shared" si="24"/>
        <v>0.24199768607790215</v>
      </c>
      <c r="K31" s="166">
        <f t="shared" si="24"/>
        <v>0.16521317829457377</v>
      </c>
      <c r="L31" s="166">
        <f t="shared" si="24"/>
        <v>0.1723076923076923</v>
      </c>
      <c r="M31" s="172"/>
      <c r="O31" s="25" t="s">
        <v>43</v>
      </c>
      <c r="P31" s="19">
        <v>39.911999999999999</v>
      </c>
      <c r="Q31" s="19">
        <v>134.035</v>
      </c>
      <c r="R31" s="19">
        <v>191.47200000000001</v>
      </c>
      <c r="S31" s="19">
        <v>239.31299999999999</v>
      </c>
      <c r="T31" s="59">
        <v>145</v>
      </c>
      <c r="U31" s="59">
        <v>120</v>
      </c>
      <c r="V31" s="59">
        <v>130</v>
      </c>
      <c r="W31" s="59">
        <v>142</v>
      </c>
      <c r="X31" s="141">
        <v>216.9</v>
      </c>
      <c r="Y31" s="116">
        <v>257.5</v>
      </c>
      <c r="Z31" s="19">
        <v>241.5</v>
      </c>
    </row>
    <row r="32" spans="1:27" x14ac:dyDescent="0.25">
      <c r="A32" s="49" t="s">
        <v>19</v>
      </c>
      <c r="B32" s="20">
        <f t="shared" ref="B32:D32" si="25">B24-B25-B26</f>
        <v>585.00000000000045</v>
      </c>
      <c r="C32" s="20">
        <f t="shared" si="25"/>
        <v>542.99999999999977</v>
      </c>
      <c r="D32" s="20">
        <f t="shared" si="25"/>
        <v>395.99999999999977</v>
      </c>
      <c r="E32" s="20">
        <f t="shared" ref="E32:L32" si="26">E24-E25-E26</f>
        <v>502.99999999999989</v>
      </c>
      <c r="F32" s="20">
        <f t="shared" si="26"/>
        <v>482.29999999999916</v>
      </c>
      <c r="G32" s="20">
        <f t="shared" si="26"/>
        <v>593.00000000000068</v>
      </c>
      <c r="H32" s="59">
        <f t="shared" si="26"/>
        <v>181.19999999999985</v>
      </c>
      <c r="I32" s="59">
        <f t="shared" si="26"/>
        <v>211.90000000000009</v>
      </c>
      <c r="J32" s="59">
        <f t="shared" si="26"/>
        <v>393.0999999999998</v>
      </c>
      <c r="K32" s="59">
        <f t="shared" si="26"/>
        <v>172.29999999999987</v>
      </c>
      <c r="L32" s="59">
        <f t="shared" si="26"/>
        <v>269</v>
      </c>
      <c r="M32" s="174">
        <f>J32/L32-1</f>
        <v>0.46133828996282444</v>
      </c>
      <c r="N32" s="169">
        <f t="shared" ref="N32" si="27">I32/K32-1</f>
        <v>0.22983168891468519</v>
      </c>
      <c r="O32" s="25" t="s">
        <v>44</v>
      </c>
      <c r="P32" s="19">
        <v>73.281000000000006</v>
      </c>
      <c r="Q32" s="19">
        <v>12.839</v>
      </c>
      <c r="R32" s="19">
        <v>13.836</v>
      </c>
      <c r="S32" s="19">
        <v>22.213999999999999</v>
      </c>
      <c r="T32" s="2">
        <v>9</v>
      </c>
      <c r="U32" s="2">
        <v>7</v>
      </c>
      <c r="V32" s="2">
        <v>10</v>
      </c>
      <c r="W32" s="54">
        <v>9</v>
      </c>
      <c r="X32" s="116">
        <v>8.5</v>
      </c>
      <c r="Y32" s="35">
        <v>19.8</v>
      </c>
      <c r="Z32" s="19">
        <v>23.4</v>
      </c>
    </row>
    <row r="33" spans="1:40" x14ac:dyDescent="0.25">
      <c r="A33" s="49" t="s">
        <v>20</v>
      </c>
      <c r="B33" s="22">
        <f t="shared" ref="B33:D33" si="28">B32/B6</f>
        <v>0.11138613861386147</v>
      </c>
      <c r="C33" s="22">
        <f t="shared" si="28"/>
        <v>0.1134085213032581</v>
      </c>
      <c r="D33" s="22">
        <f t="shared" si="28"/>
        <v>8.2294264339152073E-2</v>
      </c>
      <c r="E33" s="22">
        <f t="shared" ref="E33:L33" si="29">E32/E6</f>
        <v>8.882217905703689E-2</v>
      </c>
      <c r="F33" s="22">
        <f t="shared" si="29"/>
        <v>7.3493333333333202E-2</v>
      </c>
      <c r="G33" s="22">
        <f t="shared" si="29"/>
        <v>8.1897027952712503E-2</v>
      </c>
      <c r="H33" s="30">
        <f t="shared" si="29"/>
        <v>9.7132136156526314E-2</v>
      </c>
      <c r="I33" s="30">
        <f t="shared" si="29"/>
        <v>0.10095283468318252</v>
      </c>
      <c r="J33" s="30">
        <f t="shared" si="29"/>
        <v>9.9155000630596499E-2</v>
      </c>
      <c r="K33" s="30">
        <f t="shared" si="29"/>
        <v>9.0827622561939839E-2</v>
      </c>
      <c r="L33" s="30">
        <f t="shared" si="29"/>
        <v>7.6967095851216027E-2</v>
      </c>
      <c r="M33" s="171"/>
      <c r="O33" s="25" t="s">
        <v>45</v>
      </c>
      <c r="P33" s="19"/>
      <c r="Q33" s="19">
        <v>0.24299999999999999</v>
      </c>
      <c r="R33" s="19">
        <v>12.641999999999999</v>
      </c>
      <c r="S33" s="19">
        <v>38.790999999999997</v>
      </c>
      <c r="T33" s="68">
        <v>17</v>
      </c>
      <c r="U33" s="2">
        <v>16</v>
      </c>
      <c r="V33" s="19">
        <v>0</v>
      </c>
      <c r="W33" s="54"/>
      <c r="X33" s="116">
        <v>0</v>
      </c>
      <c r="Y33" s="2"/>
      <c r="Z33" s="19"/>
    </row>
    <row r="34" spans="1:40" ht="15.75" thickBot="1" x14ac:dyDescent="0.3">
      <c r="A34" s="2" t="s">
        <v>21</v>
      </c>
      <c r="B34" s="19">
        <v>169</v>
      </c>
      <c r="C34" s="19">
        <f>-49</f>
        <v>-49</v>
      </c>
      <c r="D34" s="19">
        <v>39</v>
      </c>
      <c r="E34" s="59">
        <v>172</v>
      </c>
      <c r="F34" s="59">
        <f>375.2-77.3</f>
        <v>297.89999999999998</v>
      </c>
      <c r="G34" s="59">
        <f>337.7-77.8</f>
        <v>259.89999999999998</v>
      </c>
      <c r="H34" s="59">
        <v>-3.4</v>
      </c>
      <c r="I34" s="59">
        <v>32</v>
      </c>
      <c r="J34" s="59">
        <f>I34+H34</f>
        <v>28.6</v>
      </c>
      <c r="K34" s="59">
        <v>1</v>
      </c>
      <c r="L34" s="59">
        <v>-2.5</v>
      </c>
      <c r="M34" s="170"/>
      <c r="O34" s="84" t="s">
        <v>46</v>
      </c>
      <c r="P34" s="85">
        <f t="shared" ref="P34:S34" si="30">SUM(P25:P33)</f>
        <v>1899.7909999999999</v>
      </c>
      <c r="Q34" s="85">
        <f t="shared" si="30"/>
        <v>1810.25</v>
      </c>
      <c r="R34" s="85">
        <f t="shared" si="30"/>
        <v>2378.971</v>
      </c>
      <c r="S34" s="85">
        <f t="shared" si="30"/>
        <v>3498.2580000000003</v>
      </c>
      <c r="T34" s="85">
        <f>SUM(T23:T33)</f>
        <v>1032</v>
      </c>
      <c r="U34" s="85">
        <f t="shared" ref="U34" si="31">SUM(U23:U33)</f>
        <v>951</v>
      </c>
      <c r="V34" s="85">
        <f>SUM(V23:V33)</f>
        <v>1243</v>
      </c>
      <c r="W34" s="85">
        <f>SUM(W25:W33)</f>
        <v>1086</v>
      </c>
      <c r="X34" s="128">
        <f>SUM(X25:X33)</f>
        <v>1214.2</v>
      </c>
      <c r="Y34" s="128">
        <f>SUM(Y25:Y33)</f>
        <v>1703.3999999999999</v>
      </c>
      <c r="Z34" s="128">
        <f>SUM(Z25:Z33)</f>
        <v>1700.9</v>
      </c>
    </row>
    <row r="35" spans="1:40" ht="15.75" thickBot="1" x14ac:dyDescent="0.3">
      <c r="A35" s="49" t="s">
        <v>195</v>
      </c>
      <c r="B35" s="20">
        <f>B32+B34</f>
        <v>754.00000000000045</v>
      </c>
      <c r="C35" s="20">
        <f t="shared" ref="C35:K35" si="32">C32+SUM(C34:C34)</f>
        <v>493.99999999999977</v>
      </c>
      <c r="D35" s="20">
        <f t="shared" si="32"/>
        <v>434.99999999999977</v>
      </c>
      <c r="E35" s="20">
        <f t="shared" si="32"/>
        <v>674.99999999999989</v>
      </c>
      <c r="F35" s="20">
        <f t="shared" si="32"/>
        <v>780.19999999999914</v>
      </c>
      <c r="G35" s="20">
        <f t="shared" si="32"/>
        <v>852.90000000000066</v>
      </c>
      <c r="H35" s="59">
        <f t="shared" si="32"/>
        <v>177.79999999999984</v>
      </c>
      <c r="I35" s="59">
        <f t="shared" si="32"/>
        <v>243.90000000000009</v>
      </c>
      <c r="J35" s="59">
        <f t="shared" si="32"/>
        <v>421.69999999999982</v>
      </c>
      <c r="K35" s="59">
        <f t="shared" si="32"/>
        <v>173.29999999999987</v>
      </c>
      <c r="L35" s="59">
        <f t="shared" ref="L35" si="33">L32+SUM(L34:L34)</f>
        <v>266.5</v>
      </c>
      <c r="M35" s="170"/>
      <c r="O35" s="89"/>
      <c r="P35" s="90"/>
      <c r="Q35" s="90"/>
      <c r="R35" s="90"/>
      <c r="S35" s="90"/>
      <c r="T35" s="90"/>
      <c r="U35" s="90"/>
      <c r="V35" s="90"/>
      <c r="W35" s="90"/>
      <c r="X35" s="90"/>
      <c r="Y35" s="2"/>
      <c r="Z35" s="19"/>
    </row>
    <row r="36" spans="1:40" x14ac:dyDescent="0.25">
      <c r="A36" s="60" t="s">
        <v>8</v>
      </c>
      <c r="B36" s="21"/>
      <c r="C36" s="21">
        <f>C35/B35-1</f>
        <v>-0.34482758620689724</v>
      </c>
      <c r="D36" s="21">
        <f t="shared" ref="D36" si="34">D35/C35-1</f>
        <v>-0.11943319838056687</v>
      </c>
      <c r="E36" s="21">
        <f>E35/D35-1</f>
        <v>0.55172413793103514</v>
      </c>
      <c r="F36" s="21">
        <f>F35/E35-1</f>
        <v>0.1558518518518508</v>
      </c>
      <c r="G36" s="21">
        <f>G35/F35-1</f>
        <v>9.3181235580622301E-2</v>
      </c>
      <c r="H36" s="59"/>
      <c r="I36" s="59"/>
      <c r="J36" s="59"/>
      <c r="K36" s="59"/>
      <c r="L36" s="59"/>
      <c r="M36" s="170"/>
      <c r="O36" s="51" t="s">
        <v>62</v>
      </c>
      <c r="P36" s="88"/>
      <c r="Q36" s="52"/>
      <c r="R36" s="52"/>
      <c r="S36" s="52"/>
      <c r="T36" s="52"/>
      <c r="U36" s="52"/>
      <c r="V36" s="52"/>
      <c r="W36" s="52"/>
      <c r="X36" s="129"/>
      <c r="Y36" s="2"/>
      <c r="Z36" s="19"/>
    </row>
    <row r="37" spans="1:40" x14ac:dyDescent="0.25">
      <c r="A37" s="60" t="s">
        <v>9</v>
      </c>
      <c r="B37" s="28"/>
      <c r="C37" s="28"/>
      <c r="D37" s="28"/>
      <c r="E37" s="28">
        <f>(((E35/B35)^(1/3)-1)*-1)</f>
        <v>3.6220963324037792E-2</v>
      </c>
      <c r="F37" s="28">
        <f>+((F35/C35)^(1/3)-1)</f>
        <v>0.16455409183792113</v>
      </c>
      <c r="G37" s="28">
        <f>+((G35/D35)^(1/3)-1)</f>
        <v>0.25161171411239813</v>
      </c>
      <c r="H37" s="59"/>
      <c r="I37" s="59"/>
      <c r="J37" s="59"/>
      <c r="K37" s="59"/>
      <c r="L37" s="59"/>
      <c r="M37" s="170"/>
      <c r="O37" s="25" t="s">
        <v>48</v>
      </c>
      <c r="P37" s="19">
        <v>2794.7750000000001</v>
      </c>
      <c r="Q37" s="19">
        <v>3373.2649999999999</v>
      </c>
      <c r="R37" s="19">
        <v>3316.1669999999999</v>
      </c>
      <c r="S37" s="19">
        <v>3212.8989999999999</v>
      </c>
      <c r="T37" s="68">
        <v>591</v>
      </c>
      <c r="U37" s="68">
        <v>604</v>
      </c>
      <c r="V37" s="19">
        <v>715</v>
      </c>
      <c r="W37" s="59">
        <v>1163</v>
      </c>
      <c r="X37" s="141">
        <v>1210.5999999999999</v>
      </c>
      <c r="Y37" s="35">
        <v>1311.7</v>
      </c>
      <c r="Z37" s="19">
        <v>1351.9</v>
      </c>
      <c r="AA37" s="44">
        <f>Z37-Y37</f>
        <v>40.200000000000045</v>
      </c>
    </row>
    <row r="38" spans="1:40" x14ac:dyDescent="0.25">
      <c r="A38" s="1" t="s">
        <v>22</v>
      </c>
      <c r="B38" s="3">
        <v>25.88</v>
      </c>
      <c r="C38" s="3">
        <v>24.02</v>
      </c>
      <c r="D38" s="3">
        <v>17.52</v>
      </c>
      <c r="E38" s="1">
        <v>22.21</v>
      </c>
      <c r="F38" s="1">
        <v>21.32</v>
      </c>
      <c r="G38" s="1">
        <v>26.21</v>
      </c>
      <c r="H38" s="68">
        <v>8.02</v>
      </c>
      <c r="I38" s="68">
        <v>9.35</v>
      </c>
      <c r="J38" s="68">
        <f>I38+H38</f>
        <v>17.369999999999997</v>
      </c>
      <c r="K38" s="168">
        <v>7.75</v>
      </c>
      <c r="L38" s="168">
        <v>11.85</v>
      </c>
      <c r="M38" s="113">
        <f>J38-L38</f>
        <v>5.5199999999999978</v>
      </c>
      <c r="N38" s="173">
        <f>I38-K38</f>
        <v>1.5999999999999996</v>
      </c>
      <c r="O38" s="25" t="s">
        <v>49</v>
      </c>
      <c r="P38" s="19">
        <v>69.36</v>
      </c>
      <c r="Q38" s="19">
        <v>18.068999999999999</v>
      </c>
      <c r="R38" s="19">
        <v>70.930999999999997</v>
      </c>
      <c r="S38" s="19">
        <v>51.779000000000003</v>
      </c>
      <c r="T38" s="2">
        <v>69</v>
      </c>
      <c r="U38" s="68">
        <v>132</v>
      </c>
      <c r="V38" s="19">
        <v>339</v>
      </c>
      <c r="W38" s="2">
        <v>51</v>
      </c>
      <c r="X38" s="141">
        <v>128</v>
      </c>
      <c r="Y38" s="35">
        <v>127.4</v>
      </c>
      <c r="Z38" s="19">
        <v>109.7</v>
      </c>
      <c r="AA38" s="44">
        <f>Z38-Y38</f>
        <v>-17.700000000000003</v>
      </c>
    </row>
    <row r="39" spans="1:40" x14ac:dyDescent="0.25">
      <c r="A39" s="32" t="s">
        <v>8</v>
      </c>
      <c r="B39" s="28"/>
      <c r="C39" s="28">
        <f>+C38/B38-1</f>
        <v>-7.1870170015455925E-2</v>
      </c>
      <c r="D39" s="28">
        <f t="shared" ref="D39" si="35">+D38/C38-1</f>
        <v>-0.27060782681099083</v>
      </c>
      <c r="E39" s="28">
        <f>+E38/D38-1</f>
        <v>0.26769406392694073</v>
      </c>
      <c r="F39" s="28">
        <f>+F38/E38-1</f>
        <v>-4.0072039621791955E-2</v>
      </c>
      <c r="G39" s="28">
        <f>G38/F38-1</f>
        <v>0.22936210131332091</v>
      </c>
      <c r="H39" s="59"/>
      <c r="I39" s="59"/>
      <c r="J39" s="59"/>
      <c r="K39" s="59"/>
      <c r="L39" s="59"/>
      <c r="M39" s="170"/>
      <c r="O39" s="25" t="s">
        <v>173</v>
      </c>
      <c r="P39" s="19"/>
      <c r="Q39" s="19"/>
      <c r="R39" s="19"/>
      <c r="S39" s="19"/>
      <c r="T39" s="19"/>
      <c r="U39" s="68">
        <v>140</v>
      </c>
      <c r="V39" s="19">
        <v>131</v>
      </c>
      <c r="W39" s="59">
        <v>122</v>
      </c>
      <c r="X39" s="141">
        <v>117.9</v>
      </c>
      <c r="Y39" s="35">
        <v>108.8</v>
      </c>
      <c r="Z39" s="19">
        <v>104.2</v>
      </c>
      <c r="AA39" s="44">
        <f>Z39-Y39</f>
        <v>-4.5999999999999943</v>
      </c>
    </row>
    <row r="40" spans="1:40" x14ac:dyDescent="0.25">
      <c r="A40" s="32" t="s">
        <v>9</v>
      </c>
      <c r="B40" s="28"/>
      <c r="C40" s="28"/>
      <c r="D40" s="28"/>
      <c r="E40" s="28">
        <f>+((E38/B38)^(1/3)-1)</f>
        <v>-4.9698469202234641E-2</v>
      </c>
      <c r="F40" s="28">
        <f>+((F38/C38)^(1/3)-1)</f>
        <v>-3.8967519995541378E-2</v>
      </c>
      <c r="G40" s="28">
        <f>+((G38/D38)^(1/3)-1)</f>
        <v>0.14369697659948533</v>
      </c>
      <c r="H40" s="59"/>
      <c r="I40" s="59"/>
      <c r="J40" s="59"/>
      <c r="K40" s="59"/>
      <c r="L40" s="59"/>
      <c r="M40" s="170"/>
      <c r="O40" s="25" t="s">
        <v>175</v>
      </c>
      <c r="P40" s="19">
        <v>96.061000000000007</v>
      </c>
      <c r="Q40" s="19">
        <v>111.235</v>
      </c>
      <c r="R40" s="19">
        <v>109.246</v>
      </c>
      <c r="S40" s="19">
        <v>127.5</v>
      </c>
      <c r="T40" s="2">
        <v>54</v>
      </c>
      <c r="U40" s="2">
        <v>51</v>
      </c>
      <c r="V40" s="19">
        <v>56</v>
      </c>
      <c r="W40" s="59" t="s">
        <v>186</v>
      </c>
      <c r="X40" s="141" t="s">
        <v>187</v>
      </c>
      <c r="Y40" s="35"/>
      <c r="Z40" s="19"/>
      <c r="AA40" s="136"/>
    </row>
    <row r="41" spans="1:40" x14ac:dyDescent="0.25">
      <c r="O41" s="25" t="s">
        <v>176</v>
      </c>
      <c r="P41" s="19">
        <v>37.162999999999997</v>
      </c>
      <c r="Q41" s="19">
        <v>36.83</v>
      </c>
      <c r="R41" s="19">
        <v>37.058999999999997</v>
      </c>
      <c r="S41" s="19">
        <v>32.225000000000001</v>
      </c>
      <c r="T41" s="2">
        <v>17</v>
      </c>
      <c r="U41" s="2">
        <v>16</v>
      </c>
      <c r="V41" s="19">
        <v>12.5</v>
      </c>
      <c r="W41" s="54">
        <v>17</v>
      </c>
      <c r="X41" s="126">
        <v>15.9</v>
      </c>
      <c r="Y41" s="35">
        <f>11.3+3.2</f>
        <v>14.5</v>
      </c>
      <c r="Z41" s="19">
        <v>12.2</v>
      </c>
      <c r="AA41" s="44">
        <f>Z41-Y41</f>
        <v>-2.3000000000000007</v>
      </c>
    </row>
    <row r="42" spans="1:40" x14ac:dyDescent="0.25">
      <c r="O42" s="25" t="s">
        <v>177</v>
      </c>
      <c r="P42" s="19"/>
      <c r="Q42" s="19"/>
      <c r="R42" s="19"/>
      <c r="S42" s="19"/>
      <c r="T42" s="19"/>
      <c r="U42" s="19"/>
      <c r="V42" s="19"/>
      <c r="W42" s="2"/>
      <c r="X42" s="127"/>
      <c r="Y42" s="35"/>
      <c r="Z42" s="19"/>
      <c r="AN42">
        <f>4788-549</f>
        <v>4239</v>
      </c>
    </row>
    <row r="43" spans="1:40" x14ac:dyDescent="0.25">
      <c r="A43" s="188" t="s">
        <v>88</v>
      </c>
      <c r="B43" s="189"/>
      <c r="C43" s="189"/>
      <c r="D43" s="189"/>
      <c r="E43" s="189"/>
      <c r="F43" s="189"/>
      <c r="G43" s="189"/>
      <c r="H43" s="190"/>
      <c r="I43" s="162"/>
      <c r="J43" s="162"/>
      <c r="K43" s="162"/>
      <c r="L43" s="162"/>
      <c r="M43" s="162"/>
      <c r="O43" s="25" t="s">
        <v>50</v>
      </c>
      <c r="P43" s="19"/>
      <c r="Q43" s="19">
        <v>3.5000000000000003E-2</v>
      </c>
      <c r="R43" s="19">
        <v>2.5000000000000001E-2</v>
      </c>
      <c r="S43" s="19">
        <v>40.607999999999997</v>
      </c>
      <c r="T43" s="19">
        <v>1260</v>
      </c>
      <c r="U43" s="19">
        <v>1187</v>
      </c>
      <c r="V43" s="19">
        <v>1281</v>
      </c>
      <c r="W43" s="59">
        <v>1456</v>
      </c>
      <c r="X43" s="141">
        <v>2027.4</v>
      </c>
      <c r="Y43" s="35">
        <v>2507.8000000000002</v>
      </c>
      <c r="Z43" s="19">
        <v>3063.2</v>
      </c>
    </row>
    <row r="44" spans="1:40" x14ac:dyDescent="0.25">
      <c r="A44" s="1" t="s">
        <v>1</v>
      </c>
      <c r="B44" s="47" t="s">
        <v>5</v>
      </c>
      <c r="C44" s="48" t="s">
        <v>6</v>
      </c>
      <c r="D44" s="48" t="s">
        <v>171</v>
      </c>
      <c r="E44" s="48" t="s">
        <v>172</v>
      </c>
      <c r="F44" s="48" t="s">
        <v>183</v>
      </c>
      <c r="G44" s="48" t="s">
        <v>210</v>
      </c>
      <c r="H44" s="48" t="s">
        <v>215</v>
      </c>
      <c r="I44" s="148"/>
      <c r="J44" s="148"/>
      <c r="K44" s="148"/>
      <c r="L44" s="56"/>
      <c r="M44" s="56"/>
      <c r="O44" s="25" t="s">
        <v>51</v>
      </c>
      <c r="P44" s="19"/>
      <c r="Q44" s="19">
        <v>38.648000000000003</v>
      </c>
      <c r="R44" s="19">
        <v>85.988</v>
      </c>
      <c r="S44" s="19">
        <v>35.741999999999997</v>
      </c>
      <c r="T44" s="19">
        <v>4</v>
      </c>
      <c r="U44" s="19">
        <v>4.3</v>
      </c>
      <c r="V44" s="19">
        <v>4.5999999999999996</v>
      </c>
      <c r="W44" s="54">
        <v>45</v>
      </c>
      <c r="X44" s="141">
        <v>7.9</v>
      </c>
      <c r="Y44" s="35">
        <v>9.6</v>
      </c>
      <c r="Z44" s="19">
        <v>60.9</v>
      </c>
    </row>
    <row r="45" spans="1:40" x14ac:dyDescent="0.25">
      <c r="A45" s="1" t="s">
        <v>89</v>
      </c>
      <c r="B45" s="19">
        <v>43</v>
      </c>
      <c r="C45" s="19">
        <v>61</v>
      </c>
      <c r="D45" s="19">
        <f>C50</f>
        <v>137</v>
      </c>
      <c r="E45" s="54">
        <f>D50</f>
        <v>37</v>
      </c>
      <c r="F45" s="54">
        <v>235.8</v>
      </c>
      <c r="G45" s="142">
        <v>128.6</v>
      </c>
      <c r="H45" s="142">
        <f>G50</f>
        <v>123.49999999999997</v>
      </c>
      <c r="O45" s="25" t="s">
        <v>161</v>
      </c>
      <c r="P45" s="19">
        <v>473.12299999999999</v>
      </c>
      <c r="Q45" s="19"/>
      <c r="R45" s="19"/>
      <c r="S45" s="19"/>
      <c r="T45" s="19">
        <v>9</v>
      </c>
      <c r="U45" s="19">
        <v>9</v>
      </c>
      <c r="V45" s="19">
        <v>8.1999999999999993</v>
      </c>
      <c r="W45" s="54">
        <v>11</v>
      </c>
      <c r="X45" s="116">
        <v>11.8</v>
      </c>
      <c r="Y45" s="35">
        <v>11.2</v>
      </c>
      <c r="Z45" s="19">
        <v>10.5</v>
      </c>
    </row>
    <row r="46" spans="1:40" x14ac:dyDescent="0.25">
      <c r="A46" s="2" t="s">
        <v>90</v>
      </c>
      <c r="B46" s="19">
        <v>363</v>
      </c>
      <c r="C46" s="19">
        <v>517</v>
      </c>
      <c r="D46" s="19">
        <v>382</v>
      </c>
      <c r="E46" s="54">
        <v>71</v>
      </c>
      <c r="F46" s="54">
        <v>568.6</v>
      </c>
      <c r="G46" s="142">
        <v>626.9</v>
      </c>
      <c r="H46" s="142">
        <v>147.30000000000001</v>
      </c>
      <c r="O46" s="25" t="s">
        <v>178</v>
      </c>
      <c r="P46" s="19">
        <v>24.844999999999999</v>
      </c>
      <c r="Q46" s="19">
        <v>380.60899999999998</v>
      </c>
      <c r="R46" s="19">
        <v>424.26799999999997</v>
      </c>
      <c r="S46" s="19">
        <v>710.62300000000005</v>
      </c>
      <c r="T46" s="19">
        <v>111</v>
      </c>
      <c r="U46" s="19">
        <v>48</v>
      </c>
      <c r="V46" s="19">
        <v>25.2</v>
      </c>
      <c r="W46" s="54">
        <v>10</v>
      </c>
      <c r="X46" s="116">
        <v>1.2</v>
      </c>
      <c r="Y46" s="2"/>
      <c r="Z46" s="19">
        <v>13.5</v>
      </c>
    </row>
    <row r="47" spans="1:40" x14ac:dyDescent="0.25">
      <c r="A47" s="2" t="s">
        <v>91</v>
      </c>
      <c r="B47" s="19">
        <v>-167</v>
      </c>
      <c r="C47" s="19">
        <v>-66</v>
      </c>
      <c r="D47" s="19">
        <v>-335</v>
      </c>
      <c r="E47" s="54">
        <v>281</v>
      </c>
      <c r="F47" s="54">
        <v>-456.7</v>
      </c>
      <c r="G47" s="143">
        <v>-386</v>
      </c>
      <c r="H47" s="142">
        <v>-114.9</v>
      </c>
      <c r="O47" s="25" t="s">
        <v>179</v>
      </c>
      <c r="P47" s="19"/>
      <c r="Q47" s="19"/>
      <c r="R47" s="19"/>
      <c r="S47" s="19"/>
      <c r="T47" s="19"/>
      <c r="U47" s="19">
        <v>0</v>
      </c>
      <c r="V47" s="19"/>
      <c r="W47" s="54"/>
      <c r="X47" s="116"/>
      <c r="Y47" s="2"/>
      <c r="Z47" s="2"/>
      <c r="AJ47">
        <f>729-263+100</f>
        <v>566</v>
      </c>
    </row>
    <row r="48" spans="1:40" x14ac:dyDescent="0.25">
      <c r="A48" s="2" t="s">
        <v>92</v>
      </c>
      <c r="B48" s="19">
        <v>-178</v>
      </c>
      <c r="C48" s="19">
        <v>-375</v>
      </c>
      <c r="D48" s="19">
        <v>-147</v>
      </c>
      <c r="E48" s="54">
        <v>-153</v>
      </c>
      <c r="F48" s="54">
        <v>-219.1</v>
      </c>
      <c r="G48" s="143">
        <v>-246</v>
      </c>
      <c r="H48" s="142">
        <v>-7.7</v>
      </c>
      <c r="O48" s="26" t="s">
        <v>52</v>
      </c>
      <c r="P48" s="20">
        <f t="shared" ref="P48:V48" si="36">SUM(P37:P47)</f>
        <v>3495.3270000000002</v>
      </c>
      <c r="Q48" s="20">
        <f t="shared" si="36"/>
        <v>3958.6909999999998</v>
      </c>
      <c r="R48" s="20">
        <f t="shared" si="36"/>
        <v>4043.6840000000002</v>
      </c>
      <c r="S48" s="20">
        <f t="shared" si="36"/>
        <v>4211.3760000000002</v>
      </c>
      <c r="T48" s="20">
        <f t="shared" si="36"/>
        <v>2115</v>
      </c>
      <c r="U48" s="20">
        <f>SUM(U37:U47)</f>
        <v>2191.3000000000002</v>
      </c>
      <c r="V48" s="20">
        <f t="shared" si="36"/>
        <v>2572.4999999999995</v>
      </c>
      <c r="W48" s="20">
        <f>SUM(W37:W47)</f>
        <v>2875</v>
      </c>
      <c r="X48" s="124">
        <f>SUM(X37:X47)</f>
        <v>3520.7000000000003</v>
      </c>
      <c r="Y48" s="124">
        <f>SUM(Y37:Y47)</f>
        <v>4091</v>
      </c>
      <c r="Z48" s="124">
        <f>SUM(Z37:Z47)</f>
        <v>4726.0999999999995</v>
      </c>
    </row>
    <row r="49" spans="1:36" x14ac:dyDescent="0.25">
      <c r="A49" s="1" t="s">
        <v>93</v>
      </c>
      <c r="B49" s="18">
        <f>+B46+B47+B48</f>
        <v>18</v>
      </c>
      <c r="C49" s="18">
        <f t="shared" ref="C49:D49" si="37">+C46+C47+C48</f>
        <v>76</v>
      </c>
      <c r="D49" s="18">
        <f t="shared" si="37"/>
        <v>-100</v>
      </c>
      <c r="E49" s="91">
        <f>+E46+E47+E48</f>
        <v>199</v>
      </c>
      <c r="F49" s="91">
        <f>+F46+F47+F48</f>
        <v>-107.19999999999996</v>
      </c>
      <c r="G49" s="48">
        <f>G48+G47+G46</f>
        <v>-5.1000000000000227</v>
      </c>
      <c r="H49" s="48">
        <f>H48+H47+H46</f>
        <v>24.700000000000003</v>
      </c>
      <c r="O49" s="24" t="s">
        <v>53</v>
      </c>
      <c r="P49" s="1"/>
      <c r="Q49" s="2"/>
      <c r="R49" s="2"/>
      <c r="S49" s="2"/>
      <c r="T49" s="34"/>
      <c r="U49" s="34"/>
      <c r="V49" s="35"/>
      <c r="W49" s="35"/>
      <c r="X49" s="126"/>
      <c r="Y49" s="2"/>
      <c r="Z49" s="2"/>
    </row>
    <row r="50" spans="1:36" x14ac:dyDescent="0.25">
      <c r="A50" s="49" t="s">
        <v>94</v>
      </c>
      <c r="B50" s="20">
        <f t="shared" ref="B50:F50" si="38">+B45+B49</f>
        <v>61</v>
      </c>
      <c r="C50" s="20">
        <f t="shared" si="38"/>
        <v>137</v>
      </c>
      <c r="D50" s="20">
        <f t="shared" si="38"/>
        <v>37</v>
      </c>
      <c r="E50" s="20">
        <f t="shared" si="38"/>
        <v>236</v>
      </c>
      <c r="F50" s="20">
        <f t="shared" si="38"/>
        <v>128.60000000000005</v>
      </c>
      <c r="G50" s="20">
        <f>+G45+G49</f>
        <v>123.49999999999997</v>
      </c>
      <c r="H50" s="20">
        <f>+H45+H49</f>
        <v>148.19999999999999</v>
      </c>
      <c r="O50" s="25" t="s">
        <v>54</v>
      </c>
      <c r="P50" s="19">
        <v>1418.1790000000001</v>
      </c>
      <c r="Q50" s="19">
        <v>1238.231</v>
      </c>
      <c r="R50" s="19">
        <v>1135.971</v>
      </c>
      <c r="S50" s="19">
        <v>1442.981</v>
      </c>
      <c r="T50" s="19">
        <v>353</v>
      </c>
      <c r="U50" s="19">
        <v>387</v>
      </c>
      <c r="V50" s="19">
        <v>438</v>
      </c>
      <c r="W50" s="59">
        <v>496</v>
      </c>
      <c r="X50" s="141">
        <v>560.6</v>
      </c>
      <c r="Y50" s="35">
        <v>691.7</v>
      </c>
      <c r="Z50" s="35">
        <v>694.8</v>
      </c>
      <c r="AJ50">
        <f>AJ47-17</f>
        <v>549</v>
      </c>
    </row>
    <row r="51" spans="1:36" x14ac:dyDescent="0.25">
      <c r="H51" s="56"/>
      <c r="I51" s="56"/>
      <c r="J51" s="56"/>
      <c r="K51" s="56"/>
      <c r="L51" s="56"/>
      <c r="M51" s="56"/>
      <c r="O51" s="25" t="s">
        <v>55</v>
      </c>
      <c r="P51" s="19"/>
      <c r="Q51" s="19"/>
      <c r="R51" s="19"/>
      <c r="S51" s="19"/>
      <c r="T51" s="19"/>
      <c r="U51" s="19"/>
      <c r="V51" s="19"/>
      <c r="W51" s="54"/>
      <c r="X51" s="116"/>
      <c r="Y51" s="2"/>
      <c r="Z51" s="2"/>
    </row>
    <row r="52" spans="1:36" x14ac:dyDescent="0.25">
      <c r="A52" s="188" t="s">
        <v>95</v>
      </c>
      <c r="B52" s="189"/>
      <c r="C52" s="189"/>
      <c r="D52" s="189"/>
      <c r="E52" s="189"/>
      <c r="F52" s="189"/>
      <c r="G52" s="189"/>
      <c r="H52" s="190"/>
      <c r="I52" s="144"/>
      <c r="J52" s="144"/>
      <c r="K52" s="144"/>
      <c r="L52" s="144"/>
      <c r="M52" s="144"/>
      <c r="O52" s="25" t="s">
        <v>50</v>
      </c>
      <c r="P52" s="19">
        <v>43.622</v>
      </c>
      <c r="Q52" s="19">
        <v>167.56200000000001</v>
      </c>
      <c r="R52" s="19">
        <v>181.881</v>
      </c>
      <c r="S52" s="19">
        <v>311.99</v>
      </c>
      <c r="T52" s="19">
        <v>1348</v>
      </c>
      <c r="U52" s="19">
        <v>1431</v>
      </c>
      <c r="V52" s="19">
        <v>1325</v>
      </c>
      <c r="W52" s="59">
        <v>1327</v>
      </c>
      <c r="X52" s="141">
        <v>1522.8</v>
      </c>
      <c r="Y52" s="59">
        <v>1810.8</v>
      </c>
      <c r="Z52" s="59">
        <v>1493.6</v>
      </c>
    </row>
    <row r="53" spans="1:36" x14ac:dyDescent="0.25">
      <c r="A53" s="51" t="s">
        <v>1</v>
      </c>
      <c r="B53" s="164" t="s">
        <v>5</v>
      </c>
      <c r="C53" s="50" t="s">
        <v>6</v>
      </c>
      <c r="D53" s="50" t="s">
        <v>171</v>
      </c>
      <c r="E53" s="50" t="s">
        <v>172</v>
      </c>
      <c r="F53" s="165" t="s">
        <v>183</v>
      </c>
      <c r="G53" s="50" t="s">
        <v>210</v>
      </c>
      <c r="H53" s="50" t="s">
        <v>215</v>
      </c>
      <c r="O53" s="25" t="s">
        <v>56</v>
      </c>
      <c r="P53" s="19">
        <v>809.10299999999995</v>
      </c>
      <c r="Q53" s="19">
        <v>811.56100000000004</v>
      </c>
      <c r="R53" s="19">
        <v>1039.3579999999999</v>
      </c>
      <c r="S53" s="19">
        <v>1699.0820000000001</v>
      </c>
      <c r="T53" s="19">
        <v>1040</v>
      </c>
      <c r="U53" s="19">
        <v>881</v>
      </c>
      <c r="V53" s="19">
        <v>1094</v>
      </c>
      <c r="W53" s="59">
        <v>1181</v>
      </c>
      <c r="X53" s="141">
        <v>1194.7</v>
      </c>
      <c r="Y53" s="35">
        <v>1417.5</v>
      </c>
      <c r="Z53" s="35">
        <v>1530.3</v>
      </c>
    </row>
    <row r="54" spans="1:36" x14ac:dyDescent="0.25">
      <c r="A54" s="24" t="s">
        <v>96</v>
      </c>
      <c r="B54" s="19">
        <f>B46</f>
        <v>363</v>
      </c>
      <c r="C54" s="19">
        <f>C46</f>
        <v>517</v>
      </c>
      <c r="D54" s="19">
        <f>+D46</f>
        <v>382</v>
      </c>
      <c r="E54" s="54">
        <f>+E46</f>
        <v>71</v>
      </c>
      <c r="F54" s="116">
        <f>+F46</f>
        <v>568.6</v>
      </c>
      <c r="G54" s="54">
        <f>+G46</f>
        <v>626.9</v>
      </c>
      <c r="H54" s="54">
        <f>+H46</f>
        <v>147.30000000000001</v>
      </c>
      <c r="O54" s="25" t="s">
        <v>57</v>
      </c>
      <c r="P54" s="19">
        <v>114.087</v>
      </c>
      <c r="Q54" s="19">
        <v>37.756999999999998</v>
      </c>
      <c r="R54" s="19">
        <v>59.036999999999999</v>
      </c>
      <c r="S54" s="19">
        <v>67.146000000000001</v>
      </c>
      <c r="T54" s="54">
        <v>61</v>
      </c>
      <c r="U54" s="19">
        <v>137</v>
      </c>
      <c r="V54" s="19">
        <v>38</v>
      </c>
      <c r="W54" s="59">
        <v>236</v>
      </c>
      <c r="X54" s="141">
        <v>128.6</v>
      </c>
      <c r="Y54" s="158">
        <v>123.5</v>
      </c>
      <c r="Z54" s="158">
        <v>148.19999999999999</v>
      </c>
    </row>
    <row r="55" spans="1:36" x14ac:dyDescent="0.25">
      <c r="A55" s="25" t="s">
        <v>97</v>
      </c>
      <c r="B55" s="19">
        <v>-156</v>
      </c>
      <c r="C55" s="19">
        <f>-183+118</f>
        <v>-65</v>
      </c>
      <c r="D55" s="19">
        <f>-371</f>
        <v>-371</v>
      </c>
      <c r="E55" s="54">
        <f>-277+244</f>
        <v>-33</v>
      </c>
      <c r="F55" s="116">
        <v>-252.1</v>
      </c>
      <c r="G55" s="54">
        <v>-239.9</v>
      </c>
      <c r="H55" s="54">
        <v>-108.6</v>
      </c>
      <c r="O55" s="25" t="s">
        <v>58</v>
      </c>
      <c r="P55" s="19">
        <v>213.56800000000001</v>
      </c>
      <c r="Q55" s="19">
        <v>67.641999999999996</v>
      </c>
      <c r="R55" s="19">
        <v>66.626000000000005</v>
      </c>
      <c r="S55" s="19">
        <v>41.164999999999999</v>
      </c>
      <c r="T55" s="19">
        <v>77</v>
      </c>
      <c r="U55" s="19">
        <v>147</v>
      </c>
      <c r="V55" s="19">
        <v>289</v>
      </c>
      <c r="W55" s="54">
        <v>130</v>
      </c>
      <c r="X55" s="126">
        <v>99.6</v>
      </c>
      <c r="Y55" s="158">
        <v>65.599999999999994</v>
      </c>
      <c r="Z55" s="158">
        <v>25.3</v>
      </c>
    </row>
    <row r="56" spans="1:36" ht="15.75" thickBot="1" x14ac:dyDescent="0.3">
      <c r="A56" s="45" t="s">
        <v>98</v>
      </c>
      <c r="B56" s="29">
        <v>9</v>
      </c>
      <c r="C56" s="29">
        <f t="shared" ref="C56" si="39">+C54+C55</f>
        <v>452</v>
      </c>
      <c r="D56" s="29">
        <f t="shared" ref="D56" si="40">+D54+D55</f>
        <v>11</v>
      </c>
      <c r="E56" s="29">
        <f>+E54+E55</f>
        <v>38</v>
      </c>
      <c r="F56" s="117">
        <f>+F54+F55</f>
        <v>316.5</v>
      </c>
      <c r="G56" s="139">
        <f>G54+G55</f>
        <v>387</v>
      </c>
      <c r="H56" s="139">
        <f>H54+H55</f>
        <v>38.700000000000017</v>
      </c>
      <c r="O56" s="25" t="s">
        <v>188</v>
      </c>
      <c r="P56" s="19"/>
      <c r="Q56" s="19"/>
      <c r="R56" s="19"/>
      <c r="S56" s="19"/>
      <c r="T56" s="19">
        <v>53</v>
      </c>
      <c r="U56" s="19">
        <v>51</v>
      </c>
      <c r="V56" s="19">
        <v>50</v>
      </c>
      <c r="W56" s="54"/>
      <c r="X56" s="116"/>
      <c r="Y56" s="35"/>
      <c r="Z56" s="35"/>
    </row>
    <row r="57" spans="1:36" ht="15.75" thickBot="1" x14ac:dyDescent="0.3">
      <c r="O57" s="25" t="s">
        <v>174</v>
      </c>
      <c r="P57" s="19"/>
      <c r="Q57" s="19">
        <v>20.960999999999999</v>
      </c>
      <c r="R57" s="19">
        <v>22.289000000000001</v>
      </c>
      <c r="S57" s="19">
        <v>29.027000000000001</v>
      </c>
      <c r="T57" s="19">
        <v>10</v>
      </c>
      <c r="U57" s="19">
        <v>10</v>
      </c>
      <c r="V57" s="19">
        <v>11</v>
      </c>
      <c r="W57" s="54">
        <v>11</v>
      </c>
      <c r="X57" s="116">
        <v>13.3</v>
      </c>
      <c r="Y57" s="35">
        <v>6.6</v>
      </c>
      <c r="Z57" s="35">
        <v>5.3</v>
      </c>
    </row>
    <row r="58" spans="1:36" ht="15.75" thickBot="1" x14ac:dyDescent="0.3">
      <c r="A58" s="65" t="s">
        <v>170</v>
      </c>
      <c r="B58" s="76" t="s">
        <v>5</v>
      </c>
      <c r="C58" s="66" t="s">
        <v>6</v>
      </c>
      <c r="D58" s="66" t="s">
        <v>171</v>
      </c>
      <c r="E58" s="66" t="s">
        <v>172</v>
      </c>
      <c r="F58" s="66" t="s">
        <v>183</v>
      </c>
      <c r="G58" s="67" t="s">
        <v>210</v>
      </c>
      <c r="H58" s="159" t="s">
        <v>215</v>
      </c>
      <c r="I58" s="56"/>
      <c r="J58" s="56"/>
      <c r="K58" s="56"/>
      <c r="L58" s="56"/>
      <c r="M58" s="56"/>
      <c r="O58" s="25" t="s">
        <v>190</v>
      </c>
      <c r="P58" s="19"/>
      <c r="Q58" s="19"/>
      <c r="R58" s="19"/>
      <c r="S58" s="19"/>
      <c r="T58" s="19">
        <v>40</v>
      </c>
      <c r="U58" s="19">
        <v>60</v>
      </c>
      <c r="V58" s="19">
        <v>81</v>
      </c>
      <c r="W58" s="54">
        <v>90</v>
      </c>
      <c r="X58" s="126">
        <v>76.8</v>
      </c>
      <c r="Y58" s="35">
        <v>110.9</v>
      </c>
      <c r="Z58" s="35">
        <v>109.1</v>
      </c>
    </row>
    <row r="59" spans="1:36" x14ac:dyDescent="0.25">
      <c r="A59" s="73" t="s">
        <v>99</v>
      </c>
      <c r="B59" s="93">
        <v>22621424</v>
      </c>
      <c r="C59" s="96">
        <v>22621424</v>
      </c>
      <c r="D59" s="93">
        <v>22621424</v>
      </c>
      <c r="E59" s="100">
        <v>22621424</v>
      </c>
      <c r="F59" s="104">
        <v>22621424</v>
      </c>
      <c r="G59" s="99">
        <v>22621424</v>
      </c>
      <c r="H59" s="100">
        <v>22621424</v>
      </c>
      <c r="I59" s="147"/>
      <c r="J59" s="147"/>
      <c r="K59" s="147"/>
      <c r="L59" s="147"/>
      <c r="M59" s="147"/>
      <c r="O59" s="25" t="s">
        <v>59</v>
      </c>
      <c r="P59" s="19"/>
      <c r="Q59" s="19"/>
      <c r="R59" s="19"/>
      <c r="S59" s="19"/>
      <c r="T59" s="19"/>
      <c r="U59" s="19"/>
      <c r="V59" s="19">
        <v>31</v>
      </c>
      <c r="W59" s="54">
        <v>66</v>
      </c>
      <c r="X59" s="126">
        <v>60.4</v>
      </c>
      <c r="Y59" s="35">
        <v>52.7</v>
      </c>
      <c r="Z59" s="35">
        <v>39.4</v>
      </c>
    </row>
    <row r="60" spans="1:36" x14ac:dyDescent="0.25">
      <c r="A60" s="74" t="s">
        <v>100</v>
      </c>
      <c r="B60" s="94">
        <f t="shared" ref="B60:H60" si="41">B59*T67/1000000</f>
        <v>9537.1923583999996</v>
      </c>
      <c r="C60" s="97">
        <f t="shared" si="41"/>
        <v>4301.4637736000004</v>
      </c>
      <c r="D60" s="94">
        <f t="shared" si="41"/>
        <v>8341.6501000000007</v>
      </c>
      <c r="E60" s="101">
        <f t="shared" si="41"/>
        <v>9612.9741287999987</v>
      </c>
      <c r="F60" s="105">
        <f t="shared" si="41"/>
        <v>7484.2981304000004</v>
      </c>
      <c r="G60" s="105">
        <f t="shared" si="41"/>
        <v>15350.8983264</v>
      </c>
      <c r="H60" s="160">
        <f t="shared" si="41"/>
        <v>17450.166473599998</v>
      </c>
      <c r="I60" s="147"/>
      <c r="J60" s="147"/>
      <c r="K60" s="147"/>
      <c r="L60" s="147"/>
      <c r="M60" s="147"/>
      <c r="O60" s="26" t="s">
        <v>60</v>
      </c>
      <c r="P60" s="20">
        <f>SUM(P50:P59)</f>
        <v>2598.5590000000002</v>
      </c>
      <c r="Q60" s="20">
        <f>SUM(Q50:Q59)</f>
        <v>2343.7139999999999</v>
      </c>
      <c r="R60" s="20">
        <f t="shared" ref="R60:S60" si="42">SUM(R50:R59)</f>
        <v>2505.1620000000003</v>
      </c>
      <c r="S60" s="20">
        <f t="shared" si="42"/>
        <v>3591.3910000000001</v>
      </c>
      <c r="T60" s="20">
        <f>SUM(T50:T59)-T52</f>
        <v>1634</v>
      </c>
      <c r="U60" s="20">
        <f t="shared" ref="U60:X60" si="43">SUM(U50:U59)-U52</f>
        <v>1673</v>
      </c>
      <c r="V60" s="20">
        <f t="shared" si="43"/>
        <v>2032</v>
      </c>
      <c r="W60" s="20">
        <f t="shared" si="43"/>
        <v>2210</v>
      </c>
      <c r="X60" s="20">
        <f t="shared" si="43"/>
        <v>2134.0000000000009</v>
      </c>
      <c r="Y60" s="20">
        <f>SUM(Y50:Y59)-Y52</f>
        <v>2468.5</v>
      </c>
      <c r="Z60" s="20">
        <f>SUM(Z50:Z59)-Z52</f>
        <v>2552.4</v>
      </c>
    </row>
    <row r="61" spans="1:36" ht="15.75" thickBot="1" x14ac:dyDescent="0.3">
      <c r="A61" s="74" t="s">
        <v>101</v>
      </c>
      <c r="B61" s="94">
        <f>T12</f>
        <v>0</v>
      </c>
      <c r="C61" s="97">
        <f>U12</f>
        <v>0</v>
      </c>
      <c r="D61" s="94">
        <f>V12</f>
        <v>0</v>
      </c>
      <c r="E61" s="101">
        <f>W12</f>
        <v>0</v>
      </c>
      <c r="F61" s="105">
        <f>X12</f>
        <v>0</v>
      </c>
      <c r="G61" s="102">
        <v>0</v>
      </c>
      <c r="H61" s="101">
        <v>0</v>
      </c>
      <c r="I61" s="147"/>
      <c r="J61" s="147"/>
      <c r="K61" s="147"/>
      <c r="L61" s="147"/>
      <c r="M61" s="147"/>
      <c r="O61" s="84" t="s">
        <v>105</v>
      </c>
      <c r="P61" s="85">
        <f>2598.559-1859.879</f>
        <v>738.68000000000029</v>
      </c>
      <c r="Q61" s="85">
        <f t="shared" ref="Q61:V61" si="44">Q60-Q34</f>
        <v>533.46399999999994</v>
      </c>
      <c r="R61" s="85">
        <f t="shared" si="44"/>
        <v>126.19100000000026</v>
      </c>
      <c r="S61" s="85">
        <f t="shared" si="44"/>
        <v>93.132999999999811</v>
      </c>
      <c r="T61" s="85">
        <f t="shared" si="44"/>
        <v>602</v>
      </c>
      <c r="U61" s="85">
        <f t="shared" si="44"/>
        <v>722</v>
      </c>
      <c r="V61" s="85">
        <f t="shared" si="44"/>
        <v>789</v>
      </c>
      <c r="W61" s="85">
        <f>W60-W34</f>
        <v>1124</v>
      </c>
      <c r="X61" s="128">
        <f>X60-X34</f>
        <v>919.80000000000086</v>
      </c>
      <c r="Y61" s="128">
        <f>Y60-Y34</f>
        <v>765.10000000000014</v>
      </c>
      <c r="Z61" s="128">
        <f>Z60-Z34</f>
        <v>851.5</v>
      </c>
    </row>
    <row r="62" spans="1:36" x14ac:dyDescent="0.25">
      <c r="A62" s="74" t="s">
        <v>102</v>
      </c>
      <c r="B62" s="94">
        <f t="shared" ref="B62:H62" si="45">T54+T55</f>
        <v>138</v>
      </c>
      <c r="C62" s="97">
        <f t="shared" si="45"/>
        <v>284</v>
      </c>
      <c r="D62" s="94">
        <f t="shared" si="45"/>
        <v>327</v>
      </c>
      <c r="E62" s="101">
        <f t="shared" si="45"/>
        <v>366</v>
      </c>
      <c r="F62" s="105">
        <f t="shared" si="45"/>
        <v>228.2</v>
      </c>
      <c r="G62" s="105">
        <f t="shared" si="45"/>
        <v>189.1</v>
      </c>
      <c r="H62" s="160">
        <f t="shared" si="45"/>
        <v>173.5</v>
      </c>
      <c r="I62" s="147"/>
      <c r="J62" s="147"/>
      <c r="K62" s="147"/>
      <c r="L62" s="147"/>
      <c r="M62" s="147"/>
      <c r="O62" s="86" t="s">
        <v>61</v>
      </c>
      <c r="P62" s="87">
        <f t="shared" ref="P62:S62" si="46">SUM(P48,P60)</f>
        <v>6093.8860000000004</v>
      </c>
      <c r="Q62" s="87">
        <f t="shared" si="46"/>
        <v>6302.4049999999997</v>
      </c>
      <c r="R62" s="87">
        <f t="shared" si="46"/>
        <v>6548.8460000000005</v>
      </c>
      <c r="S62" s="87">
        <f t="shared" si="46"/>
        <v>7802.7669999999998</v>
      </c>
      <c r="T62" s="130">
        <f>SUM(T48,T60)+T52</f>
        <v>5097</v>
      </c>
      <c r="U62" s="130">
        <f t="shared" ref="U62:W62" si="47">SUM(U48,U60)+U52</f>
        <v>5295.3</v>
      </c>
      <c r="V62" s="130">
        <f t="shared" si="47"/>
        <v>5929.5</v>
      </c>
      <c r="W62" s="130">
        <f t="shared" si="47"/>
        <v>6412</v>
      </c>
      <c r="X62" s="130">
        <f>SUM(X48,X60)+X52</f>
        <v>7177.5000000000009</v>
      </c>
      <c r="Y62" s="130">
        <f>SUM(Y48,Y60)+Y52</f>
        <v>8370.2999999999993</v>
      </c>
      <c r="Z62" s="130">
        <f>SUM(Z48,Z60)+Z52</f>
        <v>8772.1</v>
      </c>
      <c r="AB62" s="44"/>
      <c r="AC62" s="44"/>
    </row>
    <row r="63" spans="1:36" ht="15.75" thickBot="1" x14ac:dyDescent="0.3">
      <c r="A63" s="75" t="s">
        <v>103</v>
      </c>
      <c r="B63" s="95">
        <f t="shared" ref="B63:C63" si="48">B60+B61-B62</f>
        <v>9399.1923583999996</v>
      </c>
      <c r="C63" s="98">
        <f t="shared" si="48"/>
        <v>4017.4637736000004</v>
      </c>
      <c r="D63" s="95">
        <f t="shared" ref="D63" si="49">D60+D61-D62</f>
        <v>8014.6501000000007</v>
      </c>
      <c r="E63" s="98">
        <f>E60+E61-E62</f>
        <v>9246.9741287999987</v>
      </c>
      <c r="F63" s="95">
        <f>F60+F61-F62</f>
        <v>7256.0981304000006</v>
      </c>
      <c r="G63" s="103">
        <f>G60+G61-G62</f>
        <v>15161.798326399999</v>
      </c>
      <c r="H63" s="98">
        <f>H60+H61-H62</f>
        <v>17276.666473599998</v>
      </c>
      <c r="I63" s="161"/>
      <c r="J63" s="161"/>
      <c r="K63" s="161"/>
      <c r="L63" s="161"/>
      <c r="M63" s="161"/>
      <c r="O63" s="45" t="s">
        <v>47</v>
      </c>
      <c r="P63" s="46">
        <f t="shared" ref="P63:V63" si="50">+P34+P22+P12+P8+P9</f>
        <v>6093.8860000000004</v>
      </c>
      <c r="Q63" s="46">
        <f t="shared" si="50"/>
        <v>6482.9340000000002</v>
      </c>
      <c r="R63" s="46">
        <f t="shared" si="50"/>
        <v>6766.7760000000007</v>
      </c>
      <c r="S63" s="46">
        <f t="shared" si="50"/>
        <v>8167.8360000000002</v>
      </c>
      <c r="T63" s="46">
        <f t="shared" si="50"/>
        <v>5097</v>
      </c>
      <c r="U63" s="46">
        <f t="shared" si="50"/>
        <v>5295</v>
      </c>
      <c r="V63" s="46">
        <f t="shared" si="50"/>
        <v>5931.1</v>
      </c>
      <c r="W63" s="92">
        <f>W34+W22+W8+W12</f>
        <v>6412</v>
      </c>
      <c r="X63" s="131">
        <f>X34+X8+X12+X22</f>
        <v>7177.4</v>
      </c>
      <c r="Y63" s="131">
        <f>Y34+Y8+Y12+Y22</f>
        <v>8370.2999999999993</v>
      </c>
      <c r="Z63" s="131">
        <f>Z34+Z8+Z12+Z22</f>
        <v>8772.1</v>
      </c>
    </row>
    <row r="64" spans="1:36" ht="15.75" thickBot="1" x14ac:dyDescent="0.3"/>
    <row r="65" spans="1:41" x14ac:dyDescent="0.25">
      <c r="O65" s="182" t="s">
        <v>68</v>
      </c>
      <c r="P65" s="183"/>
      <c r="Q65" s="183"/>
      <c r="R65" s="183"/>
      <c r="S65" s="183"/>
      <c r="T65" s="183"/>
      <c r="U65" s="183"/>
      <c r="V65" s="183"/>
      <c r="W65" s="183"/>
      <c r="X65" s="183"/>
      <c r="Y65" s="184"/>
      <c r="Z65" s="153"/>
    </row>
    <row r="66" spans="1:41" x14ac:dyDescent="0.25">
      <c r="O66" s="51" t="s">
        <v>69</v>
      </c>
      <c r="P66" s="52"/>
      <c r="Q66" s="50" t="s">
        <v>2</v>
      </c>
      <c r="R66" s="50" t="s">
        <v>3</v>
      </c>
      <c r="S66" s="53" t="s">
        <v>4</v>
      </c>
      <c r="T66" s="53" t="s">
        <v>5</v>
      </c>
      <c r="U66" s="53" t="s">
        <v>6</v>
      </c>
      <c r="V66" s="53" t="s">
        <v>171</v>
      </c>
      <c r="W66" s="53" t="s">
        <v>172</v>
      </c>
      <c r="X66" s="152" t="s">
        <v>183</v>
      </c>
      <c r="Y66" s="154" t="s">
        <v>210</v>
      </c>
      <c r="Z66" s="154" t="s">
        <v>217</v>
      </c>
      <c r="AA66" s="155"/>
    </row>
    <row r="67" spans="1:41" x14ac:dyDescent="0.25">
      <c r="A67" s="115" t="s">
        <v>198</v>
      </c>
      <c r="B67" s="44"/>
      <c r="C67" s="44"/>
      <c r="D67" s="44"/>
      <c r="O67" s="37" t="s">
        <v>70</v>
      </c>
      <c r="P67" s="2"/>
      <c r="Q67" s="2">
        <v>38.65</v>
      </c>
      <c r="R67" s="2">
        <v>59.85</v>
      </c>
      <c r="S67" s="2">
        <v>169.9</v>
      </c>
      <c r="T67" s="32">
        <v>421.6</v>
      </c>
      <c r="U67" s="32">
        <v>190.15</v>
      </c>
      <c r="V67" s="32">
        <v>368.75</v>
      </c>
      <c r="W67" s="32">
        <v>424.95</v>
      </c>
      <c r="X67" s="156">
        <v>330.85</v>
      </c>
      <c r="Y67" s="32">
        <v>678.6</v>
      </c>
      <c r="Z67" s="32">
        <v>771.4</v>
      </c>
      <c r="AA67" s="111"/>
      <c r="AO67">
        <f t="shared" ref="AO67" si="51">AA67-AH67</f>
        <v>0</v>
      </c>
    </row>
    <row r="68" spans="1:41" x14ac:dyDescent="0.25">
      <c r="A68" s="110" t="s">
        <v>200</v>
      </c>
      <c r="B68">
        <v>0</v>
      </c>
      <c r="C68">
        <v>0.52</v>
      </c>
      <c r="D68">
        <v>1.621</v>
      </c>
      <c r="E68">
        <v>1.0619999999999998</v>
      </c>
      <c r="F68">
        <v>17.600000000000001</v>
      </c>
      <c r="G68">
        <v>14.4</v>
      </c>
      <c r="H68">
        <v>4.2</v>
      </c>
      <c r="I68">
        <v>3</v>
      </c>
      <c r="J68">
        <f>I68+H68</f>
        <v>7.2</v>
      </c>
      <c r="L68">
        <v>6.2</v>
      </c>
      <c r="O68" s="38" t="s">
        <v>71</v>
      </c>
      <c r="P68" s="2"/>
      <c r="Q68" s="32" t="e">
        <f>#REF!</f>
        <v>#REF!</v>
      </c>
      <c r="R68" s="32" t="e">
        <f>#REF!</f>
        <v>#REF!</v>
      </c>
      <c r="S68" s="32" t="e">
        <f>#REF!</f>
        <v>#REF!</v>
      </c>
      <c r="T68" s="33">
        <f t="shared" ref="T68:Y68" si="52">B38</f>
        <v>25.88</v>
      </c>
      <c r="U68" s="33">
        <f t="shared" si="52"/>
        <v>24.02</v>
      </c>
      <c r="V68" s="33">
        <f t="shared" si="52"/>
        <v>17.52</v>
      </c>
      <c r="W68" s="32">
        <f t="shared" si="52"/>
        <v>22.21</v>
      </c>
      <c r="X68" s="32">
        <f t="shared" si="52"/>
        <v>21.32</v>
      </c>
      <c r="Y68" s="156">
        <f t="shared" si="52"/>
        <v>26.21</v>
      </c>
      <c r="Z68" s="167">
        <f>J38+9.03+5.34</f>
        <v>31.74</v>
      </c>
      <c r="AA68" t="s">
        <v>182</v>
      </c>
    </row>
    <row r="69" spans="1:41" x14ac:dyDescent="0.25">
      <c r="A69" s="110" t="s">
        <v>201</v>
      </c>
      <c r="B69">
        <v>0</v>
      </c>
      <c r="C69">
        <v>0</v>
      </c>
      <c r="D69">
        <v>0</v>
      </c>
      <c r="E69">
        <v>0</v>
      </c>
      <c r="F69">
        <v>26.1</v>
      </c>
      <c r="G69">
        <v>8.3000000000000007</v>
      </c>
      <c r="H69">
        <v>0</v>
      </c>
      <c r="I69">
        <v>0</v>
      </c>
      <c r="J69">
        <f t="shared" ref="J69:J70" si="53">I69+H69</f>
        <v>0</v>
      </c>
      <c r="L69">
        <v>8.3000000000000007</v>
      </c>
      <c r="O69" s="38" t="s">
        <v>72</v>
      </c>
      <c r="P69" s="2"/>
      <c r="Q69" s="33" t="e">
        <f>Q8/(#REF!/1000000)</f>
        <v>#REF!</v>
      </c>
      <c r="R69" s="33" t="e">
        <f>R8/(#REF!/1000000)</f>
        <v>#REF!</v>
      </c>
      <c r="S69" s="33" t="e">
        <f>S8/(#REF!/1000000)</f>
        <v>#REF!</v>
      </c>
      <c r="T69" s="33">
        <f t="shared" ref="T69:Z69" si="54">(T8*1000000)/B59</f>
        <v>177.00035152517367</v>
      </c>
      <c r="U69" s="33">
        <f t="shared" si="54"/>
        <v>185.57629263303673</v>
      </c>
      <c r="V69" s="33">
        <f t="shared" si="54"/>
        <v>199.36852781681648</v>
      </c>
      <c r="W69" s="33">
        <f t="shared" si="54"/>
        <v>223.32811586043388</v>
      </c>
      <c r="X69" s="33">
        <f t="shared" si="54"/>
        <v>247.69439801844482</v>
      </c>
      <c r="Y69" s="33">
        <f t="shared" si="54"/>
        <v>275.51315956060063</v>
      </c>
      <c r="Z69" s="33">
        <f t="shared" si="54"/>
        <v>294.1989858817023</v>
      </c>
      <c r="AA69" s="145"/>
    </row>
    <row r="70" spans="1:41" x14ac:dyDescent="0.25">
      <c r="A70" s="110" t="s">
        <v>202</v>
      </c>
      <c r="B70">
        <v>0</v>
      </c>
      <c r="C70">
        <v>0</v>
      </c>
      <c r="D70">
        <v>0</v>
      </c>
      <c r="E70">
        <v>0</v>
      </c>
      <c r="F70">
        <v>1.5660000000000001</v>
      </c>
      <c r="G70">
        <v>0</v>
      </c>
      <c r="H70">
        <v>0</v>
      </c>
      <c r="I70">
        <v>0</v>
      </c>
      <c r="J70">
        <f t="shared" si="53"/>
        <v>0</v>
      </c>
      <c r="O70" s="37" t="s">
        <v>73</v>
      </c>
      <c r="P70" s="2"/>
      <c r="Q70" s="34">
        <v>0.20159999999999997</v>
      </c>
      <c r="R70" s="34">
        <v>0.30130000000000001</v>
      </c>
      <c r="S70" s="34">
        <v>0.48840000000000006</v>
      </c>
      <c r="T70" s="34">
        <v>6.5</v>
      </c>
      <c r="U70" s="34">
        <v>10.75</v>
      </c>
      <c r="V70" s="34">
        <v>0</v>
      </c>
      <c r="W70" s="34">
        <v>12.25</v>
      </c>
      <c r="X70" s="42">
        <v>9.25</v>
      </c>
      <c r="Y70" s="157">
        <v>10.25</v>
      </c>
      <c r="Z70" s="157"/>
      <c r="AA70" s="145"/>
    </row>
    <row r="71" spans="1:41" x14ac:dyDescent="0.25">
      <c r="A71" s="114" t="s">
        <v>203</v>
      </c>
      <c r="B71" s="111">
        <f>SUM(B68:B70)</f>
        <v>0</v>
      </c>
      <c r="C71" s="111">
        <f t="shared" ref="C71:F71" si="55">SUM(C68:C70)</f>
        <v>0.52</v>
      </c>
      <c r="D71" s="111">
        <f t="shared" si="55"/>
        <v>1.621</v>
      </c>
      <c r="E71" s="111">
        <f t="shared" si="55"/>
        <v>1.0619999999999998</v>
      </c>
      <c r="F71" s="111">
        <f t="shared" si="55"/>
        <v>45.266000000000005</v>
      </c>
      <c r="G71" s="111">
        <f>SUM(G68:G70)</f>
        <v>22.700000000000003</v>
      </c>
      <c r="H71" s="111">
        <f>SUM(H68:H70)</f>
        <v>4.2</v>
      </c>
      <c r="I71" s="111">
        <f>SUM(I68:I70)</f>
        <v>3</v>
      </c>
      <c r="J71" s="111">
        <f>SUM(J68:J70)</f>
        <v>7.2</v>
      </c>
      <c r="K71" s="111"/>
      <c r="L71" s="111">
        <f>SUM(L68:L70)</f>
        <v>14.5</v>
      </c>
      <c r="M71" s="111"/>
      <c r="O71" s="37" t="s">
        <v>74</v>
      </c>
      <c r="P71" s="2"/>
      <c r="Q71" s="34" t="e">
        <f t="shared" ref="Q71:S71" si="56">Q67/Q68</f>
        <v>#REF!</v>
      </c>
      <c r="R71" s="34" t="e">
        <f t="shared" si="56"/>
        <v>#REF!</v>
      </c>
      <c r="S71" s="34" t="e">
        <f t="shared" si="56"/>
        <v>#REF!</v>
      </c>
      <c r="T71" s="33">
        <f t="shared" ref="T71:X71" si="57">T67/T68</f>
        <v>16.290571870170016</v>
      </c>
      <c r="U71" s="33">
        <f t="shared" si="57"/>
        <v>7.9163197335553708</v>
      </c>
      <c r="V71" s="33">
        <f t="shared" si="57"/>
        <v>21.047374429223744</v>
      </c>
      <c r="W71" s="33">
        <f t="shared" si="57"/>
        <v>19.133273300315171</v>
      </c>
      <c r="X71" s="33">
        <f t="shared" si="57"/>
        <v>15.51829268292683</v>
      </c>
      <c r="Y71" s="137">
        <f>Y67/Y68</f>
        <v>25.890881342998856</v>
      </c>
      <c r="Z71" s="137">
        <f>Z67/Z68</f>
        <v>24.30371770636421</v>
      </c>
      <c r="AA71" s="145"/>
    </row>
    <row r="72" spans="1:41" x14ac:dyDescent="0.25">
      <c r="O72" s="37" t="s">
        <v>75</v>
      </c>
      <c r="P72" s="2"/>
      <c r="Q72" s="34" t="e">
        <f>Q67/Q69</f>
        <v>#REF!</v>
      </c>
      <c r="R72" s="34" t="e">
        <f t="shared" ref="R72:S72" si="58">R67/R69</f>
        <v>#REF!</v>
      </c>
      <c r="S72" s="34" t="e">
        <f t="shared" si="58"/>
        <v>#REF!</v>
      </c>
      <c r="T72" s="33">
        <f t="shared" ref="T72:Z72" si="59">T67/T69</f>
        <v>2.3819161734265735</v>
      </c>
      <c r="U72" s="33">
        <f t="shared" si="59"/>
        <v>1.0246459679847546</v>
      </c>
      <c r="V72" s="33">
        <f t="shared" si="59"/>
        <v>1.849589822616408</v>
      </c>
      <c r="W72" s="33">
        <f t="shared" si="59"/>
        <v>1.902805647030879</v>
      </c>
      <c r="X72" s="33">
        <f t="shared" si="59"/>
        <v>1.335718541262136</v>
      </c>
      <c r="Y72" s="33">
        <f t="shared" si="59"/>
        <v>2.463040244909747</v>
      </c>
      <c r="Z72" s="33">
        <f t="shared" si="59"/>
        <v>2.6220348710181507</v>
      </c>
    </row>
    <row r="73" spans="1:41" x14ac:dyDescent="0.25">
      <c r="A73" s="112"/>
      <c r="O73" s="37" t="s">
        <v>76</v>
      </c>
      <c r="P73" s="2"/>
      <c r="Q73" s="34" t="e">
        <f>#REF!/#REF!</f>
        <v>#REF!</v>
      </c>
      <c r="R73" s="34" t="e">
        <f>#REF!/#REF!</f>
        <v>#REF!</v>
      </c>
      <c r="S73" s="34" t="e">
        <f>#REF!/#REF!</f>
        <v>#REF!</v>
      </c>
      <c r="T73" s="33">
        <f t="shared" ref="T73:Z73" si="60">B63/B18</f>
        <v>12.012468938581607</v>
      </c>
      <c r="U73" s="33">
        <f t="shared" si="60"/>
        <v>7.0661325148799099</v>
      </c>
      <c r="V73" s="33">
        <f t="shared" si="60"/>
        <v>17.292630622777654</v>
      </c>
      <c r="W73" s="33">
        <f t="shared" si="60"/>
        <v>18.603261019349699</v>
      </c>
      <c r="X73" s="33">
        <f t="shared" si="60"/>
        <v>13.716631626465054</v>
      </c>
      <c r="Y73" s="33">
        <f t="shared" si="60"/>
        <v>22.837473002560607</v>
      </c>
      <c r="Z73" s="33">
        <f t="shared" si="60"/>
        <v>100.79735398833147</v>
      </c>
    </row>
    <row r="74" spans="1:41" x14ac:dyDescent="0.25">
      <c r="A74" s="110" t="s">
        <v>199</v>
      </c>
      <c r="B74">
        <v>11.452999999999999</v>
      </c>
      <c r="C74">
        <v>2.032</v>
      </c>
      <c r="D74">
        <v>8.8510000000000009</v>
      </c>
      <c r="E74">
        <v>0</v>
      </c>
      <c r="F74">
        <f>(77.25)/10</f>
        <v>7.7249999999999996</v>
      </c>
      <c r="G74">
        <v>0</v>
      </c>
      <c r="H74">
        <v>0</v>
      </c>
      <c r="I74">
        <v>0</v>
      </c>
      <c r="J74">
        <f t="shared" ref="J74:L75" si="61">I74+H74</f>
        <v>0</v>
      </c>
      <c r="L74">
        <f t="shared" si="61"/>
        <v>0</v>
      </c>
      <c r="O74" s="39" t="s">
        <v>77</v>
      </c>
      <c r="P74" s="32"/>
      <c r="Q74" s="31" t="e">
        <f>#REF!/Q8</f>
        <v>#REF!</v>
      </c>
      <c r="R74" s="31" t="e">
        <f>#REF!/R8</f>
        <v>#REF!</v>
      </c>
      <c r="S74" s="31" t="e">
        <f>#REF!/S8</f>
        <v>#REF!</v>
      </c>
      <c r="T74" s="31">
        <f t="shared" ref="T74:Y74" si="62">B32/T8</f>
        <v>0.14610389610389621</v>
      </c>
      <c r="U74" s="31">
        <f t="shared" si="62"/>
        <v>0.12934730824201995</v>
      </c>
      <c r="V74" s="31">
        <f t="shared" si="62"/>
        <v>8.7804878048780441E-2</v>
      </c>
      <c r="W74" s="31">
        <f t="shared" si="62"/>
        <v>9.9564528899445739E-2</v>
      </c>
      <c r="X74" s="31">
        <f t="shared" si="62"/>
        <v>8.6075813820673752E-2</v>
      </c>
      <c r="Y74" s="31">
        <f t="shared" si="62"/>
        <v>9.5146409947854102E-2</v>
      </c>
      <c r="Z74" s="31">
        <f>J32*2/Z8</f>
        <v>0.11813318908522652</v>
      </c>
    </row>
    <row r="75" spans="1:41" x14ac:dyDescent="0.25">
      <c r="A75" s="114" t="s">
        <v>204</v>
      </c>
      <c r="B75" s="113">
        <f>B74</f>
        <v>11.452999999999999</v>
      </c>
      <c r="C75" s="113">
        <f t="shared" ref="C75:H75" si="63">C74</f>
        <v>2.032</v>
      </c>
      <c r="D75" s="113">
        <f t="shared" si="63"/>
        <v>8.8510000000000009</v>
      </c>
      <c r="E75" s="113">
        <f t="shared" si="63"/>
        <v>0</v>
      </c>
      <c r="F75" s="113">
        <f t="shared" si="63"/>
        <v>7.7249999999999996</v>
      </c>
      <c r="G75" s="113">
        <f t="shared" si="63"/>
        <v>0</v>
      </c>
      <c r="H75" s="113">
        <f t="shared" si="63"/>
        <v>0</v>
      </c>
      <c r="I75" s="113">
        <f t="shared" ref="I75" si="64">I74</f>
        <v>0</v>
      </c>
      <c r="J75">
        <f t="shared" si="61"/>
        <v>0</v>
      </c>
      <c r="K75" s="113"/>
      <c r="L75">
        <f t="shared" si="61"/>
        <v>0</v>
      </c>
      <c r="M75" s="113"/>
      <c r="O75" s="39" t="s">
        <v>78</v>
      </c>
      <c r="P75" s="32"/>
      <c r="Q75" s="31" t="e">
        <f>(#REF!-#REF!+#REF!)/Q13</f>
        <v>#REF!</v>
      </c>
      <c r="R75" s="31" t="e">
        <f>(#REF!-#REF!+#REF!)/R13</f>
        <v>#REF!</v>
      </c>
      <c r="S75" s="31" t="e">
        <f>(#REF!-#REF!+#REF!)/S13</f>
        <v>#REF!</v>
      </c>
      <c r="T75" s="146">
        <f>T93</f>
        <v>0.47731846259437227</v>
      </c>
      <c r="U75" s="146">
        <f t="shared" ref="U75:Y75" si="65">U93</f>
        <v>0.26504779007125046</v>
      </c>
      <c r="V75" s="146">
        <f t="shared" si="65"/>
        <v>0.17326219658735872</v>
      </c>
      <c r="W75" s="146">
        <f t="shared" si="65"/>
        <v>0.14473535194651982</v>
      </c>
      <c r="X75" s="146">
        <f t="shared" si="65"/>
        <v>0.15863412208362643</v>
      </c>
      <c r="Y75" s="146">
        <f t="shared" si="65"/>
        <v>0.21845590427117517</v>
      </c>
      <c r="Z75" s="146">
        <f t="shared" ref="Z75" si="66">Z93</f>
        <v>0.26519249125039762</v>
      </c>
    </row>
    <row r="76" spans="1:41" x14ac:dyDescent="0.25">
      <c r="O76" s="37" t="s">
        <v>79</v>
      </c>
      <c r="P76" s="2"/>
      <c r="Q76" s="34">
        <f t="shared" ref="Q76:S76" si="67">Q12/Q8</f>
        <v>0.4281057108860602</v>
      </c>
      <c r="R76" s="34">
        <f t="shared" si="67"/>
        <v>0.27749324737238124</v>
      </c>
      <c r="S76" s="34">
        <f t="shared" si="67"/>
        <v>0.16812522749806946</v>
      </c>
      <c r="T76" s="33">
        <f t="shared" ref="T76:Y76" si="68">T12/T8</f>
        <v>0</v>
      </c>
      <c r="U76" s="33">
        <f t="shared" si="68"/>
        <v>0</v>
      </c>
      <c r="V76" s="33">
        <f t="shared" si="68"/>
        <v>0</v>
      </c>
      <c r="W76" s="33">
        <f t="shared" si="68"/>
        <v>0</v>
      </c>
      <c r="X76" s="33">
        <f t="shared" si="68"/>
        <v>0</v>
      </c>
      <c r="Y76" s="33">
        <f t="shared" si="68"/>
        <v>0</v>
      </c>
      <c r="Z76" s="33">
        <f t="shared" ref="Z76" si="69">Z12/Z8</f>
        <v>0</v>
      </c>
    </row>
    <row r="77" spans="1:41" x14ac:dyDescent="0.25">
      <c r="O77" s="37" t="s">
        <v>80</v>
      </c>
      <c r="P77" s="2"/>
      <c r="Q77" s="34">
        <f t="shared" ref="Q77:X77" si="70">(Q12-Q54-Q55)/Q8</f>
        <v>0.39507646468391111</v>
      </c>
      <c r="R77" s="34">
        <f t="shared" si="70"/>
        <v>0.23986746555418853</v>
      </c>
      <c r="S77" s="34">
        <f t="shared" si="70"/>
        <v>0.13978240259419109</v>
      </c>
      <c r="T77" s="33">
        <f t="shared" si="70"/>
        <v>-3.4465534465534464E-2</v>
      </c>
      <c r="U77" s="33">
        <f t="shared" si="70"/>
        <v>-6.7651262505955212E-2</v>
      </c>
      <c r="V77" s="33">
        <f t="shared" si="70"/>
        <v>-7.2505543237250558E-2</v>
      </c>
      <c r="W77" s="33">
        <f t="shared" si="70"/>
        <v>-7.244655581947744E-2</v>
      </c>
      <c r="X77" s="33">
        <f t="shared" si="70"/>
        <v>-4.0726727584237579E-2</v>
      </c>
      <c r="Y77" s="33">
        <f t="shared" ref="Y77:Z77" si="71">(Y12-Y54-Y55)/Y8</f>
        <v>-3.0340954673084636E-2</v>
      </c>
      <c r="Z77" s="33">
        <f t="shared" si="71"/>
        <v>-2.6069840125015023E-2</v>
      </c>
    </row>
    <row r="78" spans="1:41" x14ac:dyDescent="0.25">
      <c r="O78" s="37" t="s">
        <v>81</v>
      </c>
      <c r="P78" s="2"/>
      <c r="Q78" s="30" t="e">
        <f>Q70/Q68</f>
        <v>#REF!</v>
      </c>
      <c r="R78" s="30" t="e">
        <f t="shared" ref="R78:S78" si="72">R70/R68</f>
        <v>#REF!</v>
      </c>
      <c r="S78" s="30" t="e">
        <f t="shared" si="72"/>
        <v>#REF!</v>
      </c>
      <c r="T78" s="31">
        <f t="shared" ref="T78:Y78" si="73">T70/T67</f>
        <v>1.5417457305502846E-2</v>
      </c>
      <c r="U78" s="31">
        <f t="shared" si="73"/>
        <v>5.6534315014462266E-2</v>
      </c>
      <c r="V78" s="31">
        <f t="shared" si="73"/>
        <v>0</v>
      </c>
      <c r="W78" s="31">
        <f t="shared" si="73"/>
        <v>2.8826920814213439E-2</v>
      </c>
      <c r="X78" s="31">
        <f t="shared" si="73"/>
        <v>2.7958289254949371E-2</v>
      </c>
      <c r="Y78" s="31">
        <f t="shared" si="73"/>
        <v>1.510462717359269E-2</v>
      </c>
      <c r="Z78" s="31">
        <f t="shared" ref="Z78" si="74">Z70/Z67</f>
        <v>0</v>
      </c>
    </row>
    <row r="79" spans="1:41" x14ac:dyDescent="0.25">
      <c r="O79" s="37" t="s">
        <v>82</v>
      </c>
      <c r="P79" s="2"/>
      <c r="Q79" s="35" t="e">
        <f>AVERAGE(P53:Q53)/#REF!*365</f>
        <v>#REF!</v>
      </c>
      <c r="R79" s="35" t="e">
        <f>AVERAGE(Q53:R53)/#REF!*365</f>
        <v>#REF!</v>
      </c>
      <c r="S79" s="35" t="e">
        <f>AVERAGE(R53:S53)/#REF!*365</f>
        <v>#REF!</v>
      </c>
      <c r="T79" s="108">
        <f t="shared" ref="T79:Y79" si="75">AVERAGE(S53:T53)/B6*365</f>
        <v>95.17944878141661</v>
      </c>
      <c r="U79" s="108">
        <f t="shared" si="75"/>
        <v>73.221073517126143</v>
      </c>
      <c r="V79" s="108">
        <f t="shared" si="75"/>
        <v>74.903886118038244</v>
      </c>
      <c r="W79" s="108">
        <f t="shared" si="75"/>
        <v>73.315822002472189</v>
      </c>
      <c r="X79" s="108">
        <f t="shared" si="75"/>
        <v>66.06708571428571</v>
      </c>
      <c r="Y79" s="108">
        <f t="shared" si="75"/>
        <v>65.838926637940546</v>
      </c>
      <c r="Z79" s="108">
        <f>AVERAGE(Y53:Z53)/J6*365/2</f>
        <v>67.848846008323889</v>
      </c>
    </row>
    <row r="80" spans="1:41" x14ac:dyDescent="0.25">
      <c r="O80" s="37" t="s">
        <v>83</v>
      </c>
      <c r="P80" s="2"/>
      <c r="Q80" s="35" t="e">
        <f>AVERAGE(P26:Q26)/#REF!*365</f>
        <v>#REF!</v>
      </c>
      <c r="R80" s="35" t="e">
        <f>AVERAGE(Q26:R26)/#REF!*365</f>
        <v>#REF!</v>
      </c>
      <c r="S80" s="35" t="e">
        <f>AVERAGE(R26:S26)/#REF!*365</f>
        <v>#REF!</v>
      </c>
      <c r="T80" s="108">
        <f t="shared" ref="T80:Y80" si="76">AVERAGE(S26:T26)/SUM(B12:B13)*365</f>
        <v>165.8672283085013</v>
      </c>
      <c r="U80" s="108">
        <f t="shared" si="76"/>
        <v>87.853165765192486</v>
      </c>
      <c r="V80" s="108">
        <f t="shared" si="76"/>
        <v>94.018541219736434</v>
      </c>
      <c r="W80" s="108">
        <f t="shared" si="76"/>
        <v>83.668806646525681</v>
      </c>
      <c r="X80" s="108">
        <f t="shared" si="76"/>
        <v>74.010410976862048</v>
      </c>
      <c r="Y80" s="108">
        <f t="shared" si="76"/>
        <v>85.328278786908839</v>
      </c>
      <c r="Z80" s="108">
        <f>AVERAGE(Y26:Z26)/SUM(J12:J13)*365/2</f>
        <v>93.91735957132299</v>
      </c>
    </row>
    <row r="81" spans="15:39" x14ac:dyDescent="0.25">
      <c r="O81" s="37" t="s">
        <v>84</v>
      </c>
      <c r="P81" s="2"/>
      <c r="Q81" s="35" t="e">
        <f>AVERAGE(P50:Q50)/#REF!*365</f>
        <v>#REF!</v>
      </c>
      <c r="R81" s="35" t="e">
        <f>AVERAGE(Q50:R50)/#REF!*365</f>
        <v>#REF!</v>
      </c>
      <c r="S81" s="35" t="e">
        <f>AVERAGE(R50:S50)/#REF!*365</f>
        <v>#REF!</v>
      </c>
      <c r="T81" s="108">
        <f t="shared" ref="T81:Y81" si="77">AVERAGE(S50:T50)/SUM(B12:B14)*365</f>
        <v>95.894245904037447</v>
      </c>
      <c r="U81" s="108">
        <f t="shared" si="77"/>
        <v>42.927527018436109</v>
      </c>
      <c r="V81" s="108">
        <f t="shared" si="77"/>
        <v>46.326923076923073</v>
      </c>
      <c r="W81" s="108">
        <f t="shared" si="77"/>
        <v>43.109509357612545</v>
      </c>
      <c r="X81" s="108">
        <f t="shared" si="77"/>
        <v>42.427666175273373</v>
      </c>
      <c r="Y81" s="108">
        <f t="shared" si="77"/>
        <v>45.75195683942907</v>
      </c>
      <c r="Z81" s="108">
        <f>AVERAGE(Y50:Z50)/SUM(J12:J14)*365/2</f>
        <v>46.699440794330428</v>
      </c>
    </row>
    <row r="82" spans="15:39" x14ac:dyDescent="0.25">
      <c r="O82" s="38" t="s">
        <v>85</v>
      </c>
      <c r="P82" s="2"/>
      <c r="Q82" s="40" t="e">
        <f t="shared" ref="Q82:S82" si="78">(Q81+Q79-Q80)</f>
        <v>#REF!</v>
      </c>
      <c r="R82" s="40" t="e">
        <f t="shared" si="78"/>
        <v>#REF!</v>
      </c>
      <c r="S82" s="40" t="e">
        <f t="shared" si="78"/>
        <v>#REF!</v>
      </c>
      <c r="T82" s="40">
        <f>(T81+T79-T80)</f>
        <v>25.206466376952761</v>
      </c>
      <c r="U82" s="40">
        <f t="shared" ref="U82:W82" si="79">(U81+U79-U80)</f>
        <v>28.295434770369766</v>
      </c>
      <c r="V82" s="40">
        <f t="shared" si="79"/>
        <v>27.21226797522489</v>
      </c>
      <c r="W82" s="40">
        <f t="shared" si="79"/>
        <v>32.756524713559045</v>
      </c>
      <c r="X82" s="40">
        <f>(X81+X79-X80)</f>
        <v>34.484340912697036</v>
      </c>
      <c r="Y82" s="40">
        <f>(Y81+Y79-Y80)</f>
        <v>26.262604690460776</v>
      </c>
      <c r="Z82" s="40">
        <f>(Z81+Z79-Z80)</f>
        <v>20.630927231331327</v>
      </c>
    </row>
    <row r="83" spans="15:39" x14ac:dyDescent="0.25">
      <c r="O83" s="37" t="s">
        <v>86</v>
      </c>
      <c r="P83" s="2"/>
      <c r="Q83" s="35" t="e">
        <f>AVERAGE(P61:Q61)/#REF!*365</f>
        <v>#REF!</v>
      </c>
      <c r="R83" s="35" t="e">
        <f>AVERAGE(Q61:R61)/#REF!*365</f>
        <v>#REF!</v>
      </c>
      <c r="S83" s="35" t="e">
        <f>AVERAGE(R61:S61)/#REF!*365</f>
        <v>#REF!</v>
      </c>
      <c r="T83" s="108">
        <f>(T61)/B6*365</f>
        <v>41.837395277989337</v>
      </c>
      <c r="U83" s="108">
        <f>AVERAGE(T61:U61)/C6*365</f>
        <v>50.465747702589802</v>
      </c>
      <c r="V83" s="108">
        <f>AVERAGE(U61:V61)/D6*365</f>
        <v>57.306213632585205</v>
      </c>
      <c r="W83" s="108">
        <f>AVERAGE(V61:W61)/E6*365</f>
        <v>61.649743951968922</v>
      </c>
      <c r="X83" s="108">
        <f>AVERAGE(W61:X61)/F6*365</f>
        <v>56.837104761904783</v>
      </c>
      <c r="Y83" s="108">
        <f>AVERAGE(X61:Y61)/G6*365</f>
        <v>42.466889017788112</v>
      </c>
      <c r="Z83" s="108">
        <f>AVERAGE(Y61:Z61)/J6*365/2</f>
        <v>37.208916635136838</v>
      </c>
    </row>
    <row r="84" spans="15:39" ht="15.75" thickBot="1" x14ac:dyDescent="0.3">
      <c r="O84" s="41" t="s">
        <v>87</v>
      </c>
      <c r="P84" s="36"/>
      <c r="Q84" s="27" t="e">
        <f>#REF!/Q12</f>
        <v>#REF!</v>
      </c>
      <c r="R84" s="27" t="e">
        <f>#REF!/R12</f>
        <v>#REF!</v>
      </c>
      <c r="S84" s="27" t="e">
        <f>#REF!/S12</f>
        <v>#REF!</v>
      </c>
      <c r="T84" s="109">
        <v>0</v>
      </c>
      <c r="U84" s="109">
        <v>0</v>
      </c>
      <c r="V84" s="109">
        <v>0</v>
      </c>
      <c r="W84" s="109">
        <v>0</v>
      </c>
      <c r="X84" s="109">
        <v>0</v>
      </c>
      <c r="Y84" s="109">
        <v>0</v>
      </c>
      <c r="Z84" s="109">
        <v>0</v>
      </c>
    </row>
    <row r="86" spans="15:39" x14ac:dyDescent="0.25">
      <c r="O86" t="s">
        <v>205</v>
      </c>
    </row>
    <row r="87" spans="15:39" x14ac:dyDescent="0.25">
      <c r="O87" t="s">
        <v>206</v>
      </c>
      <c r="T87" s="44">
        <f>T48-T43</f>
        <v>855</v>
      </c>
      <c r="U87" s="44">
        <f t="shared" ref="U87:Y87" si="80">U48-U43</f>
        <v>1004.3000000000002</v>
      </c>
      <c r="V87" s="44">
        <f t="shared" si="80"/>
        <v>1291.4999999999995</v>
      </c>
      <c r="W87" s="44">
        <f t="shared" si="80"/>
        <v>1419</v>
      </c>
      <c r="X87" s="44">
        <f t="shared" si="80"/>
        <v>1493.3000000000002</v>
      </c>
      <c r="Y87" s="44">
        <f t="shared" si="80"/>
        <v>1583.1999999999998</v>
      </c>
      <c r="Z87" s="44">
        <f t="shared" ref="Z87" si="81">Z48-Z43</f>
        <v>1662.8999999999996</v>
      </c>
      <c r="AB87" s="44">
        <v>855</v>
      </c>
      <c r="AC87" s="44">
        <v>1004.3000000000002</v>
      </c>
      <c r="AD87" s="44">
        <v>1291.4999999999995</v>
      </c>
      <c r="AE87" s="44">
        <v>1419</v>
      </c>
      <c r="AF87" s="44">
        <v>1494</v>
      </c>
      <c r="AG87" s="44">
        <v>1545</v>
      </c>
      <c r="AH87" s="44"/>
      <c r="AI87">
        <f t="shared" ref="AI87:AI94" si="82">T87-AB87</f>
        <v>0</v>
      </c>
      <c r="AJ87">
        <f t="shared" ref="AJ87:AJ94" si="83">U87-AC87</f>
        <v>0</v>
      </c>
      <c r="AK87">
        <f t="shared" ref="AK87:AK94" si="84">V87-AD87</f>
        <v>0</v>
      </c>
      <c r="AL87">
        <f t="shared" ref="AL87:AL94" si="85">W87-AE87</f>
        <v>0</v>
      </c>
      <c r="AM87">
        <f t="shared" ref="AM87:AM94" si="86">X87-AF87</f>
        <v>-0.6999999999998181</v>
      </c>
    </row>
    <row r="88" spans="15:39" x14ac:dyDescent="0.25">
      <c r="O88" t="s">
        <v>207</v>
      </c>
      <c r="T88" s="44">
        <f t="shared" ref="T88:Y88" si="87">T60</f>
        <v>1634</v>
      </c>
      <c r="U88" s="44">
        <f t="shared" si="87"/>
        <v>1673</v>
      </c>
      <c r="V88" s="44">
        <f t="shared" si="87"/>
        <v>2032</v>
      </c>
      <c r="W88" s="44">
        <f t="shared" si="87"/>
        <v>2210</v>
      </c>
      <c r="X88" s="44">
        <f t="shared" si="87"/>
        <v>2134.0000000000009</v>
      </c>
      <c r="Y88" s="44">
        <f t="shared" si="87"/>
        <v>2468.5</v>
      </c>
      <c r="Z88" s="44">
        <f t="shared" ref="Z88" si="88">Z60</f>
        <v>2552.4</v>
      </c>
      <c r="AB88" s="44">
        <v>286</v>
      </c>
      <c r="AC88" s="44">
        <v>242</v>
      </c>
      <c r="AD88" s="44">
        <v>707</v>
      </c>
      <c r="AE88" s="44">
        <v>883</v>
      </c>
      <c r="AF88" s="44">
        <v>611</v>
      </c>
      <c r="AG88" s="44">
        <v>532</v>
      </c>
      <c r="AH88" s="44"/>
      <c r="AI88">
        <f t="shared" si="82"/>
        <v>1348</v>
      </c>
      <c r="AJ88">
        <f t="shared" si="83"/>
        <v>1431</v>
      </c>
      <c r="AK88">
        <f t="shared" si="84"/>
        <v>1325</v>
      </c>
      <c r="AL88">
        <f t="shared" si="85"/>
        <v>1327</v>
      </c>
      <c r="AM88">
        <f t="shared" si="86"/>
        <v>1523.0000000000009</v>
      </c>
    </row>
    <row r="89" spans="15:39" x14ac:dyDescent="0.25">
      <c r="O89" t="s">
        <v>208</v>
      </c>
      <c r="T89" s="44">
        <f>T34</f>
        <v>1032</v>
      </c>
      <c r="U89" s="44">
        <f t="shared" ref="U89:Y89" si="89">U34</f>
        <v>951</v>
      </c>
      <c r="V89" s="44">
        <f t="shared" si="89"/>
        <v>1243</v>
      </c>
      <c r="W89" s="44">
        <f t="shared" si="89"/>
        <v>1086</v>
      </c>
      <c r="X89" s="44">
        <f t="shared" si="89"/>
        <v>1214.2</v>
      </c>
      <c r="Y89" s="44">
        <f t="shared" si="89"/>
        <v>1703.3999999999999</v>
      </c>
      <c r="Z89" s="44">
        <f t="shared" ref="Z89" si="90">Z34</f>
        <v>1700.9</v>
      </c>
      <c r="AB89" s="44">
        <v>1032</v>
      </c>
      <c r="AC89" s="44">
        <v>951</v>
      </c>
      <c r="AD89" s="44">
        <v>1243</v>
      </c>
      <c r="AE89" s="44">
        <v>1086</v>
      </c>
      <c r="AF89" s="44">
        <v>1215</v>
      </c>
      <c r="AG89" s="44">
        <v>1521</v>
      </c>
      <c r="AH89" s="44"/>
      <c r="AI89">
        <f t="shared" si="82"/>
        <v>0</v>
      </c>
      <c r="AJ89">
        <f t="shared" si="83"/>
        <v>0</v>
      </c>
      <c r="AK89">
        <f t="shared" si="84"/>
        <v>0</v>
      </c>
      <c r="AL89">
        <f t="shared" si="85"/>
        <v>0</v>
      </c>
      <c r="AM89">
        <f t="shared" si="86"/>
        <v>-0.79999999999995453</v>
      </c>
    </row>
    <row r="90" spans="15:39" x14ac:dyDescent="0.25">
      <c r="O90" t="s">
        <v>209</v>
      </c>
      <c r="T90" s="44">
        <f>T11</f>
        <v>0</v>
      </c>
      <c r="U90" s="44">
        <f t="shared" ref="U90:Y90" si="91">U11</f>
        <v>0</v>
      </c>
      <c r="V90" s="44">
        <f t="shared" si="91"/>
        <v>0</v>
      </c>
      <c r="W90" s="44">
        <f t="shared" si="91"/>
        <v>0</v>
      </c>
      <c r="X90" s="44">
        <f t="shared" si="91"/>
        <v>0</v>
      </c>
      <c r="Y90" s="44">
        <f t="shared" si="91"/>
        <v>0</v>
      </c>
      <c r="Z90" s="44">
        <f t="shared" ref="Z90" si="92">Z11</f>
        <v>0</v>
      </c>
      <c r="AB90" s="44">
        <v>0</v>
      </c>
      <c r="AC90" s="44">
        <v>0</v>
      </c>
      <c r="AD90" s="44">
        <v>0</v>
      </c>
      <c r="AE90" s="44">
        <v>0</v>
      </c>
      <c r="AF90" s="44">
        <v>0</v>
      </c>
      <c r="AG90" s="44">
        <v>0</v>
      </c>
      <c r="AH90" s="44"/>
      <c r="AI90">
        <f t="shared" si="82"/>
        <v>0</v>
      </c>
      <c r="AJ90">
        <f t="shared" si="83"/>
        <v>0</v>
      </c>
      <c r="AK90">
        <f t="shared" si="84"/>
        <v>0</v>
      </c>
      <c r="AL90">
        <f t="shared" si="85"/>
        <v>0</v>
      </c>
      <c r="AM90">
        <f t="shared" si="86"/>
        <v>0</v>
      </c>
    </row>
    <row r="91" spans="15:39" x14ac:dyDescent="0.25">
      <c r="O91" s="132" t="s">
        <v>205</v>
      </c>
      <c r="P91" s="132"/>
      <c r="Q91" s="132"/>
      <c r="R91" s="132"/>
      <c r="S91" s="132"/>
      <c r="T91" s="133">
        <f>T87+T88-T89-T90</f>
        <v>1457</v>
      </c>
      <c r="U91" s="133">
        <f t="shared" ref="U91:Y91" si="93">U87+U88-U89-U90</f>
        <v>1726.3000000000002</v>
      </c>
      <c r="V91" s="133">
        <f t="shared" si="93"/>
        <v>2080.4999999999995</v>
      </c>
      <c r="W91" s="133">
        <f t="shared" si="93"/>
        <v>2543</v>
      </c>
      <c r="X91" s="133">
        <f t="shared" si="93"/>
        <v>2413.1000000000013</v>
      </c>
      <c r="Y91" s="133">
        <f t="shared" si="93"/>
        <v>2348.3000000000002</v>
      </c>
      <c r="Z91" s="133">
        <f t="shared" ref="Z91" si="94">Z87+Z88-Z89-Z90</f>
        <v>2514.3999999999992</v>
      </c>
      <c r="AB91" s="133">
        <v>109</v>
      </c>
      <c r="AC91" s="133">
        <v>295.30000000000018</v>
      </c>
      <c r="AD91" s="133">
        <v>755.49999999999955</v>
      </c>
      <c r="AE91" s="133">
        <v>1216</v>
      </c>
      <c r="AF91" s="133">
        <v>890</v>
      </c>
      <c r="AG91" s="133">
        <v>556</v>
      </c>
      <c r="AH91" s="133"/>
      <c r="AI91">
        <f t="shared" si="82"/>
        <v>1348</v>
      </c>
      <c r="AJ91">
        <f t="shared" si="83"/>
        <v>1431</v>
      </c>
      <c r="AK91">
        <f t="shared" si="84"/>
        <v>1325</v>
      </c>
      <c r="AL91">
        <f t="shared" si="85"/>
        <v>1327</v>
      </c>
      <c r="AM91">
        <f t="shared" si="86"/>
        <v>1523.1000000000013</v>
      </c>
    </row>
    <row r="92" spans="15:39" x14ac:dyDescent="0.25">
      <c r="O92" t="s">
        <v>211</v>
      </c>
      <c r="T92" s="44">
        <f>B32+B26+B23-B7</f>
        <v>695.45300000000043</v>
      </c>
      <c r="U92" s="44">
        <f t="shared" ref="U92:Y92" si="95">C32+C26+C23-C7</f>
        <v>457.55199999999974</v>
      </c>
      <c r="V92" s="44">
        <f t="shared" si="95"/>
        <v>360.47199999999975</v>
      </c>
      <c r="W92" s="44">
        <f t="shared" si="95"/>
        <v>368.0619999999999</v>
      </c>
      <c r="X92" s="44">
        <f t="shared" si="95"/>
        <v>382.79999999999916</v>
      </c>
      <c r="Y92" s="44">
        <f t="shared" si="95"/>
        <v>513.00000000000068</v>
      </c>
      <c r="Z92" s="44">
        <f>(J32+J26+J23-J7)*2</f>
        <v>666.7999999999995</v>
      </c>
      <c r="AB92" s="44">
        <v>704.45300000000043</v>
      </c>
      <c r="AC92" s="44">
        <v>468.55199999999968</v>
      </c>
      <c r="AD92" s="44">
        <v>354.47199999999975</v>
      </c>
      <c r="AE92" s="44">
        <v>363.0619999999999</v>
      </c>
      <c r="AF92" s="44">
        <v>428.17100000000028</v>
      </c>
      <c r="AG92" s="44">
        <v>231.5</v>
      </c>
      <c r="AH92" s="44"/>
      <c r="AI92">
        <f t="shared" si="82"/>
        <v>-9</v>
      </c>
      <c r="AJ92">
        <f t="shared" si="83"/>
        <v>-10.999999999999943</v>
      </c>
      <c r="AK92">
        <f t="shared" si="84"/>
        <v>6</v>
      </c>
      <c r="AL92">
        <f t="shared" si="85"/>
        <v>5</v>
      </c>
      <c r="AM92">
        <f t="shared" si="86"/>
        <v>-45.371000000001118</v>
      </c>
    </row>
    <row r="93" spans="15:39" x14ac:dyDescent="0.25">
      <c r="O93" s="134" t="s">
        <v>126</v>
      </c>
      <c r="P93" s="134"/>
      <c r="Q93" s="134"/>
      <c r="R93" s="134"/>
      <c r="S93" s="134"/>
      <c r="T93" s="135">
        <f>T92/T91</f>
        <v>0.47731846259437227</v>
      </c>
      <c r="U93" s="135">
        <f t="shared" ref="U93:X93" si="96">U92/U91</f>
        <v>0.26504779007125046</v>
      </c>
      <c r="V93" s="135">
        <f t="shared" si="96"/>
        <v>0.17326219658735872</v>
      </c>
      <c r="W93" s="135">
        <f t="shared" si="96"/>
        <v>0.14473535194651982</v>
      </c>
      <c r="X93" s="135">
        <f t="shared" si="96"/>
        <v>0.15863412208362643</v>
      </c>
      <c r="Y93" s="135">
        <f>Y92/Y91</f>
        <v>0.21845590427117517</v>
      </c>
      <c r="Z93" s="135">
        <f>Z92/Z91</f>
        <v>0.26519249125039762</v>
      </c>
      <c r="AB93">
        <v>6.4628715596330313</v>
      </c>
      <c r="AC93">
        <v>1.5866982729427681</v>
      </c>
      <c r="AD93">
        <v>0.46918861681005952</v>
      </c>
      <c r="AE93">
        <v>0.29857072368421045</v>
      </c>
      <c r="AF93">
        <v>0.48109101123595538</v>
      </c>
      <c r="AG93">
        <v>0.41636690647482016</v>
      </c>
      <c r="AI93">
        <f t="shared" si="82"/>
        <v>-5.9855530970386592</v>
      </c>
      <c r="AJ93">
        <f t="shared" si="83"/>
        <v>-1.3216504828715177</v>
      </c>
      <c r="AK93">
        <f t="shared" si="84"/>
        <v>-0.29592642022270077</v>
      </c>
      <c r="AL93">
        <f t="shared" si="85"/>
        <v>-0.15383537173769063</v>
      </c>
      <c r="AM93">
        <f t="shared" si="86"/>
        <v>-0.32245688915232895</v>
      </c>
    </row>
    <row r="94" spans="15:39" x14ac:dyDescent="0.25">
      <c r="O94" s="134" t="s">
        <v>125</v>
      </c>
      <c r="P94" s="134"/>
      <c r="Q94" s="134"/>
      <c r="R94" s="134"/>
      <c r="S94" s="134"/>
      <c r="T94" s="135">
        <f t="shared" ref="T94:Y94" si="97">B32/T8</f>
        <v>0.14610389610389621</v>
      </c>
      <c r="U94" s="135">
        <f t="shared" si="97"/>
        <v>0.12934730824201995</v>
      </c>
      <c r="V94" s="135">
        <f t="shared" si="97"/>
        <v>8.7804878048780441E-2</v>
      </c>
      <c r="W94" s="135">
        <f t="shared" si="97"/>
        <v>9.9564528899445739E-2</v>
      </c>
      <c r="X94" s="135">
        <f t="shared" si="97"/>
        <v>8.6075813820673752E-2</v>
      </c>
      <c r="Y94" s="135">
        <f t="shared" si="97"/>
        <v>9.5146409947854102E-2</v>
      </c>
      <c r="Z94" s="135">
        <f>(J32*2)/Z8</f>
        <v>0.11813318908522652</v>
      </c>
      <c r="AB94">
        <v>0.14610389610389621</v>
      </c>
      <c r="AC94">
        <v>0.12934730824201995</v>
      </c>
      <c r="AD94">
        <v>8.7804878048780441E-2</v>
      </c>
      <c r="AE94">
        <v>9.9564528899445739E-2</v>
      </c>
      <c r="AF94">
        <v>8.6025343565946849E-2</v>
      </c>
      <c r="AG94">
        <v>4.4811722610325441E-2</v>
      </c>
      <c r="AI94">
        <f t="shared" si="82"/>
        <v>0</v>
      </c>
      <c r="AJ94">
        <f t="shared" si="83"/>
        <v>0</v>
      </c>
      <c r="AK94">
        <f t="shared" si="84"/>
        <v>0</v>
      </c>
      <c r="AL94">
        <f t="shared" si="85"/>
        <v>0</v>
      </c>
      <c r="AM94">
        <f t="shared" si="86"/>
        <v>5.0470254726903141E-5</v>
      </c>
    </row>
    <row r="96" spans="15:39" x14ac:dyDescent="0.25">
      <c r="T96" s="136"/>
      <c r="U96" s="136"/>
      <c r="V96" s="136"/>
      <c r="W96" s="136"/>
      <c r="X96" s="136"/>
      <c r="Y96" s="136"/>
      <c r="Z96" s="136"/>
    </row>
    <row r="97" spans="20:26" x14ac:dyDescent="0.25">
      <c r="T97" s="136"/>
      <c r="U97" s="136"/>
      <c r="V97" s="136"/>
      <c r="W97" s="136"/>
      <c r="X97" s="136"/>
      <c r="Y97" s="136"/>
      <c r="Z97" s="136"/>
    </row>
  </sheetData>
  <mergeCells count="6">
    <mergeCell ref="O65:Y65"/>
    <mergeCell ref="A2:X2"/>
    <mergeCell ref="A43:H43"/>
    <mergeCell ref="A52:H52"/>
    <mergeCell ref="A4:K4"/>
    <mergeCell ref="O4:Z4"/>
  </mergeCells>
  <phoneticPr fontId="14" type="noConversion"/>
  <pageMargins left="0.25" right="0.25" top="0.75" bottom="0.75" header="0.3" footer="0.3"/>
  <pageSetup paperSize="9" scale="40" orientation="landscape" verticalDpi="360" r:id="rId1"/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workbookViewId="0">
      <selection activeCell="D9" sqref="D9"/>
    </sheetView>
  </sheetViews>
  <sheetFormatPr defaultColWidth="8.7109375" defaultRowHeight="15.75" x14ac:dyDescent="0.25"/>
  <cols>
    <col min="1" max="2" width="8.7109375" style="176"/>
    <col min="3" max="3" width="61.5703125" style="176" bestFit="1" customWidth="1"/>
    <col min="4" max="4" width="6.140625" style="176" bestFit="1" customWidth="1"/>
    <col min="5" max="5" width="64.42578125" style="176" customWidth="1"/>
    <col min="6" max="16384" width="8.7109375" style="176"/>
  </cols>
  <sheetData>
    <row r="1" spans="2:5" ht="27.95" customHeight="1" x14ac:dyDescent="0.25">
      <c r="C1" s="175" t="s">
        <v>236</v>
      </c>
      <c r="E1" s="175" t="s">
        <v>237</v>
      </c>
    </row>
    <row r="2" spans="2:5" x14ac:dyDescent="0.25">
      <c r="C2" s="179" t="s">
        <v>223</v>
      </c>
      <c r="D2" s="180">
        <v>1</v>
      </c>
      <c r="E2" s="176" t="s">
        <v>238</v>
      </c>
    </row>
    <row r="3" spans="2:5" ht="31.5" x14ac:dyDescent="0.25">
      <c r="B3" s="177">
        <v>1</v>
      </c>
      <c r="C3" s="177" t="s">
        <v>227</v>
      </c>
      <c r="D3" s="180">
        <v>2</v>
      </c>
      <c r="E3" s="178" t="s">
        <v>239</v>
      </c>
    </row>
    <row r="4" spans="2:5" x14ac:dyDescent="0.25">
      <c r="B4" s="177">
        <v>2</v>
      </c>
      <c r="C4" s="177" t="s">
        <v>228</v>
      </c>
      <c r="D4" s="180">
        <v>3</v>
      </c>
      <c r="E4" s="176" t="s">
        <v>243</v>
      </c>
    </row>
    <row r="5" spans="2:5" ht="31.5" x14ac:dyDescent="0.25">
      <c r="B5" s="177">
        <v>3</v>
      </c>
      <c r="C5" s="177" t="s">
        <v>221</v>
      </c>
      <c r="D5" s="180">
        <v>4</v>
      </c>
      <c r="E5" s="178" t="s">
        <v>240</v>
      </c>
    </row>
    <row r="6" spans="2:5" x14ac:dyDescent="0.25">
      <c r="B6" s="177">
        <v>4</v>
      </c>
      <c r="C6" s="177" t="s">
        <v>222</v>
      </c>
      <c r="D6" s="180">
        <v>5</v>
      </c>
      <c r="E6" s="176" t="s">
        <v>241</v>
      </c>
    </row>
    <row r="7" spans="2:5" ht="31.5" x14ac:dyDescent="0.25">
      <c r="B7" s="177">
        <v>5</v>
      </c>
      <c r="C7" s="177" t="s">
        <v>224</v>
      </c>
      <c r="D7" s="180">
        <v>6</v>
      </c>
      <c r="E7" s="178" t="s">
        <v>242</v>
      </c>
    </row>
    <row r="8" spans="2:5" ht="31.5" x14ac:dyDescent="0.25">
      <c r="B8" s="177">
        <v>6</v>
      </c>
      <c r="C8" s="181" t="s">
        <v>233</v>
      </c>
      <c r="D8" s="180">
        <v>7</v>
      </c>
      <c r="E8" s="181" t="s">
        <v>244</v>
      </c>
    </row>
    <row r="9" spans="2:5" x14ac:dyDescent="0.25">
      <c r="B9" s="177">
        <v>7</v>
      </c>
      <c r="C9" s="181" t="s">
        <v>234</v>
      </c>
    </row>
    <row r="10" spans="2:5" x14ac:dyDescent="0.25">
      <c r="B10" s="177">
        <v>8</v>
      </c>
      <c r="C10" s="181" t="s">
        <v>235</v>
      </c>
    </row>
    <row r="11" spans="2:5" x14ac:dyDescent="0.25">
      <c r="C11" s="179" t="s">
        <v>225</v>
      </c>
    </row>
    <row r="12" spans="2:5" x14ac:dyDescent="0.25">
      <c r="B12" s="176">
        <v>1</v>
      </c>
      <c r="C12" s="176" t="s">
        <v>226</v>
      </c>
    </row>
    <row r="13" spans="2:5" x14ac:dyDescent="0.25">
      <c r="B13" s="176">
        <v>2</v>
      </c>
      <c r="C13" s="176" t="s">
        <v>229</v>
      </c>
    </row>
    <row r="14" spans="2:5" x14ac:dyDescent="0.25">
      <c r="B14" s="176">
        <v>3</v>
      </c>
      <c r="C14" s="176" t="s">
        <v>230</v>
      </c>
    </row>
    <row r="15" spans="2:5" x14ac:dyDescent="0.25">
      <c r="B15" s="176">
        <v>4</v>
      </c>
      <c r="C15" s="176" t="s">
        <v>231</v>
      </c>
    </row>
    <row r="16" spans="2:5" x14ac:dyDescent="0.25">
      <c r="B16" s="176">
        <v>5</v>
      </c>
      <c r="C16" s="176" t="s">
        <v>232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52"/>
  <sheetViews>
    <sheetView workbookViewId="0">
      <selection activeCell="K19" sqref="K19"/>
    </sheetView>
  </sheetViews>
  <sheetFormatPr defaultColWidth="8.7109375" defaultRowHeight="15" x14ac:dyDescent="0.25"/>
  <cols>
    <col min="1" max="1" width="20.42578125" bestFit="1" customWidth="1"/>
    <col min="4" max="4" width="10.28515625" bestFit="1" customWidth="1"/>
    <col min="8" max="8" width="20.28515625" bestFit="1" customWidth="1"/>
    <col min="11" max="11" width="12" bestFit="1" customWidth="1"/>
  </cols>
  <sheetData>
    <row r="3" spans="1:13" ht="15.75" thickBot="1" x14ac:dyDescent="0.3">
      <c r="B3" t="s">
        <v>6</v>
      </c>
      <c r="C3" t="s">
        <v>6</v>
      </c>
      <c r="D3" t="s">
        <v>6</v>
      </c>
      <c r="E3" t="s">
        <v>6</v>
      </c>
      <c r="F3" t="s">
        <v>6</v>
      </c>
    </row>
    <row r="4" spans="1:13" x14ac:dyDescent="0.25">
      <c r="A4" s="14" t="s">
        <v>0</v>
      </c>
      <c r="B4" t="s">
        <v>135</v>
      </c>
      <c r="C4" t="s">
        <v>136</v>
      </c>
      <c r="D4" t="s">
        <v>139</v>
      </c>
      <c r="E4" t="s">
        <v>137</v>
      </c>
      <c r="F4" t="s">
        <v>140</v>
      </c>
      <c r="H4" s="10" t="s">
        <v>141</v>
      </c>
      <c r="I4" t="s">
        <v>135</v>
      </c>
      <c r="J4" t="s">
        <v>136</v>
      </c>
      <c r="K4" t="s">
        <v>139</v>
      </c>
      <c r="L4" t="s">
        <v>137</v>
      </c>
      <c r="M4" t="s">
        <v>140</v>
      </c>
    </row>
    <row r="5" spans="1:13" x14ac:dyDescent="0.25">
      <c r="A5" s="11" t="s">
        <v>162</v>
      </c>
      <c r="B5" s="5">
        <f>'Summary Sheet'!C6</f>
        <v>4788</v>
      </c>
      <c r="C5">
        <v>58100.9</v>
      </c>
      <c r="D5">
        <f>5436762300/10^6</f>
        <v>5436.7623000000003</v>
      </c>
      <c r="H5" s="11" t="s">
        <v>142</v>
      </c>
      <c r="I5">
        <f>'Summary Sheet'!U8</f>
        <v>4198</v>
      </c>
      <c r="J5">
        <v>31174</v>
      </c>
      <c r="K5">
        <f>5769088987/10^6</f>
        <v>5769.0889870000001</v>
      </c>
    </row>
    <row r="6" spans="1:13" x14ac:dyDescent="0.25">
      <c r="A6" s="11" t="s">
        <v>163</v>
      </c>
      <c r="B6" s="5" t="e">
        <f>'Summary Sheet'!#REF!</f>
        <v>#REF!</v>
      </c>
      <c r="C6">
        <v>42197.599999999999</v>
      </c>
      <c r="D6">
        <f>1265968804/10^6</f>
        <v>1265.9688040000001</v>
      </c>
      <c r="H6" s="11" t="s">
        <v>64</v>
      </c>
      <c r="I6">
        <f>'Summary Sheet'!U10</f>
        <v>0</v>
      </c>
      <c r="J6">
        <v>217.8</v>
      </c>
    </row>
    <row r="7" spans="1:13" x14ac:dyDescent="0.25">
      <c r="A7" s="12" t="s">
        <v>138</v>
      </c>
      <c r="B7" s="16" t="e">
        <f t="shared" ref="B7" si="0">((B5/B6)^(1/3)-1)</f>
        <v>#REF!</v>
      </c>
      <c r="C7" s="16">
        <f>((C5/C6)^(1/3)-1)</f>
        <v>0.11249577314211812</v>
      </c>
      <c r="D7" s="16">
        <f t="shared" ref="D7:F7" si="1">((D5/D6)^(1/3)-1)</f>
        <v>0.62544563006467313</v>
      </c>
      <c r="E7" s="16" t="e">
        <f t="shared" si="1"/>
        <v>#DIV/0!</v>
      </c>
      <c r="F7" s="16" t="e">
        <f t="shared" si="1"/>
        <v>#DIV/0!</v>
      </c>
      <c r="H7" s="11" t="s">
        <v>65</v>
      </c>
      <c r="I7">
        <f>'Summary Sheet'!U11</f>
        <v>0</v>
      </c>
      <c r="J7">
        <v>165.1</v>
      </c>
    </row>
    <row r="8" spans="1:13" x14ac:dyDescent="0.25">
      <c r="A8" s="11"/>
      <c r="H8" s="12" t="s">
        <v>66</v>
      </c>
      <c r="I8">
        <f>SUM(I6:I7)</f>
        <v>0</v>
      </c>
      <c r="J8">
        <f>SUM(J6:J7)</f>
        <v>382.9</v>
      </c>
    </row>
    <row r="9" spans="1:13" x14ac:dyDescent="0.25">
      <c r="A9" s="11" t="s">
        <v>10</v>
      </c>
      <c r="B9" s="5">
        <f>'Summary Sheet'!C11</f>
        <v>4219.4480000000003</v>
      </c>
      <c r="C9">
        <v>51476.9</v>
      </c>
      <c r="D9">
        <f>5263386907/10^6</f>
        <v>5263.3869070000001</v>
      </c>
      <c r="H9" s="12" t="s">
        <v>67</v>
      </c>
      <c r="I9" s="4">
        <f>'Summary Sheet'!U13</f>
        <v>4344</v>
      </c>
      <c r="J9">
        <v>32399.4</v>
      </c>
      <c r="K9">
        <f>(7286416406/10^6)-(1099349464/10^6)</f>
        <v>6187.0669420000004</v>
      </c>
    </row>
    <row r="10" spans="1:13" x14ac:dyDescent="0.25">
      <c r="A10" s="11"/>
      <c r="H10" s="11" t="s">
        <v>143</v>
      </c>
      <c r="I10" s="4">
        <f>'Summary Sheet'!U48</f>
        <v>2191.3000000000002</v>
      </c>
      <c r="J10">
        <v>21044.7</v>
      </c>
      <c r="K10">
        <f>3033435232/10^6</f>
        <v>3033.4352319999998</v>
      </c>
    </row>
    <row r="11" spans="1:13" x14ac:dyDescent="0.25">
      <c r="A11" s="12" t="s">
        <v>150</v>
      </c>
      <c r="B11" s="5">
        <f>'Summary Sheet'!C18</f>
        <v>568.55199999999968</v>
      </c>
      <c r="C11" s="5">
        <f>C5-C9</f>
        <v>6624</v>
      </c>
      <c r="D11" s="5">
        <f>D5-D9</f>
        <v>173.37539300000026</v>
      </c>
      <c r="H11" s="11" t="s">
        <v>144</v>
      </c>
      <c r="I11" s="4">
        <f>'Summary Sheet'!U60</f>
        <v>1673</v>
      </c>
      <c r="J11">
        <v>28970.1</v>
      </c>
      <c r="K11">
        <f>4252981174/10^6</f>
        <v>4252.9811739999996</v>
      </c>
    </row>
    <row r="12" spans="1:13" x14ac:dyDescent="0.25">
      <c r="A12" s="12" t="s">
        <v>151</v>
      </c>
      <c r="B12" s="5" t="e">
        <f>'Summary Sheet'!#REF!</f>
        <v>#REF!</v>
      </c>
      <c r="C12">
        <v>3095.5</v>
      </c>
      <c r="D12" s="5">
        <f>1012519457/10^6</f>
        <v>1012.519457</v>
      </c>
      <c r="H12" s="11" t="s">
        <v>164</v>
      </c>
      <c r="I12" s="4">
        <f>'Summary Sheet'!U50</f>
        <v>387</v>
      </c>
      <c r="J12">
        <v>8833.6</v>
      </c>
      <c r="K12">
        <f>1022696874/10^6</f>
        <v>1022.696874</v>
      </c>
    </row>
    <row r="13" spans="1:13" x14ac:dyDescent="0.25">
      <c r="A13" s="12" t="s">
        <v>138</v>
      </c>
      <c r="B13" s="16" t="e">
        <f>((B11/B12)^(1/3)-1)</f>
        <v>#REF!</v>
      </c>
      <c r="C13" s="16">
        <f t="shared" ref="C13:F13" si="2">((C11/C12)^(1/3)-1)</f>
        <v>0.28863474968882974</v>
      </c>
      <c r="D13" s="16">
        <f t="shared" si="2"/>
        <v>-0.4446995479832514</v>
      </c>
      <c r="E13" s="16" t="e">
        <f t="shared" si="2"/>
        <v>#DIV/0!</v>
      </c>
      <c r="F13" s="16" t="e">
        <f t="shared" si="2"/>
        <v>#DIV/0!</v>
      </c>
      <c r="H13" s="11" t="s">
        <v>165</v>
      </c>
    </row>
    <row r="14" spans="1:13" x14ac:dyDescent="0.25">
      <c r="A14" s="11"/>
      <c r="H14" s="11" t="s">
        <v>166</v>
      </c>
      <c r="I14" s="4">
        <f>'Summary Sheet'!U53</f>
        <v>881</v>
      </c>
      <c r="J14">
        <v>7318.6</v>
      </c>
      <c r="K14">
        <f>961576534/10^6</f>
        <v>961.57653400000004</v>
      </c>
    </row>
    <row r="15" spans="1:13" x14ac:dyDescent="0.25">
      <c r="A15" s="11" t="s">
        <v>152</v>
      </c>
      <c r="B15" s="5">
        <f>'Summary Sheet'!C22</f>
        <v>94</v>
      </c>
      <c r="C15">
        <v>1072.2</v>
      </c>
      <c r="D15">
        <f>163499020/10^6</f>
        <v>163.49902</v>
      </c>
      <c r="H15" s="11" t="s">
        <v>167</v>
      </c>
    </row>
    <row r="16" spans="1:13" x14ac:dyDescent="0.25">
      <c r="A16" s="11" t="s">
        <v>153</v>
      </c>
      <c r="B16" s="5">
        <f>'Summary Sheet'!C23</f>
        <v>6</v>
      </c>
      <c r="C16">
        <v>172.3</v>
      </c>
      <c r="D16">
        <f>14683746/10^6</f>
        <v>14.683745999999999</v>
      </c>
      <c r="H16" s="11" t="s">
        <v>145</v>
      </c>
      <c r="I16" s="4">
        <f>SUM('Summary Sheet'!U54:U55)</f>
        <v>284</v>
      </c>
      <c r="J16">
        <v>1688.9</v>
      </c>
      <c r="K16">
        <f>+(231535599+26760959)/10^6</f>
        <v>258.296558</v>
      </c>
    </row>
    <row r="17" spans="1:13" x14ac:dyDescent="0.25">
      <c r="A17" s="11"/>
      <c r="H17" s="11" t="s">
        <v>146</v>
      </c>
      <c r="I17" s="4">
        <f>'Summary Sheet'!U34</f>
        <v>951</v>
      </c>
      <c r="J17">
        <v>17754.599999999999</v>
      </c>
      <c r="K17">
        <f>1099349464/10^6</f>
        <v>1099.3494639999999</v>
      </c>
    </row>
    <row r="18" spans="1:13" x14ac:dyDescent="0.25">
      <c r="A18" s="11" t="s">
        <v>154</v>
      </c>
      <c r="B18" s="5" t="e">
        <f>'Summary Sheet'!#REF!</f>
        <v>#REF!</v>
      </c>
      <c r="C18">
        <v>634.20000000000005</v>
      </c>
      <c r="D18">
        <f>108587522/10^6</f>
        <v>108.58752200000001</v>
      </c>
      <c r="H18" s="11" t="s">
        <v>168</v>
      </c>
      <c r="I18" s="4">
        <f>'Summary Sheet'!U26</f>
        <v>761</v>
      </c>
      <c r="J18">
        <f>802.5+12126.7</f>
        <v>12929.2</v>
      </c>
      <c r="K18">
        <f>+(102240330+475471708)/10^6</f>
        <v>577.71203800000001</v>
      </c>
    </row>
    <row r="19" spans="1:13" x14ac:dyDescent="0.25">
      <c r="A19" s="11" t="s">
        <v>155</v>
      </c>
      <c r="B19" s="5" t="e">
        <f>'Summary Sheet'!#REF!</f>
        <v>#REF!</v>
      </c>
      <c r="C19">
        <v>322.10000000000002</v>
      </c>
      <c r="D19">
        <f>16934950/10^6</f>
        <v>16.934950000000001</v>
      </c>
      <c r="H19" s="11" t="s">
        <v>169</v>
      </c>
    </row>
    <row r="20" spans="1:13" ht="15.75" thickBot="1" x14ac:dyDescent="0.3">
      <c r="A20" s="11"/>
      <c r="H20" s="15" t="s">
        <v>147</v>
      </c>
      <c r="I20" s="4">
        <f>I11-I17</f>
        <v>722</v>
      </c>
      <c r="J20" s="4">
        <f t="shared" ref="J20:M20" si="3">J11-J17</f>
        <v>11215.5</v>
      </c>
      <c r="K20" s="4">
        <f t="shared" si="3"/>
        <v>3153.6317099999997</v>
      </c>
      <c r="L20" s="4">
        <f t="shared" si="3"/>
        <v>0</v>
      </c>
      <c r="M20" s="4">
        <f t="shared" si="3"/>
        <v>0</v>
      </c>
    </row>
    <row r="21" spans="1:13" x14ac:dyDescent="0.25">
      <c r="A21" s="11" t="s">
        <v>156</v>
      </c>
      <c r="B21" s="5">
        <f>'Summary Sheet'!C24</f>
        <v>728.99999999999977</v>
      </c>
      <c r="C21">
        <v>6252.5</v>
      </c>
      <c r="D21">
        <f>231033695/10^6</f>
        <v>231.03369499999999</v>
      </c>
    </row>
    <row r="22" spans="1:13" x14ac:dyDescent="0.25">
      <c r="A22" s="11" t="s">
        <v>157</v>
      </c>
      <c r="B22" s="5" t="e">
        <f>'Summary Sheet'!#REF!</f>
        <v>#REF!</v>
      </c>
      <c r="C22">
        <v>2487.1</v>
      </c>
      <c r="D22">
        <f>1158838826/10^6</f>
        <v>1158.8388259999999</v>
      </c>
    </row>
    <row r="23" spans="1:13" x14ac:dyDescent="0.25">
      <c r="A23" s="11"/>
    </row>
    <row r="24" spans="1:13" x14ac:dyDescent="0.25">
      <c r="A24" s="11" t="s">
        <v>158</v>
      </c>
      <c r="B24" s="5">
        <f>'Summary Sheet'!C32</f>
        <v>542.99999999999977</v>
      </c>
      <c r="C24">
        <v>4717.2</v>
      </c>
      <c r="D24">
        <f>180059052/10^6</f>
        <v>180.05905200000001</v>
      </c>
    </row>
    <row r="25" spans="1:13" x14ac:dyDescent="0.25">
      <c r="A25" s="11" t="s">
        <v>159</v>
      </c>
      <c r="B25" s="5" t="e">
        <f>'Summary Sheet'!#REF!</f>
        <v>#REF!</v>
      </c>
      <c r="C25">
        <v>1307.5</v>
      </c>
      <c r="D25">
        <f>827079760/10^6</f>
        <v>827.07975999999996</v>
      </c>
    </row>
    <row r="26" spans="1:13" ht="15.75" thickBot="1" x14ac:dyDescent="0.3">
      <c r="A26" s="12" t="s">
        <v>138</v>
      </c>
      <c r="B26" s="17" t="e">
        <f>(B24/B25)^(1/3)-1</f>
        <v>#REF!</v>
      </c>
      <c r="C26" s="17">
        <f>(C24/C25)^(1/3)-1</f>
        <v>0.53372512029609975</v>
      </c>
      <c r="D26" s="17">
        <f>(D24/D25)^(1/3)-1</f>
        <v>-0.39842581862614057</v>
      </c>
    </row>
    <row r="27" spans="1:13" x14ac:dyDescent="0.25">
      <c r="A27" s="11"/>
      <c r="H27" s="14" t="s">
        <v>68</v>
      </c>
      <c r="I27" t="s">
        <v>135</v>
      </c>
      <c r="J27" t="s">
        <v>136</v>
      </c>
      <c r="K27" t="s">
        <v>139</v>
      </c>
      <c r="L27" t="s">
        <v>137</v>
      </c>
      <c r="M27" t="s">
        <v>140</v>
      </c>
    </row>
    <row r="28" spans="1:13" ht="15.75" thickBot="1" x14ac:dyDescent="0.3">
      <c r="A28" s="13" t="s">
        <v>160</v>
      </c>
      <c r="B28" s="4">
        <f>'Summary Sheet'!C38</f>
        <v>24.02</v>
      </c>
      <c r="C28">
        <v>55.04</v>
      </c>
      <c r="D28">
        <v>20.83</v>
      </c>
      <c r="H28" s="11" t="s">
        <v>99</v>
      </c>
    </row>
    <row r="29" spans="1:13" x14ac:dyDescent="0.25">
      <c r="H29" s="11" t="s">
        <v>100</v>
      </c>
    </row>
    <row r="30" spans="1:13" x14ac:dyDescent="0.25">
      <c r="H30" s="11" t="s">
        <v>101</v>
      </c>
    </row>
    <row r="31" spans="1:13" x14ac:dyDescent="0.25">
      <c r="H31" s="11" t="s">
        <v>102</v>
      </c>
    </row>
    <row r="32" spans="1:13" x14ac:dyDescent="0.25">
      <c r="H32" s="11" t="s">
        <v>103</v>
      </c>
    </row>
    <row r="33" spans="8:8" x14ac:dyDescent="0.25">
      <c r="H33" s="11" t="s">
        <v>70</v>
      </c>
    </row>
    <row r="34" spans="8:8" x14ac:dyDescent="0.25">
      <c r="H34" s="11" t="s">
        <v>71</v>
      </c>
    </row>
    <row r="35" spans="8:8" x14ac:dyDescent="0.25">
      <c r="H35" s="11" t="s">
        <v>72</v>
      </c>
    </row>
    <row r="36" spans="8:8" x14ac:dyDescent="0.25">
      <c r="H36" s="11" t="s">
        <v>74</v>
      </c>
    </row>
    <row r="37" spans="8:8" x14ac:dyDescent="0.25">
      <c r="H37" s="11" t="s">
        <v>75</v>
      </c>
    </row>
    <row r="38" spans="8:8" x14ac:dyDescent="0.25">
      <c r="H38" s="11" t="s">
        <v>76</v>
      </c>
    </row>
    <row r="39" spans="8:8" x14ac:dyDescent="0.25">
      <c r="H39" s="11" t="s">
        <v>77</v>
      </c>
    </row>
    <row r="40" spans="8:8" x14ac:dyDescent="0.25">
      <c r="H40" s="11" t="s">
        <v>78</v>
      </c>
    </row>
    <row r="41" spans="8:8" x14ac:dyDescent="0.25">
      <c r="H41" s="11" t="s">
        <v>148</v>
      </c>
    </row>
    <row r="42" spans="8:8" x14ac:dyDescent="0.25">
      <c r="H42" s="11" t="s">
        <v>79</v>
      </c>
    </row>
    <row r="43" spans="8:8" x14ac:dyDescent="0.25">
      <c r="H43" s="11" t="s">
        <v>80</v>
      </c>
    </row>
    <row r="44" spans="8:8" x14ac:dyDescent="0.25">
      <c r="H44" s="11" t="s">
        <v>149</v>
      </c>
    </row>
    <row r="45" spans="8:8" x14ac:dyDescent="0.25">
      <c r="H45" s="11" t="s">
        <v>81</v>
      </c>
    </row>
    <row r="46" spans="8:8" x14ac:dyDescent="0.25">
      <c r="H46" s="11" t="s">
        <v>82</v>
      </c>
    </row>
    <row r="47" spans="8:8" x14ac:dyDescent="0.25">
      <c r="H47" s="11" t="s">
        <v>83</v>
      </c>
    </row>
    <row r="48" spans="8:8" x14ac:dyDescent="0.25">
      <c r="H48" s="11" t="s">
        <v>84</v>
      </c>
    </row>
    <row r="49" spans="8:8" x14ac:dyDescent="0.25">
      <c r="H49" s="11" t="s">
        <v>85</v>
      </c>
    </row>
    <row r="50" spans="8:8" x14ac:dyDescent="0.25">
      <c r="H50" s="11" t="s">
        <v>86</v>
      </c>
    </row>
    <row r="51" spans="8:8" x14ac:dyDescent="0.25">
      <c r="H51" s="11" t="s">
        <v>87</v>
      </c>
    </row>
    <row r="52" spans="8:8" ht="15.75" thickBot="1" x14ac:dyDescent="0.3">
      <c r="H52" s="13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2"/>
  <sheetViews>
    <sheetView topLeftCell="A22" workbookViewId="0">
      <selection activeCell="B30" sqref="B30"/>
    </sheetView>
  </sheetViews>
  <sheetFormatPr defaultColWidth="8.7109375" defaultRowHeight="15" x14ac:dyDescent="0.25"/>
  <cols>
    <col min="1" max="1" width="34.7109375" bestFit="1" customWidth="1"/>
    <col min="4" max="4" width="10.28515625" bestFit="1" customWidth="1"/>
  </cols>
  <sheetData>
    <row r="2" spans="1:6" x14ac:dyDescent="0.25">
      <c r="B2" t="s">
        <v>135</v>
      </c>
      <c r="C2" t="s">
        <v>136</v>
      </c>
      <c r="D2" t="s">
        <v>139</v>
      </c>
      <c r="E2" t="s">
        <v>137</v>
      </c>
      <c r="F2" t="s">
        <v>140</v>
      </c>
    </row>
    <row r="3" spans="1:6" x14ac:dyDescent="0.25">
      <c r="A3" s="191" t="s">
        <v>106</v>
      </c>
    </row>
    <row r="4" spans="1:6" x14ac:dyDescent="0.25">
      <c r="A4" s="192"/>
    </row>
    <row r="5" spans="1:6" x14ac:dyDescent="0.25">
      <c r="A5" s="6" t="s">
        <v>107</v>
      </c>
    </row>
    <row r="6" spans="1:6" x14ac:dyDescent="0.25">
      <c r="A6" s="6" t="s">
        <v>0</v>
      </c>
    </row>
    <row r="7" spans="1:6" x14ac:dyDescent="0.25">
      <c r="A7" s="7" t="s">
        <v>108</v>
      </c>
    </row>
    <row r="8" spans="1:6" x14ac:dyDescent="0.25">
      <c r="A8" s="7" t="s">
        <v>109</v>
      </c>
    </row>
    <row r="9" spans="1:6" x14ac:dyDescent="0.25">
      <c r="A9" s="6" t="s">
        <v>13</v>
      </c>
    </row>
    <row r="10" spans="1:6" x14ac:dyDescent="0.25">
      <c r="A10" s="7" t="s">
        <v>109</v>
      </c>
    </row>
    <row r="11" spans="1:6" x14ac:dyDescent="0.25">
      <c r="A11" s="6" t="s">
        <v>110</v>
      </c>
    </row>
    <row r="12" spans="1:6" x14ac:dyDescent="0.25">
      <c r="A12" s="6" t="s">
        <v>19</v>
      </c>
    </row>
    <row r="13" spans="1:6" x14ac:dyDescent="0.25">
      <c r="A13" s="7" t="s">
        <v>109</v>
      </c>
    </row>
    <row r="14" spans="1:6" x14ac:dyDescent="0.25">
      <c r="A14" s="6" t="s">
        <v>111</v>
      </c>
    </row>
    <row r="15" spans="1:6" x14ac:dyDescent="0.25">
      <c r="A15" s="7" t="s">
        <v>22</v>
      </c>
    </row>
    <row r="16" spans="1:6" x14ac:dyDescent="0.25">
      <c r="A16" s="7"/>
    </row>
    <row r="17" spans="1:1" x14ac:dyDescent="0.25">
      <c r="A17" s="7"/>
    </row>
    <row r="18" spans="1:1" x14ac:dyDescent="0.25">
      <c r="A18" s="6" t="s">
        <v>112</v>
      </c>
    </row>
    <row r="19" spans="1:1" x14ac:dyDescent="0.25">
      <c r="A19" s="6" t="s">
        <v>113</v>
      </c>
    </row>
    <row r="20" spans="1:1" x14ac:dyDescent="0.25">
      <c r="A20" s="6" t="s">
        <v>101</v>
      </c>
    </row>
    <row r="21" spans="1:1" x14ac:dyDescent="0.25">
      <c r="A21" s="8" t="s">
        <v>114</v>
      </c>
    </row>
    <row r="22" spans="1:1" x14ac:dyDescent="0.25">
      <c r="A22" s="8" t="s">
        <v>115</v>
      </c>
    </row>
    <row r="23" spans="1:1" x14ac:dyDescent="0.25">
      <c r="A23" s="7"/>
    </row>
    <row r="24" spans="1:1" x14ac:dyDescent="0.25">
      <c r="A24" s="6" t="s">
        <v>88</v>
      </c>
    </row>
    <row r="25" spans="1:1" x14ac:dyDescent="0.25">
      <c r="A25" s="7" t="s">
        <v>116</v>
      </c>
    </row>
    <row r="26" spans="1:1" x14ac:dyDescent="0.25">
      <c r="A26" s="7" t="s">
        <v>98</v>
      </c>
    </row>
    <row r="27" spans="1:1" x14ac:dyDescent="0.25">
      <c r="A27" s="9"/>
    </row>
    <row r="28" spans="1:1" x14ac:dyDescent="0.25">
      <c r="A28" s="9" t="s">
        <v>99</v>
      </c>
    </row>
    <row r="29" spans="1:1" x14ac:dyDescent="0.25">
      <c r="A29" s="6" t="s">
        <v>100</v>
      </c>
    </row>
    <row r="30" spans="1:1" x14ac:dyDescent="0.25">
      <c r="A30" s="6" t="s">
        <v>117</v>
      </c>
    </row>
    <row r="31" spans="1:1" x14ac:dyDescent="0.25">
      <c r="A31" s="7"/>
    </row>
    <row r="32" spans="1:1" x14ac:dyDescent="0.25">
      <c r="A32" s="7" t="s">
        <v>118</v>
      </c>
    </row>
    <row r="33" spans="1:1" x14ac:dyDescent="0.25">
      <c r="A33" s="7" t="s">
        <v>81</v>
      </c>
    </row>
    <row r="34" spans="1:1" x14ac:dyDescent="0.25">
      <c r="A34" s="7" t="s">
        <v>119</v>
      </c>
    </row>
    <row r="35" spans="1:1" x14ac:dyDescent="0.25">
      <c r="A35" s="7" t="s">
        <v>120</v>
      </c>
    </row>
    <row r="36" spans="1:1" x14ac:dyDescent="0.25">
      <c r="A36" s="7"/>
    </row>
    <row r="37" spans="1:1" x14ac:dyDescent="0.25">
      <c r="A37" s="6" t="s">
        <v>121</v>
      </c>
    </row>
    <row r="38" spans="1:1" x14ac:dyDescent="0.25">
      <c r="A38" s="6" t="s">
        <v>122</v>
      </c>
    </row>
    <row r="39" spans="1:1" x14ac:dyDescent="0.25">
      <c r="A39" s="7" t="s">
        <v>123</v>
      </c>
    </row>
    <row r="40" spans="1:1" x14ac:dyDescent="0.25">
      <c r="A40" s="7" t="s">
        <v>124</v>
      </c>
    </row>
    <row r="41" spans="1:1" x14ac:dyDescent="0.25">
      <c r="A41" s="7" t="s">
        <v>125</v>
      </c>
    </row>
    <row r="42" spans="1:1" x14ac:dyDescent="0.25">
      <c r="A42" s="7" t="s">
        <v>126</v>
      </c>
    </row>
    <row r="43" spans="1:1" x14ac:dyDescent="0.25">
      <c r="A43" s="7" t="s">
        <v>127</v>
      </c>
    </row>
    <row r="44" spans="1:1" x14ac:dyDescent="0.25">
      <c r="A44" s="7" t="s">
        <v>128</v>
      </c>
    </row>
    <row r="45" spans="1:1" x14ac:dyDescent="0.25">
      <c r="A45" s="7" t="s">
        <v>84</v>
      </c>
    </row>
    <row r="46" spans="1:1" x14ac:dyDescent="0.25">
      <c r="A46" s="7" t="s">
        <v>129</v>
      </c>
    </row>
    <row r="47" spans="1:1" x14ac:dyDescent="0.25">
      <c r="A47" s="7" t="s">
        <v>130</v>
      </c>
    </row>
    <row r="48" spans="1:1" x14ac:dyDescent="0.25">
      <c r="A48" s="7" t="s">
        <v>86</v>
      </c>
    </row>
    <row r="49" spans="1:1" x14ac:dyDescent="0.25">
      <c r="A49" s="7" t="s">
        <v>131</v>
      </c>
    </row>
    <row r="50" spans="1:1" x14ac:dyDescent="0.25">
      <c r="A50" s="7" t="s">
        <v>132</v>
      </c>
    </row>
    <row r="51" spans="1:1" x14ac:dyDescent="0.25">
      <c r="A51" s="7" t="s">
        <v>133</v>
      </c>
    </row>
    <row r="52" spans="1:1" x14ac:dyDescent="0.25">
      <c r="A52" s="7" t="s">
        <v>134</v>
      </c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 Sheet</vt:lpstr>
      <vt:lpstr>Highlights</vt:lpstr>
      <vt:lpstr>Peer working</vt:lpstr>
      <vt:lpstr>Peers</vt:lpstr>
      <vt:lpstr>'Summary Sheet'!Print_Area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Tanishq</dc:creator>
  <cp:lastModifiedBy>Admin</cp:lastModifiedBy>
  <cp:lastPrinted>2022-06-29T12:01:35Z</cp:lastPrinted>
  <dcterms:created xsi:type="dcterms:W3CDTF">2021-01-13T15:05:52Z</dcterms:created>
  <dcterms:modified xsi:type="dcterms:W3CDTF">2024-12-02T06:51:54Z</dcterms:modified>
</cp:coreProperties>
</file>