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 sheet- CONSOLIDATED" sheetId="1" r:id="rId4"/>
    <sheet state="hidden" name="ES" sheetId="2" r:id="rId5"/>
    <sheet state="hidden" name="Forex Gain Loss" sheetId="3" r:id="rId6"/>
    <sheet state="hidden" name="Import Export" sheetId="4" r:id="rId7"/>
  </sheets>
  <definedNames/>
  <calcPr/>
</workbook>
</file>

<file path=xl/sharedStrings.xml><?xml version="1.0" encoding="utf-8"?>
<sst xmlns="http://schemas.openxmlformats.org/spreadsheetml/2006/main" count="323" uniqueCount="195">
  <si>
    <t>Oriental Aromatics Ltd. (Consolidated)</t>
  </si>
  <si>
    <t>Income Statement</t>
  </si>
  <si>
    <t>Balance Sheet</t>
  </si>
  <si>
    <t>Y/E, Mar (Rs. mn)</t>
  </si>
  <si>
    <t>FY17</t>
  </si>
  <si>
    <t>FY18</t>
  </si>
  <si>
    <t>FY19</t>
  </si>
  <si>
    <t>FY20</t>
  </si>
  <si>
    <t>Q1- FY21</t>
  </si>
  <si>
    <t>Q2-FY21</t>
  </si>
  <si>
    <t>Q3-FY21</t>
  </si>
  <si>
    <t>FY21</t>
  </si>
  <si>
    <t>FY22</t>
  </si>
  <si>
    <t>FY23</t>
  </si>
  <si>
    <t>FY24</t>
  </si>
  <si>
    <t>H1-FY25</t>
  </si>
  <si>
    <t>Revenue from Operations</t>
  </si>
  <si>
    <t>Equity Share Capital</t>
  </si>
  <si>
    <t>Growth (%)</t>
  </si>
  <si>
    <t>Instrument entirely nature of equity</t>
  </si>
  <si>
    <t>CAGR (%) - 3 Years</t>
  </si>
  <si>
    <t>Other Equity</t>
  </si>
  <si>
    <t>Expenditure</t>
  </si>
  <si>
    <t>Networth/Shareholders Fund/ Book Value</t>
  </si>
  <si>
    <t>Cost of materials consumed</t>
  </si>
  <si>
    <t>Minority interest</t>
  </si>
  <si>
    <t>Changes in inventory of FG WIP &amp; SIT</t>
  </si>
  <si>
    <t>Long Term Debt</t>
  </si>
  <si>
    <t>Manufacturing and Operating Cost</t>
  </si>
  <si>
    <t>Short Term Debt</t>
  </si>
  <si>
    <t>Employee Benefit Expense</t>
  </si>
  <si>
    <t>Current Maturities of Long Term Debt</t>
  </si>
  <si>
    <t>Other Expenses</t>
  </si>
  <si>
    <t>Loans</t>
  </si>
  <si>
    <t>EBITDA</t>
  </si>
  <si>
    <t>Capital Employed</t>
  </si>
  <si>
    <t>CAGR (%) - 2 Years</t>
  </si>
  <si>
    <t>EBITDA margin (%)</t>
  </si>
  <si>
    <t>Property, Plant and Equipment</t>
  </si>
  <si>
    <t>Depreciation and amortisation cost</t>
  </si>
  <si>
    <t>Capital WIP</t>
  </si>
  <si>
    <t>Finance Cost</t>
  </si>
  <si>
    <t>Intangible Assets</t>
  </si>
  <si>
    <t>Excp Item</t>
  </si>
  <si>
    <t>Right to Use</t>
  </si>
  <si>
    <t>Other Income</t>
  </si>
  <si>
    <t>Goodwill</t>
  </si>
  <si>
    <t>PBT</t>
  </si>
  <si>
    <t>Deferred Tax Assets</t>
  </si>
  <si>
    <t>Tax</t>
  </si>
  <si>
    <t>Financial Assets</t>
  </si>
  <si>
    <t>Effective tax rate (%)</t>
  </si>
  <si>
    <t>a) Investment in Subsidaries</t>
  </si>
  <si>
    <t>PAT</t>
  </si>
  <si>
    <t>b) Loans</t>
  </si>
  <si>
    <t>PAT margin (%)</t>
  </si>
  <si>
    <t>b) Other financial assets</t>
  </si>
  <si>
    <t>Minority Interest</t>
  </si>
  <si>
    <t>Current Tax Assets (Net)</t>
  </si>
  <si>
    <t>Share of Profit of associates</t>
  </si>
  <si>
    <t>Other Non-Current assets</t>
  </si>
  <si>
    <t>Other Comprehensive Income</t>
  </si>
  <si>
    <t>Non current asset classified for sale</t>
  </si>
  <si>
    <t>PAT After MI (Total Comprehensive Income)</t>
  </si>
  <si>
    <t>CURRENT ASSETS, LOANS &amp; ADVANCES</t>
  </si>
  <si>
    <t>Inventories</t>
  </si>
  <si>
    <t>EPS</t>
  </si>
  <si>
    <t>a) Trade and other Recievable</t>
  </si>
  <si>
    <t>b) Cash &amp; Cash Equivalents</t>
  </si>
  <si>
    <t>c) Bank Bal other than above</t>
  </si>
  <si>
    <t>d) Other Current Financial Assets</t>
  </si>
  <si>
    <t>Cash Flow</t>
  </si>
  <si>
    <t>Other Current Assets</t>
  </si>
  <si>
    <t>FY 19</t>
  </si>
  <si>
    <t>CURRENT LIABILITIES &amp; PROVISIONS</t>
  </si>
  <si>
    <t>Cash and Cash Equivalents at Beginning of the year</t>
  </si>
  <si>
    <t>Current Financial Liabilities</t>
  </si>
  <si>
    <t>Cash Flow From Operating Activities</t>
  </si>
  <si>
    <t>a) Trade Payables</t>
  </si>
  <si>
    <t>Cash Flow from Investing Activities</t>
  </si>
  <si>
    <t>i. Total outstanding dues of micro enterprises and small enterprises</t>
  </si>
  <si>
    <t>Cash Flow From Financing Activities</t>
  </si>
  <si>
    <t>ii. Total outstanding dues of creditors other than micro enterprises and small enterprises</t>
  </si>
  <si>
    <t>Net Inc./(Dec.) in Cash and Cash Equivalent</t>
  </si>
  <si>
    <t>b) Other Financial liabilities</t>
  </si>
  <si>
    <t>Cash and Cash Equivalents at End of the year</t>
  </si>
  <si>
    <t>Other Current liabilities</t>
  </si>
  <si>
    <t>Current Tax Liability (Net)</t>
  </si>
  <si>
    <t>Our Calculations</t>
  </si>
  <si>
    <t>Provision</t>
  </si>
  <si>
    <t xml:space="preserve">Operating Cash Inflow </t>
  </si>
  <si>
    <t>NET CURRENT ASSETS</t>
  </si>
  <si>
    <t>Capital Expenditure</t>
  </si>
  <si>
    <t>FCF</t>
  </si>
  <si>
    <t>Deferred Tax Liability (Net)</t>
  </si>
  <si>
    <t>Other Financial Liabilities</t>
  </si>
  <si>
    <t>Provisions</t>
  </si>
  <si>
    <t>No. of Shares</t>
  </si>
  <si>
    <t>TOTAL ASSETS</t>
  </si>
  <si>
    <t>Market Cap</t>
  </si>
  <si>
    <t>TOTAL LIABILITIES</t>
  </si>
  <si>
    <t>Total Debt</t>
  </si>
  <si>
    <t>Key ratios</t>
  </si>
  <si>
    <t>Cash</t>
  </si>
  <si>
    <t xml:space="preserve">Y/E, Mar </t>
  </si>
  <si>
    <t>EV</t>
  </si>
  <si>
    <t>CMP(Rs)</t>
  </si>
  <si>
    <t>EPS (Rs)</t>
  </si>
  <si>
    <t>TTM</t>
  </si>
  <si>
    <t>BVPS (Rs) (Equity Capital+Other Equity)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</si>
  <si>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</si>
  <si>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</si>
  <si>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</si>
  <si>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</si>
  <si>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</si>
  <si>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</si>
  <si>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</si>
  <si>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</si>
  <si>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</si>
  <si>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 (Average Debtors/Turnover)</t>
  </si>
  <si>
    <t>Creditor Days (Average Payable/Turnover)</t>
  </si>
  <si>
    <t>Inventory Days (Average Inventory/Turnover)</t>
  </si>
  <si>
    <t>Cash Conversion cycle</t>
  </si>
  <si>
    <t>Working Capital Days (Average Current Assets/Turnover)</t>
  </si>
  <si>
    <t>Interest Cost</t>
  </si>
  <si>
    <t>DSCR (PAT+Dep+Finance Cost)/(Interest+Current Maturity Long term Loan)</t>
  </si>
  <si>
    <t>FCF (Cash flow from operation+Investment in capital assets)</t>
  </si>
  <si>
    <t>Rs in Lakhs</t>
  </si>
  <si>
    <t>Particulars</t>
  </si>
  <si>
    <t>FY17-18</t>
  </si>
  <si>
    <t>18-19</t>
  </si>
  <si>
    <t>19-20</t>
  </si>
  <si>
    <t>20-21</t>
  </si>
  <si>
    <t>21-22</t>
  </si>
  <si>
    <t>22-23</t>
  </si>
  <si>
    <t>Inventory</t>
  </si>
  <si>
    <t>Debotrs</t>
  </si>
  <si>
    <t>Total (A)</t>
  </si>
  <si>
    <t>Trade Payables</t>
  </si>
  <si>
    <t>Total (B)</t>
  </si>
  <si>
    <t>Net Working Capital (A-B)</t>
  </si>
  <si>
    <t>Increase/(Decrease) in Working Capital</t>
  </si>
  <si>
    <t>Term Loan</t>
  </si>
  <si>
    <t>Short Term Borrwings</t>
  </si>
  <si>
    <t>Cash &amp; Bank Balance</t>
  </si>
  <si>
    <t>Total Net Borrowings</t>
  </si>
  <si>
    <t>Increase/(Decrease) in Short Term Borrowings</t>
  </si>
  <si>
    <t>Cash Profit (PAT+Depreciation)</t>
  </si>
  <si>
    <t>Net Debt to Equity Ratio</t>
  </si>
  <si>
    <t>Total Debt/EBITDA (Annualised)</t>
  </si>
  <si>
    <t>Net Addition in CWIP &amp; FA</t>
  </si>
  <si>
    <t>If TL taken in those year</t>
  </si>
  <si>
    <t>Total Borrowings</t>
  </si>
  <si>
    <t>Total Net Debt/EBITDA (Annualised)</t>
  </si>
  <si>
    <t>OAL - FY 23</t>
  </si>
  <si>
    <t>Particulas</t>
  </si>
  <si>
    <t>Q4</t>
  </si>
  <si>
    <t>Q3</t>
  </si>
  <si>
    <t>Q2</t>
  </si>
  <si>
    <t>Q1</t>
  </si>
  <si>
    <t>Total</t>
  </si>
  <si>
    <t>Forex Gain - Other Income</t>
  </si>
  <si>
    <t>Forex Gain - Loss in Fianace cost</t>
  </si>
  <si>
    <t>Net Gain/(Loss)</t>
  </si>
  <si>
    <t>Borrowings</t>
  </si>
  <si>
    <t>31.03.23</t>
  </si>
  <si>
    <t>31.12.22</t>
  </si>
  <si>
    <t>30.09.22</t>
  </si>
  <si>
    <t>30.06.22</t>
  </si>
  <si>
    <t>31.03.22</t>
  </si>
  <si>
    <t>31.12.21</t>
  </si>
  <si>
    <t>Working Capital Borrowings</t>
  </si>
  <si>
    <t>Debtors</t>
  </si>
  <si>
    <t>Trade Payable</t>
  </si>
  <si>
    <t>Standalone Basis</t>
  </si>
  <si>
    <t>Rs in Cr</t>
  </si>
  <si>
    <t xml:space="preserve"> FY 23</t>
  </si>
  <si>
    <t>9M FY22</t>
  </si>
  <si>
    <t>Baroda</t>
  </si>
  <si>
    <t>%</t>
  </si>
  <si>
    <t xml:space="preserve">Bareilly </t>
  </si>
  <si>
    <t>Ambernath</t>
  </si>
  <si>
    <t>% of Sales</t>
  </si>
  <si>
    <t>Domestic</t>
  </si>
  <si>
    <t>Export</t>
  </si>
  <si>
    <t>RM Consumption</t>
  </si>
  <si>
    <t>FY 23</t>
  </si>
  <si>
    <t>9M-FY22</t>
  </si>
  <si>
    <t>Chemical</t>
  </si>
  <si>
    <t>% of Conumption</t>
  </si>
  <si>
    <t>% of Purchases</t>
  </si>
  <si>
    <t>Import</t>
  </si>
  <si>
    <t>FY 23Q3</t>
  </si>
  <si>
    <t>FY 22Q3</t>
  </si>
  <si>
    <t>Purchases of Raw Material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</si>
</sst>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_ * #,##0.00_ ;_ * \-#,##0.00_ ;_ * &quot;-&quot;??_ ;_ @_ "/>
    <numFmt numFmtId="168" formatCode="0.0%"/>
    <numFmt numFmtId="169" formatCode="_(* #,##0.00000_);_(* \(#,##0.00000\);_(* &quot;-&quot;??_);_(@_)"/>
    <numFmt numFmtId="170" formatCode="_(* #,##0.00_);_(* \(#,##0.00\);_(* &quot;-&quot;??_);_(@_)"/>
    <numFmt numFmtId="171" formatCode="_(* #,##0_);_(* \(#,##0\);_(* &quot;-&quot;??_);_(@_)"/>
  </numFmts>
  <fonts count="17">
    <font>
      <sz val="11.0"/>
      <color theme="1"/>
      <name val="Calibri"/>
      <scheme val="minor"/>
    </font>
    <font>
      <b/>
      <sz val="14.0"/>
      <color theme="0"/>
      <name val="Calibri"/>
    </font>
    <font/>
    <font>
      <sz val="14.0"/>
      <color theme="1"/>
      <name val="Calibri"/>
    </font>
    <font>
      <b/>
      <u/>
      <sz val="14.0"/>
      <color theme="1"/>
      <name val="Calibri"/>
    </font>
    <font>
      <b/>
      <u/>
      <sz val="14.0"/>
      <color theme="1"/>
      <name val="Calibri"/>
    </font>
    <font>
      <b/>
      <u/>
      <sz val="14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i/>
      <sz val="14.0"/>
      <color theme="1"/>
      <name val="Calibri"/>
    </font>
    <font>
      <sz val="11.0"/>
      <color theme="1"/>
      <name val="Calibri"/>
    </font>
    <font>
      <i/>
      <sz val="14.0"/>
      <color rgb="FFFF0000"/>
      <name val="Calibri"/>
    </font>
    <font>
      <b/>
      <sz val="14.0"/>
      <color rgb="FFFF0000"/>
      <name val="Calibri"/>
    </font>
    <font>
      <sz val="14.0"/>
      <color rgb="FFFF0000"/>
      <name val="Calibri"/>
    </font>
    <font>
      <u/>
      <sz val="11.0"/>
      <color theme="10"/>
      <name val="Calibri"/>
    </font>
    <font>
      <b/>
      <sz val="11.0"/>
      <color theme="1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35">
    <border/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left/>
      <right/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/>
    </xf>
    <xf borderId="5" fillId="0" fontId="2" numFmtId="0" xfId="0" applyBorder="1" applyFont="1"/>
    <xf borderId="0" fillId="0" fontId="5" numFmtId="0" xfId="0" applyAlignment="1" applyFont="1">
      <alignment horizontal="center"/>
    </xf>
    <xf borderId="5" fillId="0" fontId="6" numFmtId="0" xfId="0" applyAlignment="1" applyBorder="1" applyFont="1">
      <alignment horizontal="center"/>
    </xf>
    <xf borderId="6" fillId="0" fontId="3" numFmtId="0" xfId="0" applyBorder="1" applyFont="1"/>
    <xf borderId="7" fillId="0" fontId="7" numFmtId="0" xfId="0" applyBorder="1" applyFont="1"/>
    <xf borderId="8" fillId="0" fontId="7" numFmtId="0" xfId="0" applyBorder="1" applyFont="1"/>
    <xf borderId="8" fillId="0" fontId="7" numFmtId="0" xfId="0" applyAlignment="1" applyBorder="1" applyFont="1">
      <alignment horizontal="center"/>
    </xf>
    <xf borderId="9" fillId="0" fontId="7" numFmtId="0" xfId="0" applyAlignment="1" applyBorder="1" applyFont="1">
      <alignment horizontal="center"/>
    </xf>
    <xf borderId="9" fillId="0" fontId="8" numFmtId="0" xfId="0" applyAlignment="1" applyBorder="1" applyFont="1">
      <alignment horizontal="center"/>
    </xf>
    <xf borderId="9" fillId="0" fontId="7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right"/>
    </xf>
    <xf borderId="8" fillId="0" fontId="7" numFmtId="164" xfId="0" applyAlignment="1" applyBorder="1" applyFont="1" applyNumberFormat="1">
      <alignment horizontal="right"/>
    </xf>
    <xf borderId="8" fillId="0" fontId="7" numFmtId="164" xfId="0" applyAlignment="1" applyBorder="1" applyFont="1" applyNumberFormat="1">
      <alignment horizontal="center"/>
    </xf>
    <xf borderId="10" fillId="0" fontId="7" numFmtId="0" xfId="0" applyBorder="1" applyFont="1"/>
    <xf borderId="6" fillId="0" fontId="7" numFmtId="0" xfId="0" applyBorder="1" applyFont="1"/>
    <xf borderId="6" fillId="0" fontId="7" numFmtId="165" xfId="0" applyBorder="1" applyFont="1" applyNumberFormat="1"/>
    <xf borderId="6" fillId="0" fontId="7" numFmtId="3" xfId="0" applyAlignment="1" applyBorder="1" applyFont="1" applyNumberFormat="1">
      <alignment horizontal="center"/>
    </xf>
    <xf borderId="11" fillId="0" fontId="7" numFmtId="3" xfId="0" applyAlignment="1" applyBorder="1" applyFont="1" applyNumberFormat="1">
      <alignment horizontal="center"/>
    </xf>
    <xf borderId="11" fillId="0" fontId="7" numFmtId="165" xfId="0" applyBorder="1" applyFont="1" applyNumberFormat="1"/>
    <xf borderId="12" fillId="0" fontId="7" numFmtId="165" xfId="0" applyAlignment="1" applyBorder="1" applyFont="1" applyNumberFormat="1">
      <alignment readingOrder="0"/>
    </xf>
    <xf borderId="10" fillId="0" fontId="3" numFmtId="0" xfId="0" applyBorder="1" applyFont="1"/>
    <xf borderId="6" fillId="0" fontId="3" numFmtId="165" xfId="0" applyBorder="1" applyFont="1" applyNumberFormat="1"/>
    <xf borderId="11" fillId="0" fontId="3" numFmtId="165" xfId="0" applyBorder="1" applyFont="1" applyNumberFormat="1"/>
    <xf borderId="10" fillId="3" fontId="9" numFmtId="0" xfId="0" applyBorder="1" applyFill="1" applyFont="1"/>
    <xf borderId="6" fillId="3" fontId="9" numFmtId="0" xfId="0" applyBorder="1" applyFont="1"/>
    <xf borderId="6" fillId="3" fontId="9" numFmtId="10" xfId="0" applyBorder="1" applyFont="1" applyNumberFormat="1"/>
    <xf borderId="6" fillId="3" fontId="9" numFmtId="3" xfId="0" applyBorder="1" applyFont="1" applyNumberFormat="1"/>
    <xf borderId="13" fillId="3" fontId="9" numFmtId="3" xfId="0" applyBorder="1" applyFont="1" applyNumberFormat="1"/>
    <xf borderId="13" fillId="3" fontId="9" numFmtId="10" xfId="0" applyBorder="1" applyFont="1" applyNumberFormat="1"/>
    <xf borderId="6" fillId="3" fontId="7" numFmtId="165" xfId="0" applyBorder="1" applyFont="1" applyNumberFormat="1"/>
    <xf borderId="6" fillId="0" fontId="3" numFmtId="4" xfId="0" applyAlignment="1" applyBorder="1" applyFont="1" applyNumberFormat="1">
      <alignment readingOrder="0"/>
    </xf>
    <xf borderId="10" fillId="3" fontId="7" numFmtId="0" xfId="0" applyBorder="1" applyFont="1"/>
    <xf borderId="6" fillId="3" fontId="7" numFmtId="0" xfId="0" applyBorder="1" applyFont="1"/>
    <xf borderId="6" fillId="3" fontId="7" numFmtId="3" xfId="0" applyBorder="1" applyFont="1" applyNumberFormat="1"/>
    <xf borderId="13" fillId="3" fontId="7" numFmtId="3" xfId="0" applyBorder="1" applyFont="1" applyNumberFormat="1"/>
    <xf borderId="13" fillId="3" fontId="7" numFmtId="165" xfId="0" applyBorder="1" applyFont="1" applyNumberFormat="1"/>
    <xf borderId="11" fillId="3" fontId="7" numFmtId="165" xfId="0" applyBorder="1" applyFont="1" applyNumberFormat="1"/>
    <xf borderId="6" fillId="0" fontId="3" numFmtId="3" xfId="0" applyBorder="1" applyFont="1" applyNumberFormat="1"/>
    <xf borderId="11" fillId="0" fontId="3" numFmtId="3" xfId="0" applyBorder="1" applyFont="1" applyNumberFormat="1"/>
    <xf borderId="12" fillId="4" fontId="3" numFmtId="165" xfId="0" applyAlignment="1" applyBorder="1" applyFill="1" applyFont="1" applyNumberFormat="1">
      <alignment readingOrder="0"/>
    </xf>
    <xf borderId="12" fillId="4" fontId="3" numFmtId="165" xfId="0" applyAlignment="1" applyBorder="1" applyFont="1" applyNumberFormat="1">
      <alignment horizontal="right" readingOrder="0"/>
    </xf>
    <xf borderId="6" fillId="0" fontId="3" numFmtId="164" xfId="0" applyAlignment="1" applyBorder="1" applyFont="1" applyNumberFormat="1">
      <alignment readingOrder="0"/>
    </xf>
    <xf borderId="12" fillId="0" fontId="3" numFmtId="165" xfId="0" applyAlignment="1" applyBorder="1" applyFont="1" applyNumberFormat="1">
      <alignment readingOrder="0"/>
    </xf>
    <xf borderId="6" fillId="0" fontId="3" numFmtId="0" xfId="0" applyAlignment="1" applyBorder="1" applyFont="1">
      <alignment readingOrder="0"/>
    </xf>
    <xf borderId="6" fillId="0" fontId="3" numFmtId="166" xfId="0" applyAlignment="1" applyBorder="1" applyFont="1" applyNumberFormat="1">
      <alignment horizontal="left"/>
    </xf>
    <xf borderId="0" fillId="0" fontId="3" numFmtId="167" xfId="0" applyFont="1" applyNumberFormat="1"/>
    <xf borderId="6" fillId="3" fontId="7" numFmtId="2" xfId="0" applyBorder="1" applyFont="1" applyNumberFormat="1"/>
    <xf borderId="12" fillId="3" fontId="9" numFmtId="10" xfId="0" applyBorder="1" applyFont="1" applyNumberFormat="1"/>
    <xf borderId="6" fillId="3" fontId="7" numFmtId="10" xfId="0" applyBorder="1" applyFont="1" applyNumberFormat="1"/>
    <xf borderId="6" fillId="3" fontId="7" numFmtId="168" xfId="0" applyBorder="1" applyFont="1" applyNumberFormat="1"/>
    <xf borderId="13" fillId="3" fontId="7" numFmtId="10" xfId="0" applyBorder="1" applyFont="1" applyNumberFormat="1"/>
    <xf borderId="14" fillId="0" fontId="3" numFmtId="165" xfId="0" applyBorder="1" applyFont="1" applyNumberFormat="1"/>
    <xf borderId="0" fillId="0" fontId="3" numFmtId="2" xfId="0" applyFont="1" applyNumberFormat="1"/>
    <xf borderId="0" fillId="0" fontId="3" numFmtId="165" xfId="0" applyFont="1" applyNumberFormat="1"/>
    <xf borderId="11" fillId="0" fontId="3" numFmtId="165" xfId="0" applyAlignment="1" applyBorder="1" applyFont="1" applyNumberFormat="1">
      <alignment readingOrder="0"/>
    </xf>
    <xf borderId="6" fillId="0" fontId="3" numFmtId="164" xfId="0" applyBorder="1" applyFont="1" applyNumberFormat="1"/>
    <xf borderId="11" fillId="0" fontId="3" numFmtId="164" xfId="0" applyBorder="1" applyFont="1" applyNumberFormat="1"/>
    <xf borderId="12" fillId="0" fontId="3" numFmtId="164" xfId="0" applyAlignment="1" applyBorder="1" applyFont="1" applyNumberFormat="1">
      <alignment readingOrder="0"/>
    </xf>
    <xf borderId="11" fillId="0" fontId="10" numFmtId="165" xfId="0" applyBorder="1" applyFont="1" applyNumberFormat="1"/>
    <xf borderId="6" fillId="0" fontId="10" numFmtId="165" xfId="0" applyBorder="1" applyFont="1" applyNumberFormat="1"/>
    <xf borderId="6" fillId="3" fontId="7" numFmtId="164" xfId="0" applyBorder="1" applyFont="1" applyNumberFormat="1"/>
    <xf borderId="13" fillId="3" fontId="7" numFmtId="164" xfId="0" applyBorder="1" applyFont="1" applyNumberFormat="1"/>
    <xf borderId="6" fillId="0" fontId="7" numFmtId="167" xfId="0" applyBorder="1" applyFont="1" applyNumberFormat="1"/>
    <xf borderId="11" fillId="0" fontId="7" numFmtId="167" xfId="0" applyBorder="1" applyFont="1" applyNumberFormat="1"/>
    <xf borderId="12" fillId="0" fontId="7" numFmtId="167" xfId="0" applyAlignment="1" applyBorder="1" applyFont="1" applyNumberFormat="1">
      <alignment readingOrder="0"/>
    </xf>
    <xf borderId="10" fillId="3" fontId="3" numFmtId="0" xfId="0" applyBorder="1" applyFont="1"/>
    <xf borderId="6" fillId="3" fontId="3" numFmtId="0" xfId="0" applyBorder="1" applyFont="1"/>
    <xf borderId="6" fillId="3" fontId="3" numFmtId="10" xfId="0" applyBorder="1" applyFont="1" applyNumberFormat="1"/>
    <xf borderId="13" fillId="3" fontId="3" numFmtId="10" xfId="0" applyBorder="1" applyFont="1" applyNumberFormat="1"/>
    <xf borderId="15" fillId="3" fontId="3" numFmtId="0" xfId="0" applyBorder="1" applyFont="1"/>
    <xf borderId="16" fillId="3" fontId="3" numFmtId="0" xfId="0" applyBorder="1" applyFont="1"/>
    <xf borderId="16" fillId="3" fontId="3" numFmtId="168" xfId="0" applyBorder="1" applyFont="1" applyNumberFormat="1"/>
    <xf borderId="16" fillId="3" fontId="9" numFmtId="10" xfId="0" applyBorder="1" applyFont="1" applyNumberFormat="1"/>
    <xf borderId="16" fillId="3" fontId="11" numFmtId="10" xfId="0" applyBorder="1" applyFont="1" applyNumberFormat="1"/>
    <xf borderId="16" fillId="3" fontId="3" numFmtId="10" xfId="0" applyBorder="1" applyFont="1" applyNumberFormat="1"/>
    <xf borderId="17" fillId="3" fontId="3" numFmtId="10" xfId="0" applyBorder="1" applyFont="1" applyNumberFormat="1"/>
    <xf borderId="17" fillId="3" fontId="11" numFmtId="10" xfId="0" applyBorder="1" applyFont="1" applyNumberFormat="1"/>
    <xf borderId="18" fillId="3" fontId="11" numFmtId="10" xfId="0" applyBorder="1" applyFont="1" applyNumberFormat="1"/>
    <xf borderId="0" fillId="0" fontId="7" numFmtId="0" xfId="0" applyFont="1"/>
    <xf borderId="19" fillId="0" fontId="7" numFmtId="0" xfId="0" applyAlignment="1" applyBorder="1" applyFont="1">
      <alignment horizontal="center"/>
    </xf>
    <xf borderId="20" fillId="0" fontId="2" numFmtId="0" xfId="0" applyBorder="1" applyFont="1"/>
    <xf borderId="21" fillId="0" fontId="10" numFmtId="0" xfId="0" applyBorder="1" applyFont="1"/>
    <xf borderId="22" fillId="0" fontId="7" numFmtId="0" xfId="0" applyBorder="1" applyFont="1"/>
    <xf borderId="23" fillId="0" fontId="7" numFmtId="0" xfId="0" applyBorder="1" applyFont="1"/>
    <xf borderId="23" fillId="0" fontId="7" numFmtId="0" xfId="0" applyAlignment="1" applyBorder="1" applyFont="1">
      <alignment horizontal="center"/>
    </xf>
    <xf borderId="23" fillId="0" fontId="3" numFmtId="0" xfId="0" applyAlignment="1" applyBorder="1" applyFont="1">
      <alignment horizontal="center"/>
    </xf>
    <xf borderId="23" fillId="0" fontId="7" numFmtId="2" xfId="0" applyAlignment="1" applyBorder="1" applyFont="1" applyNumberFormat="1">
      <alignment horizontal="center"/>
    </xf>
    <xf borderId="24" fillId="0" fontId="7" numFmtId="2" xfId="0" applyAlignment="1" applyBorder="1" applyFont="1" applyNumberFormat="1">
      <alignment horizontal="center"/>
    </xf>
    <xf borderId="25" fillId="0" fontId="7" numFmtId="2" xfId="0" applyAlignment="1" applyBorder="1" applyFont="1" applyNumberFormat="1">
      <alignment horizontal="center"/>
    </xf>
    <xf borderId="6" fillId="0" fontId="12" numFmtId="165" xfId="0" applyBorder="1" applyFont="1" applyNumberFormat="1"/>
    <xf borderId="12" fillId="0" fontId="7" numFmtId="165" xfId="0" applyBorder="1" applyFont="1" applyNumberFormat="1"/>
    <xf borderId="6" fillId="0" fontId="13" numFmtId="165" xfId="0" applyBorder="1" applyFont="1" applyNumberFormat="1"/>
    <xf borderId="12" fillId="0" fontId="3" numFmtId="165" xfId="0" applyBorder="1" applyFont="1" applyNumberFormat="1"/>
    <xf borderId="15" fillId="3" fontId="7" numFmtId="0" xfId="0" applyBorder="1" applyFont="1"/>
    <xf borderId="16" fillId="0" fontId="7" numFmtId="0" xfId="0" applyBorder="1" applyFont="1"/>
    <xf borderId="16" fillId="3" fontId="12" numFmtId="165" xfId="0" applyBorder="1" applyFont="1" applyNumberFormat="1"/>
    <xf borderId="16" fillId="3" fontId="7" numFmtId="165" xfId="0" applyBorder="1" applyFont="1" applyNumberFormat="1"/>
    <xf borderId="16" fillId="0" fontId="3" numFmtId="165" xfId="0" applyBorder="1" applyFont="1" applyNumberFormat="1"/>
    <xf borderId="16" fillId="0" fontId="7" numFmtId="165" xfId="0" applyBorder="1" applyFont="1" applyNumberFormat="1"/>
    <xf borderId="17" fillId="3" fontId="7" numFmtId="165" xfId="0" applyBorder="1" applyFont="1" applyNumberFormat="1"/>
    <xf borderId="18" fillId="3" fontId="7" numFmtId="165" xfId="0" applyBorder="1" applyFont="1" applyNumberFormat="1"/>
    <xf borderId="0" fillId="0" fontId="13" numFmtId="0" xfId="0" applyFont="1"/>
    <xf borderId="0" fillId="0" fontId="7" numFmtId="165" xfId="0" applyFont="1" applyNumberFormat="1"/>
    <xf borderId="8" fillId="5" fontId="7" numFmtId="0" xfId="0" applyBorder="1" applyFill="1" applyFont="1"/>
    <xf borderId="26" fillId="0" fontId="3" numFmtId="0" xfId="0" applyBorder="1" applyFont="1"/>
    <xf borderId="26" fillId="0" fontId="13" numFmtId="0" xfId="0" applyBorder="1" applyFont="1"/>
    <xf borderId="8" fillId="0" fontId="7" numFmtId="2" xfId="0" applyAlignment="1" applyBorder="1" applyFont="1" applyNumberFormat="1">
      <alignment horizontal="center"/>
    </xf>
    <xf borderId="16" fillId="3" fontId="7" numFmtId="0" xfId="0" applyBorder="1" applyFont="1"/>
    <xf borderId="27" fillId="3" fontId="3" numFmtId="0" xfId="0" applyBorder="1" applyFont="1"/>
    <xf borderId="27" fillId="3" fontId="3" numFmtId="165" xfId="0" applyBorder="1" applyFont="1" applyNumberFormat="1"/>
    <xf borderId="0" fillId="0" fontId="3" numFmtId="169" xfId="0" applyFont="1" applyNumberFormat="1"/>
    <xf borderId="0" fillId="0" fontId="3" numFmtId="170" xfId="0" applyFont="1" applyNumberFormat="1"/>
    <xf borderId="7" fillId="0" fontId="3" numFmtId="0" xfId="0" applyBorder="1" applyFont="1"/>
    <xf borderId="8" fillId="0" fontId="3" numFmtId="0" xfId="0" applyBorder="1" applyFont="1"/>
    <xf borderId="8" fillId="0" fontId="3" numFmtId="3" xfId="0" applyBorder="1" applyFont="1" applyNumberFormat="1"/>
    <xf borderId="9" fillId="0" fontId="3" numFmtId="3" xfId="0" applyBorder="1" applyFont="1" applyNumberFormat="1"/>
    <xf borderId="25" fillId="0" fontId="3" numFmtId="3" xfId="0" applyBorder="1" applyFont="1" applyNumberFormat="1"/>
    <xf borderId="28" fillId="3" fontId="7" numFmtId="165" xfId="0" applyBorder="1" applyFont="1" applyNumberFormat="1"/>
    <xf borderId="0" fillId="0" fontId="3" numFmtId="3" xfId="0" applyFont="1" applyNumberFormat="1"/>
    <xf borderId="0" fillId="0" fontId="13" numFmtId="164" xfId="0" applyFont="1" applyNumberFormat="1"/>
    <xf borderId="15" fillId="0" fontId="3" numFmtId="0" xfId="0" applyBorder="1" applyFont="1"/>
    <xf borderId="16" fillId="0" fontId="3" numFmtId="0" xfId="0" applyBorder="1" applyFont="1"/>
    <xf borderId="5" fillId="0" fontId="3" numFmtId="0" xfId="0" applyBorder="1" applyFont="1"/>
    <xf borderId="5" fillId="0" fontId="3" numFmtId="165" xfId="0" applyBorder="1" applyFont="1" applyNumberFormat="1"/>
    <xf borderId="28" fillId="0" fontId="7" numFmtId="165" xfId="0" applyBorder="1" applyFont="1" applyNumberFormat="1"/>
    <xf borderId="18" fillId="0" fontId="7" numFmtId="165" xfId="0" applyBorder="1" applyFont="1" applyNumberFormat="1"/>
    <xf borderId="10" fillId="0" fontId="3" numFmtId="164" xfId="0" applyBorder="1" applyFont="1" applyNumberFormat="1"/>
    <xf borderId="6" fillId="0" fontId="3" numFmtId="167" xfId="0" applyBorder="1" applyFont="1" applyNumberFormat="1"/>
    <xf borderId="11" fillId="0" fontId="3" numFmtId="2" xfId="0" applyBorder="1" applyFont="1" applyNumberFormat="1"/>
    <xf borderId="6" fillId="0" fontId="3" numFmtId="167" xfId="0" applyAlignment="1" applyBorder="1" applyFont="1" applyNumberFormat="1">
      <alignment readingOrder="0"/>
    </xf>
    <xf borderId="11" fillId="0" fontId="3" numFmtId="167" xfId="0" applyBorder="1" applyFont="1" applyNumberFormat="1"/>
    <xf borderId="11" fillId="0" fontId="3" numFmtId="0" xfId="0" applyBorder="1" applyFont="1"/>
    <xf borderId="10" fillId="0" fontId="3" numFmtId="168" xfId="0" applyBorder="1" applyFont="1" applyNumberFormat="1"/>
    <xf borderId="6" fillId="0" fontId="3" numFmtId="10" xfId="0" applyBorder="1" applyFont="1" applyNumberFormat="1"/>
    <xf borderId="11" fillId="0" fontId="3" numFmtId="10" xfId="0" applyBorder="1" applyFont="1" applyNumberFormat="1"/>
    <xf borderId="6" fillId="0" fontId="3" numFmtId="2" xfId="0" applyBorder="1" applyFont="1" applyNumberFormat="1"/>
    <xf borderId="6" fillId="0" fontId="3" numFmtId="1" xfId="0" applyBorder="1" applyFont="1" applyNumberFormat="1"/>
    <xf borderId="11" fillId="0" fontId="3" numFmtId="1" xfId="0" applyBorder="1" applyFont="1" applyNumberFormat="1"/>
    <xf borderId="0" fillId="0" fontId="14" numFmtId="0" xfId="0" applyFont="1"/>
    <xf borderId="10" fillId="0" fontId="3" numFmtId="164" xfId="0" applyAlignment="1" applyBorder="1" applyFont="1" applyNumberFormat="1">
      <alignment shrinkToFit="0" wrapText="1"/>
    </xf>
    <xf borderId="29" fillId="0" fontId="3" numFmtId="0" xfId="0" applyBorder="1" applyFont="1"/>
    <xf borderId="30" fillId="0" fontId="3" numFmtId="10" xfId="0" applyBorder="1" applyFont="1" applyNumberFormat="1"/>
    <xf borderId="31" fillId="0" fontId="3" numFmtId="10" xfId="0" applyBorder="1" applyFont="1" applyNumberFormat="1"/>
    <xf borderId="6" fillId="0" fontId="3" numFmtId="170" xfId="0" applyBorder="1" applyFont="1" applyNumberFormat="1"/>
    <xf borderId="11" fillId="0" fontId="3" numFmtId="170" xfId="0" applyBorder="1" applyFont="1" applyNumberFormat="1"/>
    <xf borderId="16" fillId="0" fontId="13" numFmtId="0" xfId="0" applyBorder="1" applyFont="1"/>
    <xf borderId="16" fillId="0" fontId="13" numFmtId="165" xfId="0" applyBorder="1" applyFont="1" applyNumberFormat="1"/>
    <xf borderId="28" fillId="0" fontId="3" numFmtId="165" xfId="0" applyBorder="1" applyFont="1" applyNumberFormat="1"/>
    <xf borderId="0" fillId="0" fontId="3" numFmtId="164" xfId="0" applyFont="1" applyNumberFormat="1"/>
    <xf borderId="0" fillId="0" fontId="3" numFmtId="0" xfId="0" applyAlignment="1" applyFont="1">
      <alignment horizontal="center" vertical="center"/>
    </xf>
    <xf borderId="0" fillId="0" fontId="3" numFmtId="166" xfId="0" applyFont="1" applyNumberFormat="1"/>
    <xf borderId="0" fillId="0" fontId="7" numFmtId="166" xfId="0" applyAlignment="1" applyFont="1" applyNumberFormat="1">
      <alignment vertical="top"/>
    </xf>
    <xf borderId="6" fillId="0" fontId="7" numFmtId="0" xfId="0" applyAlignment="1" applyBorder="1" applyFont="1">
      <alignment vertical="top"/>
    </xf>
    <xf borderId="6" fillId="0" fontId="12" numFmtId="0" xfId="0" applyBorder="1" applyFont="1"/>
    <xf borderId="6" fillId="0" fontId="3" numFmtId="0" xfId="0" applyAlignment="1" applyBorder="1" applyFont="1">
      <alignment vertical="top"/>
    </xf>
    <xf borderId="6" fillId="0" fontId="13" numFmtId="0" xfId="0" applyBorder="1" applyFont="1"/>
    <xf borderId="6" fillId="0" fontId="3" numFmtId="166" xfId="0" applyAlignment="1" applyBorder="1" applyFont="1" applyNumberFormat="1">
      <alignment vertical="top"/>
    </xf>
    <xf borderId="6" fillId="0" fontId="7" numFmtId="166" xfId="0" applyAlignment="1" applyBorder="1" applyFont="1" applyNumberFormat="1">
      <alignment vertical="top"/>
    </xf>
    <xf borderId="6" fillId="0" fontId="7" numFmtId="0" xfId="0" applyAlignment="1" applyBorder="1" applyFont="1">
      <alignment shrinkToFit="0" vertical="top" wrapText="1"/>
    </xf>
    <xf borderId="6" fillId="3" fontId="7" numFmtId="166" xfId="0" applyAlignment="1" applyBorder="1" applyFont="1" applyNumberFormat="1">
      <alignment vertical="top"/>
    </xf>
    <xf borderId="0" fillId="0" fontId="10" numFmtId="166" xfId="0" applyFont="1" applyNumberFormat="1"/>
    <xf borderId="6" fillId="0" fontId="7" numFmtId="167" xfId="0" applyAlignment="1" applyBorder="1" applyFont="1" applyNumberFormat="1">
      <alignment vertical="top"/>
    </xf>
    <xf borderId="6" fillId="0" fontId="7" numFmtId="166" xfId="0" applyBorder="1" applyFont="1" applyNumberFormat="1"/>
    <xf borderId="6" fillId="0" fontId="3" numFmtId="166" xfId="0" applyBorder="1" applyFont="1" applyNumberFormat="1"/>
    <xf borderId="0" fillId="0" fontId="15" numFmtId="0" xfId="0" applyFont="1"/>
    <xf borderId="6" fillId="0" fontId="15" numFmtId="0" xfId="0" applyBorder="1" applyFont="1"/>
    <xf borderId="6" fillId="0" fontId="10" numFmtId="0" xfId="0" applyBorder="1" applyFont="1"/>
    <xf borderId="6" fillId="0" fontId="10" numFmtId="167" xfId="0" applyBorder="1" applyFont="1" applyNumberFormat="1"/>
    <xf borderId="6" fillId="0" fontId="15" numFmtId="167" xfId="0" applyBorder="1" applyFont="1" applyNumberFormat="1"/>
    <xf borderId="6" fillId="0" fontId="10" numFmtId="166" xfId="0" applyBorder="1" applyFont="1" applyNumberFormat="1"/>
    <xf borderId="23" fillId="0" fontId="10" numFmtId="166" xfId="0" applyBorder="1" applyFont="1" applyNumberFormat="1"/>
    <xf borderId="30" fillId="0" fontId="10" numFmtId="0" xfId="0" applyBorder="1" applyFont="1"/>
    <xf borderId="30" fillId="0" fontId="10" numFmtId="166" xfId="0" applyBorder="1" applyFont="1" applyNumberFormat="1"/>
    <xf borderId="6" fillId="0" fontId="15" numFmtId="166" xfId="0" applyBorder="1" applyFont="1" applyNumberFormat="1"/>
    <xf borderId="0" fillId="0" fontId="10" numFmtId="167" xfId="0" applyFont="1" applyNumberFormat="1"/>
    <xf borderId="0" fillId="0" fontId="15" numFmtId="167" xfId="0" applyAlignment="1" applyFont="1" applyNumberFormat="1">
      <alignment shrinkToFit="0" wrapText="1"/>
    </xf>
    <xf borderId="0" fillId="0" fontId="10" numFmtId="171" xfId="0" applyFont="1" applyNumberFormat="1"/>
    <xf borderId="0" fillId="0" fontId="10" numFmtId="170" xfId="0" applyFont="1" applyNumberFormat="1"/>
    <xf borderId="30" fillId="0" fontId="15" numFmtId="0" xfId="0" applyAlignment="1" applyBorder="1" applyFont="1">
      <alignment horizontal="center"/>
    </xf>
    <xf borderId="11" fillId="0" fontId="15" numFmtId="171" xfId="0" applyAlignment="1" applyBorder="1" applyFont="1" applyNumberFormat="1">
      <alignment horizontal="center" shrinkToFit="0" wrapText="1"/>
    </xf>
    <xf borderId="14" fillId="0" fontId="2" numFmtId="0" xfId="0" applyBorder="1" applyFont="1"/>
    <xf borderId="32" fillId="0" fontId="2" numFmtId="0" xfId="0" applyBorder="1" applyFont="1"/>
    <xf borderId="23" fillId="0" fontId="2" numFmtId="0" xfId="0" applyBorder="1" applyFont="1"/>
    <xf borderId="6" fillId="0" fontId="15" numFmtId="171" xfId="0" applyAlignment="1" applyBorder="1" applyFont="1" applyNumberFormat="1">
      <alignment shrinkToFit="0" wrapText="1"/>
    </xf>
    <xf borderId="6" fillId="6" fontId="15" numFmtId="171" xfId="0" applyAlignment="1" applyBorder="1" applyFill="1" applyFont="1" applyNumberFormat="1">
      <alignment shrinkToFit="0" wrapText="1"/>
    </xf>
    <xf borderId="6" fillId="0" fontId="10" numFmtId="171" xfId="0" applyAlignment="1" applyBorder="1" applyFont="1" applyNumberFormat="1">
      <alignment shrinkToFit="0" wrapText="1"/>
    </xf>
    <xf borderId="6" fillId="0" fontId="10" numFmtId="9" xfId="0" applyBorder="1" applyFont="1" applyNumberFormat="1"/>
    <xf borderId="6" fillId="6" fontId="10" numFmtId="9" xfId="0" applyAlignment="1" applyBorder="1" applyFont="1" applyNumberFormat="1">
      <alignment shrinkToFit="0" wrapText="1"/>
    </xf>
    <xf borderId="6" fillId="6" fontId="10" numFmtId="9" xfId="0" applyBorder="1" applyFont="1" applyNumberFormat="1"/>
    <xf borderId="6" fillId="6" fontId="15" numFmtId="9" xfId="0" applyAlignment="1" applyBorder="1" applyFont="1" applyNumberFormat="1">
      <alignment shrinkToFit="0" wrapText="1"/>
    </xf>
    <xf borderId="0" fillId="0" fontId="16" numFmtId="0" xfId="0" applyFont="1"/>
    <xf borderId="0" fillId="0" fontId="10" numFmtId="0" xfId="0" applyFont="1"/>
    <xf borderId="0" fillId="0" fontId="10" numFmtId="9" xfId="0" applyFont="1" applyNumberFormat="1"/>
    <xf borderId="30" fillId="0" fontId="15" numFmtId="0" xfId="0" applyAlignment="1" applyBorder="1" applyFont="1">
      <alignment horizontal="left"/>
    </xf>
    <xf borderId="11" fillId="0" fontId="15" numFmtId="0" xfId="0" applyAlignment="1" applyBorder="1" applyFont="1">
      <alignment horizontal="center" shrinkToFit="0" wrapText="1"/>
    </xf>
    <xf borderId="6" fillId="0" fontId="15" numFmtId="0" xfId="0" applyAlignment="1" applyBorder="1" applyFont="1">
      <alignment shrinkToFit="0" wrapText="1"/>
    </xf>
    <xf borderId="6" fillId="6" fontId="15" numFmtId="0" xfId="0" applyAlignment="1" applyBorder="1" applyFont="1">
      <alignment shrinkToFit="0" wrapText="1"/>
    </xf>
    <xf borderId="24" fillId="0" fontId="10" numFmtId="0" xfId="0" applyAlignment="1" applyBorder="1" applyFont="1">
      <alignment horizontal="center"/>
    </xf>
    <xf borderId="33" fillId="0" fontId="2" numFmtId="0" xfId="0" applyBorder="1" applyFont="1"/>
    <xf borderId="34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8.14"/>
    <col customWidth="1" hidden="1" min="2" max="2" width="14.0"/>
    <col customWidth="1" hidden="1" min="3" max="3" width="16.86"/>
    <col customWidth="1" hidden="1" min="4" max="4" width="17.43"/>
    <col customWidth="1" min="5" max="6" width="16.86"/>
    <col customWidth="1" hidden="1" min="7" max="9" width="16.86"/>
    <col customWidth="1" min="10" max="10" width="16.86"/>
    <col customWidth="1" min="11" max="11" width="16.14"/>
    <col customWidth="1" min="12" max="13" width="17.71"/>
    <col customWidth="1" min="14" max="14" width="17.57"/>
    <col customWidth="1" min="15" max="15" width="17.71"/>
    <col customWidth="1" min="16" max="16" width="101.14"/>
    <col customWidth="1" hidden="1" min="17" max="20" width="16.29"/>
    <col customWidth="1" min="21" max="21" width="16.43"/>
    <col customWidth="1" min="22" max="22" width="17.86"/>
    <col customWidth="1" min="23" max="24" width="16.29"/>
    <col customWidth="1" min="25" max="25" width="16.43"/>
    <col customWidth="1" min="26" max="26" width="22.43"/>
    <col customWidth="1" min="27" max="27" width="10.14"/>
    <col customWidth="1" min="28" max="28" width="9.14"/>
    <col customWidth="1" min="29" max="29" width="15.0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</row>
    <row r="2" ht="18.7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4"/>
      <c r="P2" s="8" t="s">
        <v>2</v>
      </c>
      <c r="Q2" s="6"/>
      <c r="R2" s="6"/>
      <c r="S2" s="6"/>
      <c r="T2" s="6"/>
      <c r="U2" s="6"/>
      <c r="V2" s="6"/>
      <c r="W2" s="6"/>
      <c r="X2" s="6"/>
      <c r="Y2" s="9"/>
      <c r="Z2" s="4"/>
      <c r="AA2" s="4"/>
      <c r="AB2" s="4"/>
      <c r="AC2" s="4"/>
    </row>
    <row r="3" ht="18.75" customHeight="1">
      <c r="A3" s="10" t="s">
        <v>3</v>
      </c>
      <c r="B3" s="11"/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2" t="s">
        <v>11</v>
      </c>
      <c r="K3" s="12" t="s">
        <v>12</v>
      </c>
      <c r="L3" s="12" t="s">
        <v>13</v>
      </c>
      <c r="M3" s="14" t="s">
        <v>14</v>
      </c>
      <c r="N3" s="15" t="s">
        <v>15</v>
      </c>
      <c r="O3" s="4"/>
      <c r="P3" s="10" t="s">
        <v>3</v>
      </c>
      <c r="Q3" s="16" t="s">
        <v>4</v>
      </c>
      <c r="R3" s="17" t="s">
        <v>5</v>
      </c>
      <c r="S3" s="12" t="s">
        <v>6</v>
      </c>
      <c r="T3" s="12" t="s">
        <v>7</v>
      </c>
      <c r="U3" s="18" t="s">
        <v>11</v>
      </c>
      <c r="V3" s="12" t="s">
        <v>12</v>
      </c>
      <c r="W3" s="12" t="s">
        <v>13</v>
      </c>
      <c r="X3" s="15" t="s">
        <v>14</v>
      </c>
      <c r="Y3" s="15" t="s">
        <v>15</v>
      </c>
      <c r="Z3" s="4"/>
      <c r="AA3" s="4"/>
      <c r="AB3" s="4"/>
      <c r="AC3" s="4"/>
    </row>
    <row r="4" ht="18.75" customHeight="1">
      <c r="A4" s="19" t="s">
        <v>16</v>
      </c>
      <c r="B4" s="20"/>
      <c r="C4" s="21">
        <v>4577.508</v>
      </c>
      <c r="D4" s="21">
        <v>5060.331</v>
      </c>
      <c r="E4" s="21">
        <v>7546.857</v>
      </c>
      <c r="F4" s="21">
        <v>7598.945</v>
      </c>
      <c r="G4" s="22">
        <v>1132.574</v>
      </c>
      <c r="H4" s="22">
        <v>1838.346</v>
      </c>
      <c r="I4" s="23">
        <v>1906.7</v>
      </c>
      <c r="J4" s="21">
        <v>7088.36</v>
      </c>
      <c r="K4" s="21">
        <f>86879.19/10</f>
        <v>8687.919</v>
      </c>
      <c r="L4" s="21">
        <f>84907.26/10</f>
        <v>8490.726</v>
      </c>
      <c r="M4" s="24">
        <v>8364.04</v>
      </c>
      <c r="N4" s="25">
        <v>4525.84</v>
      </c>
      <c r="O4" s="4"/>
      <c r="P4" s="26" t="s">
        <v>17</v>
      </c>
      <c r="Q4" s="9">
        <v>51.337</v>
      </c>
      <c r="R4" s="9">
        <v>84.134</v>
      </c>
      <c r="S4" s="27">
        <v>168.268</v>
      </c>
      <c r="T4" s="27">
        <v>168.268</v>
      </c>
      <c r="U4" s="27">
        <v>168.268</v>
      </c>
      <c r="V4" s="27">
        <v>168.268</v>
      </c>
      <c r="W4" s="27">
        <v>168.268</v>
      </c>
      <c r="X4" s="28">
        <v>168.268</v>
      </c>
      <c r="Y4" s="27">
        <v>168.268</v>
      </c>
      <c r="Z4" s="4"/>
      <c r="AA4" s="4"/>
      <c r="AB4" s="4"/>
      <c r="AC4" s="4"/>
    </row>
    <row r="5" ht="18.75" customHeight="1">
      <c r="A5" s="29" t="s">
        <v>18</v>
      </c>
      <c r="B5" s="30"/>
      <c r="C5" s="31"/>
      <c r="D5" s="31">
        <f t="shared" ref="D5:F5" si="1">(D4/C4-1)</f>
        <v>0.1054772597</v>
      </c>
      <c r="E5" s="31">
        <f t="shared" si="1"/>
        <v>0.491376157</v>
      </c>
      <c r="F5" s="31">
        <f t="shared" si="1"/>
        <v>0.006901946068</v>
      </c>
      <c r="G5" s="32"/>
      <c r="H5" s="32"/>
      <c r="I5" s="33"/>
      <c r="J5" s="31">
        <f>(J4/F4-1)</f>
        <v>-0.06719156409</v>
      </c>
      <c r="K5" s="31">
        <f t="shared" ref="K5:M5" si="2">K4/J4-1</f>
        <v>0.2256599552</v>
      </c>
      <c r="L5" s="31">
        <f t="shared" si="2"/>
        <v>-0.02269738012</v>
      </c>
      <c r="M5" s="34">
        <f t="shared" si="2"/>
        <v>-0.01492051445</v>
      </c>
      <c r="N5" s="34"/>
      <c r="O5" s="4"/>
      <c r="P5" s="26" t="s">
        <v>19</v>
      </c>
      <c r="Q5" s="9">
        <v>32.797</v>
      </c>
      <c r="R5" s="9"/>
      <c r="S5" s="27"/>
      <c r="T5" s="27"/>
      <c r="U5" s="27"/>
      <c r="V5" s="27"/>
      <c r="W5" s="27"/>
      <c r="X5" s="28"/>
      <c r="Y5" s="9"/>
      <c r="Z5" s="4"/>
      <c r="AA5" s="4"/>
      <c r="AB5" s="4"/>
      <c r="AC5" s="4"/>
    </row>
    <row r="6" ht="18.75" customHeight="1">
      <c r="A6" s="29" t="s">
        <v>20</v>
      </c>
      <c r="B6" s="30"/>
      <c r="C6" s="31"/>
      <c r="D6" s="35"/>
      <c r="E6" s="31">
        <f>((E4/C4)^(1/2))-1</f>
        <v>0.2840102909</v>
      </c>
      <c r="F6" s="31">
        <f>((F4/C4)^(1/3))-1</f>
        <v>0.1840627802</v>
      </c>
      <c r="G6" s="32"/>
      <c r="H6" s="32"/>
      <c r="I6" s="33"/>
      <c r="J6" s="31">
        <f t="shared" ref="J6:L6" si="3">((J4/D4)^(1/3))-1</f>
        <v>0.1188940051</v>
      </c>
      <c r="K6" s="31">
        <f t="shared" si="3"/>
        <v>0.04805292431</v>
      </c>
      <c r="L6" s="31">
        <f t="shared" si="3"/>
        <v>0.03768094464</v>
      </c>
      <c r="M6" s="34">
        <f>((M4/J4)^(1/3))-1</f>
        <v>0.05671233827</v>
      </c>
      <c r="N6" s="34"/>
      <c r="O6" s="4"/>
      <c r="P6" s="26" t="s">
        <v>21</v>
      </c>
      <c r="Q6" s="9">
        <v>3080.873</v>
      </c>
      <c r="R6" s="9">
        <v>3291.619</v>
      </c>
      <c r="S6" s="27">
        <v>3750.974</v>
      </c>
      <c r="T6" s="27">
        <v>4473.131</v>
      </c>
      <c r="U6" s="27">
        <v>5404.6</v>
      </c>
      <c r="V6" s="27">
        <f>58839.32/10</f>
        <v>5883.932</v>
      </c>
      <c r="W6" s="27">
        <v>6081.16</v>
      </c>
      <c r="X6" s="28">
        <v>6155.218</v>
      </c>
      <c r="Y6" s="36">
        <v>6395.1</v>
      </c>
      <c r="Z6" s="4"/>
      <c r="AA6" s="4"/>
      <c r="AB6" s="4"/>
      <c r="AC6" s="4"/>
    </row>
    <row r="7" ht="18.75" customHeight="1">
      <c r="A7" s="37" t="s">
        <v>22</v>
      </c>
      <c r="B7" s="38"/>
      <c r="C7" s="35">
        <f t="shared" ref="C7:N7" si="4">SUM(C8:C12)</f>
        <v>4008.931</v>
      </c>
      <c r="D7" s="35">
        <f t="shared" si="4"/>
        <v>4412.87</v>
      </c>
      <c r="E7" s="35">
        <f t="shared" si="4"/>
        <v>6396.772</v>
      </c>
      <c r="F7" s="35">
        <f t="shared" si="4"/>
        <v>6326.84</v>
      </c>
      <c r="G7" s="39">
        <f t="shared" si="4"/>
        <v>949.399</v>
      </c>
      <c r="H7" s="39">
        <f t="shared" si="4"/>
        <v>1347.718</v>
      </c>
      <c r="I7" s="40">
        <f t="shared" si="4"/>
        <v>1372.951</v>
      </c>
      <c r="J7" s="35">
        <f t="shared" si="4"/>
        <v>5537.62</v>
      </c>
      <c r="K7" s="35">
        <f t="shared" si="4"/>
        <v>7762.645</v>
      </c>
      <c r="L7" s="35">
        <f t="shared" si="4"/>
        <v>7948.592</v>
      </c>
      <c r="M7" s="41">
        <f t="shared" si="4"/>
        <v>7894.7</v>
      </c>
      <c r="N7" s="41">
        <f t="shared" si="4"/>
        <v>4018.06</v>
      </c>
      <c r="O7" s="4"/>
      <c r="P7" s="37" t="s">
        <v>23</v>
      </c>
      <c r="Q7" s="38">
        <f>(Q4+Q6+Q5)</f>
        <v>3165.007</v>
      </c>
      <c r="R7" s="38">
        <f t="shared" ref="R7:Y7" si="5">(R4+R6)</f>
        <v>3375.753</v>
      </c>
      <c r="S7" s="35">
        <f t="shared" si="5"/>
        <v>3919.242</v>
      </c>
      <c r="T7" s="35">
        <f t="shared" si="5"/>
        <v>4641.399</v>
      </c>
      <c r="U7" s="35">
        <f t="shared" si="5"/>
        <v>5572.868</v>
      </c>
      <c r="V7" s="35">
        <f t="shared" si="5"/>
        <v>6052.2</v>
      </c>
      <c r="W7" s="35">
        <f t="shared" si="5"/>
        <v>6249.428</v>
      </c>
      <c r="X7" s="42">
        <f t="shared" si="5"/>
        <v>6323.486</v>
      </c>
      <c r="Y7" s="35">
        <f t="shared" si="5"/>
        <v>6563.368</v>
      </c>
      <c r="Z7" s="4"/>
      <c r="AA7" s="4"/>
      <c r="AB7" s="4"/>
      <c r="AC7" s="4"/>
    </row>
    <row r="8" ht="18.75" customHeight="1">
      <c r="A8" s="26" t="s">
        <v>24</v>
      </c>
      <c r="B8" s="9"/>
      <c r="C8" s="27">
        <v>2925.081</v>
      </c>
      <c r="D8" s="27">
        <v>3307.768</v>
      </c>
      <c r="E8" s="27">
        <v>5221.165</v>
      </c>
      <c r="F8" s="27">
        <v>4863.094</v>
      </c>
      <c r="G8" s="43">
        <v>631.525</v>
      </c>
      <c r="H8" s="43">
        <v>1036.934</v>
      </c>
      <c r="I8" s="44">
        <v>1004.649</v>
      </c>
      <c r="J8" s="27">
        <v>4145.21</v>
      </c>
      <c r="K8" s="27">
        <f>61558.47/10</f>
        <v>6155.847</v>
      </c>
      <c r="L8" s="27">
        <f>63068.53/10</f>
        <v>6306.853</v>
      </c>
      <c r="M8" s="28">
        <v>5325.37</v>
      </c>
      <c r="N8" s="45">
        <v>2879.12</v>
      </c>
      <c r="O8" s="4"/>
      <c r="P8" s="26" t="s">
        <v>25</v>
      </c>
      <c r="Q8" s="9"/>
      <c r="R8" s="9"/>
      <c r="S8" s="27"/>
      <c r="T8" s="27"/>
      <c r="U8" s="27"/>
      <c r="V8" s="27"/>
      <c r="W8" s="27"/>
      <c r="X8" s="28"/>
      <c r="Y8" s="9"/>
      <c r="Z8" s="4"/>
      <c r="AA8" s="4"/>
      <c r="AB8" s="4"/>
      <c r="AC8" s="4"/>
    </row>
    <row r="9" ht="18.75" customHeight="1">
      <c r="A9" s="26" t="s">
        <v>26</v>
      </c>
      <c r="B9" s="9"/>
      <c r="C9" s="27">
        <v>37.697</v>
      </c>
      <c r="D9" s="27">
        <v>-33.109</v>
      </c>
      <c r="E9" s="27">
        <v>-245.422</v>
      </c>
      <c r="F9" s="27">
        <v>-90.261</v>
      </c>
      <c r="G9" s="43">
        <v>44.21</v>
      </c>
      <c r="H9" s="43">
        <v>-120.027</v>
      </c>
      <c r="I9" s="44">
        <v>-49.275</v>
      </c>
      <c r="J9" s="27">
        <v>-199.15</v>
      </c>
      <c r="K9" s="27">
        <f>-4277.32/10</f>
        <v>-427.732</v>
      </c>
      <c r="L9" s="27">
        <f>-5391.44/10</f>
        <v>-539.144</v>
      </c>
      <c r="M9" s="28">
        <v>389.4</v>
      </c>
      <c r="N9" s="46">
        <v>-186.224</v>
      </c>
      <c r="O9" s="4"/>
      <c r="P9" s="26" t="s">
        <v>27</v>
      </c>
      <c r="Q9" s="9">
        <v>425.955</v>
      </c>
      <c r="R9" s="9">
        <v>211.765</v>
      </c>
      <c r="S9" s="27">
        <v>117.647</v>
      </c>
      <c r="T9" s="27">
        <v>15.295</v>
      </c>
      <c r="U9" s="27">
        <v>0.0</v>
      </c>
      <c r="V9" s="27">
        <f>4500/10</f>
        <v>450</v>
      </c>
      <c r="W9" s="27">
        <v>316.4</v>
      </c>
      <c r="X9" s="28">
        <v>518.573</v>
      </c>
      <c r="Y9" s="47">
        <v>452.0</v>
      </c>
      <c r="Z9" s="4"/>
      <c r="AA9" s="4"/>
      <c r="AB9" s="4"/>
      <c r="AC9" s="4"/>
    </row>
    <row r="10" ht="18.75" customHeight="1">
      <c r="A10" s="26" t="s">
        <v>28</v>
      </c>
      <c r="B10" s="9"/>
      <c r="C10" s="27">
        <v>511.995</v>
      </c>
      <c r="D10" s="27">
        <v>548.875</v>
      </c>
      <c r="E10" s="27">
        <v>647.414</v>
      </c>
      <c r="F10" s="27">
        <v>807.821</v>
      </c>
      <c r="G10" s="43">
        <v>130.052</v>
      </c>
      <c r="H10" s="43">
        <v>220.559</v>
      </c>
      <c r="I10" s="44">
        <v>199.631</v>
      </c>
      <c r="J10" s="27">
        <v>784.73</v>
      </c>
      <c r="K10" s="27">
        <f>10474.59/10</f>
        <v>1047.459</v>
      </c>
      <c r="L10" s="27">
        <v>1098.7</v>
      </c>
      <c r="M10" s="28">
        <v>1117.62</v>
      </c>
      <c r="N10" s="48">
        <v>664.791</v>
      </c>
      <c r="O10" s="4"/>
      <c r="P10" s="26" t="s">
        <v>29</v>
      </c>
      <c r="Q10" s="9">
        <v>621.974</v>
      </c>
      <c r="R10" s="9">
        <v>1012.961</v>
      </c>
      <c r="S10" s="27">
        <v>1622.37</v>
      </c>
      <c r="T10" s="27">
        <v>431.107</v>
      </c>
      <c r="U10" s="27">
        <v>778.59</v>
      </c>
      <c r="V10" s="27">
        <f>9434.88/10</f>
        <v>943.488</v>
      </c>
      <c r="W10" s="27">
        <v>1972.015</v>
      </c>
      <c r="X10" s="28">
        <v>1522.316</v>
      </c>
      <c r="Y10" s="49">
        <v>2035.6</v>
      </c>
      <c r="Z10" s="4"/>
      <c r="AA10" s="4"/>
      <c r="AB10" s="4"/>
      <c r="AC10" s="4"/>
    </row>
    <row r="11" ht="18.75" customHeight="1">
      <c r="A11" s="26" t="s">
        <v>30</v>
      </c>
      <c r="B11" s="9"/>
      <c r="C11" s="27">
        <v>232.218</v>
      </c>
      <c r="D11" s="27">
        <v>261.463</v>
      </c>
      <c r="E11" s="27">
        <v>314.878</v>
      </c>
      <c r="F11" s="27">
        <v>358.113</v>
      </c>
      <c r="G11" s="43">
        <v>88.278</v>
      </c>
      <c r="H11" s="43">
        <v>92.606</v>
      </c>
      <c r="I11" s="44">
        <v>95.1</v>
      </c>
      <c r="J11" s="27">
        <v>394.63</v>
      </c>
      <c r="K11" s="27">
        <f>4839.24/10</f>
        <v>483.924</v>
      </c>
      <c r="L11" s="27">
        <v>528.406</v>
      </c>
      <c r="M11" s="28">
        <v>539.01</v>
      </c>
      <c r="N11" s="45">
        <v>358.496</v>
      </c>
      <c r="O11" s="4"/>
      <c r="P11" s="26" t="s">
        <v>31</v>
      </c>
      <c r="Q11" s="9"/>
      <c r="R11" s="9">
        <v>94.0</v>
      </c>
      <c r="S11" s="27">
        <v>94.0</v>
      </c>
      <c r="T11" s="27">
        <v>61.0</v>
      </c>
      <c r="U11" s="27">
        <v>0.0</v>
      </c>
      <c r="V11" s="27">
        <v>0.0</v>
      </c>
      <c r="W11" s="27">
        <v>0.0</v>
      </c>
      <c r="X11" s="28">
        <v>0.0</v>
      </c>
      <c r="Y11" s="27">
        <v>0.0</v>
      </c>
      <c r="Z11" s="4"/>
      <c r="AA11" s="4"/>
      <c r="AB11" s="4"/>
      <c r="AC11" s="4"/>
    </row>
    <row r="12" ht="18.75" customHeight="1">
      <c r="A12" s="26" t="s">
        <v>32</v>
      </c>
      <c r="B12" s="9"/>
      <c r="C12" s="50">
        <v>301.94</v>
      </c>
      <c r="D12" s="27">
        <v>327.873</v>
      </c>
      <c r="E12" s="27">
        <v>458.737</v>
      </c>
      <c r="F12" s="27">
        <v>388.073</v>
      </c>
      <c r="G12" s="43">
        <v>55.334</v>
      </c>
      <c r="H12" s="43">
        <v>117.646</v>
      </c>
      <c r="I12" s="44">
        <v>122.846</v>
      </c>
      <c r="J12" s="27">
        <v>412.2</v>
      </c>
      <c r="K12" s="27">
        <f>5031.47/10</f>
        <v>503.147</v>
      </c>
      <c r="L12" s="27">
        <v>553.777</v>
      </c>
      <c r="M12" s="28">
        <v>523.3</v>
      </c>
      <c r="N12" s="45">
        <v>301.877</v>
      </c>
      <c r="O12" s="4"/>
      <c r="P12" s="37" t="s">
        <v>33</v>
      </c>
      <c r="Q12" s="38">
        <f>Q10+Q9</f>
        <v>1047.929</v>
      </c>
      <c r="R12" s="38">
        <f t="shared" ref="R12:T12" si="6">R10+R9+R11</f>
        <v>1318.726</v>
      </c>
      <c r="S12" s="35">
        <f t="shared" si="6"/>
        <v>1834.017</v>
      </c>
      <c r="T12" s="35">
        <f t="shared" si="6"/>
        <v>507.402</v>
      </c>
      <c r="U12" s="35">
        <f t="shared" ref="U12:Y12" si="7">U10+U9</f>
        <v>778.59</v>
      </c>
      <c r="V12" s="35">
        <f t="shared" si="7"/>
        <v>1393.488</v>
      </c>
      <c r="W12" s="35">
        <f t="shared" si="7"/>
        <v>2288.415</v>
      </c>
      <c r="X12" s="42">
        <f t="shared" si="7"/>
        <v>2040.889</v>
      </c>
      <c r="Y12" s="35">
        <f t="shared" si="7"/>
        <v>2487.6</v>
      </c>
      <c r="Z12" s="4"/>
      <c r="AA12" s="4"/>
      <c r="AB12" s="4"/>
      <c r="AC12" s="4"/>
    </row>
    <row r="13" ht="18.75" customHeight="1">
      <c r="A13" s="37" t="s">
        <v>34</v>
      </c>
      <c r="B13" s="38"/>
      <c r="C13" s="35">
        <f t="shared" ref="C13:N13" si="8">(C4-C7)</f>
        <v>568.577</v>
      </c>
      <c r="D13" s="35">
        <f t="shared" si="8"/>
        <v>647.461</v>
      </c>
      <c r="E13" s="35">
        <f t="shared" si="8"/>
        <v>1150.085</v>
      </c>
      <c r="F13" s="35">
        <f t="shared" si="8"/>
        <v>1272.105</v>
      </c>
      <c r="G13" s="39">
        <f t="shared" si="8"/>
        <v>183.175</v>
      </c>
      <c r="H13" s="39">
        <f t="shared" si="8"/>
        <v>490.628</v>
      </c>
      <c r="I13" s="39">
        <f t="shared" si="8"/>
        <v>533.749</v>
      </c>
      <c r="J13" s="35">
        <f t="shared" si="8"/>
        <v>1550.74</v>
      </c>
      <c r="K13" s="35">
        <f t="shared" si="8"/>
        <v>925.274</v>
      </c>
      <c r="L13" s="35">
        <f t="shared" si="8"/>
        <v>542.134</v>
      </c>
      <c r="M13" s="41">
        <f t="shared" si="8"/>
        <v>469.34</v>
      </c>
      <c r="N13" s="41">
        <f t="shared" si="8"/>
        <v>507.78</v>
      </c>
      <c r="O13" s="51"/>
      <c r="P13" s="37" t="s">
        <v>35</v>
      </c>
      <c r="Q13" s="52">
        <f t="shared" ref="Q13:Y13" si="9">(Q7+Q9+Q8)+SUM(Q48:Q50)</f>
        <v>3842.576</v>
      </c>
      <c r="R13" s="52">
        <f t="shared" si="9"/>
        <v>3866.94</v>
      </c>
      <c r="S13" s="35">
        <f t="shared" si="9"/>
        <v>4398.809</v>
      </c>
      <c r="T13" s="35">
        <f t="shared" si="9"/>
        <v>4942.913</v>
      </c>
      <c r="U13" s="35">
        <f t="shared" si="9"/>
        <v>5866.088</v>
      </c>
      <c r="V13" s="35">
        <f t="shared" si="9"/>
        <v>6793.291</v>
      </c>
      <c r="W13" s="35">
        <f t="shared" si="9"/>
        <v>6883.182</v>
      </c>
      <c r="X13" s="42">
        <f t="shared" si="9"/>
        <v>7167.915</v>
      </c>
      <c r="Y13" s="35">
        <f t="shared" si="9"/>
        <v>7343.968</v>
      </c>
      <c r="Z13" s="4"/>
      <c r="AA13" s="4"/>
      <c r="AB13" s="4"/>
      <c r="AC13" s="4"/>
    </row>
    <row r="14" ht="18.75" customHeight="1">
      <c r="A14" s="29" t="s">
        <v>18</v>
      </c>
      <c r="B14" s="30"/>
      <c r="C14" s="31"/>
      <c r="D14" s="31">
        <f t="shared" ref="D14:F14" si="10">D13/C13-1</f>
        <v>0.138739344</v>
      </c>
      <c r="E14" s="31">
        <f t="shared" si="10"/>
        <v>0.7763000397</v>
      </c>
      <c r="F14" s="31">
        <f t="shared" si="10"/>
        <v>0.1060965059</v>
      </c>
      <c r="G14" s="31">
        <f t="shared" ref="G14:I14" si="11">(G13/F13-1)</f>
        <v>-0.8560063831</v>
      </c>
      <c r="H14" s="31">
        <f t="shared" si="11"/>
        <v>1.678465948</v>
      </c>
      <c r="I14" s="31">
        <f t="shared" si="11"/>
        <v>0.08788939889</v>
      </c>
      <c r="J14" s="31">
        <f>J13/F13-1</f>
        <v>0.2190345923</v>
      </c>
      <c r="K14" s="31">
        <f t="shared" ref="K14:N14" si="12">K13/J13-1</f>
        <v>-0.4033338922</v>
      </c>
      <c r="L14" s="31">
        <f t="shared" si="12"/>
        <v>-0.4140827474</v>
      </c>
      <c r="M14" s="34">
        <f t="shared" si="12"/>
        <v>-0.1342730764</v>
      </c>
      <c r="N14" s="34">
        <f t="shared" si="12"/>
        <v>0.08190224571</v>
      </c>
      <c r="O14" s="4"/>
      <c r="P14" s="37" t="s">
        <v>35</v>
      </c>
      <c r="Q14" s="52">
        <f t="shared" ref="Q14:Y14" si="13">Q52-Q37-Q10</f>
        <v>3842.525</v>
      </c>
      <c r="R14" s="52">
        <f t="shared" si="13"/>
        <v>3866.94</v>
      </c>
      <c r="S14" s="35">
        <f t="shared" si="13"/>
        <v>4398.537</v>
      </c>
      <c r="T14" s="35">
        <f t="shared" si="13"/>
        <v>4942.913</v>
      </c>
      <c r="U14" s="35">
        <f t="shared" si="13"/>
        <v>5866.081</v>
      </c>
      <c r="V14" s="35">
        <f t="shared" si="13"/>
        <v>6793.29</v>
      </c>
      <c r="W14" s="35">
        <f t="shared" si="13"/>
        <v>6883.183</v>
      </c>
      <c r="X14" s="42">
        <f t="shared" si="13"/>
        <v>7167.842</v>
      </c>
      <c r="Y14" s="35">
        <f t="shared" si="13"/>
        <v>7344</v>
      </c>
      <c r="Z14" s="4"/>
      <c r="AA14" s="4"/>
      <c r="AB14" s="4"/>
      <c r="AC14" s="4"/>
    </row>
    <row r="15" ht="18.75" hidden="1" customHeight="1">
      <c r="A15" s="29" t="s">
        <v>36</v>
      </c>
      <c r="B15" s="30"/>
      <c r="C15" s="31"/>
      <c r="D15" s="31"/>
      <c r="E15" s="31">
        <f>((E13/C13)^(1/2))-1</f>
        <v>0.4222316063</v>
      </c>
      <c r="F15" s="31">
        <f>((F13/C13)^(1/3))-1</f>
        <v>0.3079100913</v>
      </c>
      <c r="G15" s="35"/>
      <c r="H15" s="35"/>
      <c r="I15" s="41"/>
      <c r="J15" s="31">
        <f t="shared" ref="J15:M15" si="14">((J13/D13)^(1/3))-1</f>
        <v>0.337955878</v>
      </c>
      <c r="K15" s="31">
        <f t="shared" si="14"/>
        <v>-0.06993463213</v>
      </c>
      <c r="L15" s="31">
        <f t="shared" si="14"/>
        <v>-0.2474629353</v>
      </c>
      <c r="M15" s="34">
        <f t="shared" si="14"/>
        <v>0.3683812759</v>
      </c>
      <c r="N15" s="53"/>
      <c r="O15" s="4"/>
      <c r="P15" s="26"/>
      <c r="Q15" s="27"/>
      <c r="R15" s="27"/>
      <c r="S15" s="27"/>
      <c r="T15" s="27"/>
      <c r="U15" s="27"/>
      <c r="V15" s="27"/>
      <c r="W15" s="27"/>
      <c r="X15" s="28"/>
      <c r="Y15" s="9"/>
      <c r="Z15" s="4"/>
      <c r="AA15" s="4"/>
      <c r="AB15" s="4"/>
      <c r="AC15" s="4"/>
    </row>
    <row r="16" ht="18.75" customHeight="1">
      <c r="A16" s="37" t="s">
        <v>37</v>
      </c>
      <c r="B16" s="38"/>
      <c r="C16" s="54">
        <f t="shared" ref="C16:N16" si="15">(C13/C4)</f>
        <v>0.1242110336</v>
      </c>
      <c r="D16" s="54">
        <f t="shared" si="15"/>
        <v>0.1279483496</v>
      </c>
      <c r="E16" s="54">
        <f t="shared" si="15"/>
        <v>0.1523925788</v>
      </c>
      <c r="F16" s="54">
        <f t="shared" si="15"/>
        <v>0.1674054754</v>
      </c>
      <c r="G16" s="55">
        <f t="shared" si="15"/>
        <v>0.1617333614</v>
      </c>
      <c r="H16" s="55">
        <f t="shared" si="15"/>
        <v>0.2668855591</v>
      </c>
      <c r="I16" s="55">
        <f t="shared" si="15"/>
        <v>0.2799333928</v>
      </c>
      <c r="J16" s="54">
        <f t="shared" si="15"/>
        <v>0.2187727486</v>
      </c>
      <c r="K16" s="54">
        <f t="shared" si="15"/>
        <v>0.1065012231</v>
      </c>
      <c r="L16" s="54">
        <f t="shared" si="15"/>
        <v>0.06385013484</v>
      </c>
      <c r="M16" s="56">
        <f t="shared" si="15"/>
        <v>0.05611403102</v>
      </c>
      <c r="N16" s="56">
        <f t="shared" si="15"/>
        <v>0.1121957471</v>
      </c>
      <c r="O16" s="4"/>
      <c r="P16" s="26" t="s">
        <v>38</v>
      </c>
      <c r="Q16" s="9">
        <v>1540.328</v>
      </c>
      <c r="R16" s="9">
        <v>1583.113</v>
      </c>
      <c r="S16" s="27">
        <v>1940.57</v>
      </c>
      <c r="T16" s="27">
        <v>1814.433</v>
      </c>
      <c r="U16" s="27">
        <v>1845.86</v>
      </c>
      <c r="V16" s="27">
        <f>20786.38/10</f>
        <v>2078.638</v>
      </c>
      <c r="W16" s="27">
        <v>2091.211</v>
      </c>
      <c r="X16" s="57">
        <v>2070.254</v>
      </c>
      <c r="Y16" s="49">
        <v>2313.5</v>
      </c>
      <c r="Z16" s="4"/>
      <c r="AA16" s="4"/>
      <c r="AB16" s="4"/>
      <c r="AC16" s="4"/>
    </row>
    <row r="17" ht="18.75" customHeight="1">
      <c r="A17" s="26" t="s">
        <v>39</v>
      </c>
      <c r="B17" s="9"/>
      <c r="C17" s="27">
        <v>143.025</v>
      </c>
      <c r="D17" s="27">
        <v>148.232</v>
      </c>
      <c r="E17" s="27">
        <v>177.971</v>
      </c>
      <c r="F17" s="27">
        <v>190.186</v>
      </c>
      <c r="G17" s="27">
        <v>46.204</v>
      </c>
      <c r="H17" s="27">
        <v>46.209</v>
      </c>
      <c r="I17" s="28">
        <v>42.32</v>
      </c>
      <c r="J17" s="27">
        <v>174.59</v>
      </c>
      <c r="K17" s="27">
        <f>1701.22/10</f>
        <v>170.122</v>
      </c>
      <c r="L17" s="27">
        <v>194.28</v>
      </c>
      <c r="M17" s="28">
        <v>197.95</v>
      </c>
      <c r="N17" s="48">
        <v>100.473</v>
      </c>
      <c r="O17" s="4"/>
      <c r="P17" s="26" t="s">
        <v>40</v>
      </c>
      <c r="Q17" s="9">
        <v>150.546</v>
      </c>
      <c r="R17" s="9">
        <v>399.283</v>
      </c>
      <c r="S17" s="27">
        <v>8.031</v>
      </c>
      <c r="T17" s="27">
        <v>17.446</v>
      </c>
      <c r="U17" s="27">
        <v>126.891</v>
      </c>
      <c r="V17" s="27">
        <f>2505.08/10</f>
        <v>250.508</v>
      </c>
      <c r="W17" s="27">
        <v>524.091</v>
      </c>
      <c r="X17" s="28">
        <v>1732.317</v>
      </c>
      <c r="Y17" s="49">
        <v>1915.4</v>
      </c>
      <c r="Z17" s="4"/>
      <c r="AA17" s="4"/>
      <c r="AB17" s="4"/>
      <c r="AC17" s="4"/>
    </row>
    <row r="18" ht="18.75" customHeight="1">
      <c r="A18" s="26" t="s">
        <v>41</v>
      </c>
      <c r="B18" s="9"/>
      <c r="C18" s="27">
        <v>53.417</v>
      </c>
      <c r="D18" s="27">
        <v>73.164</v>
      </c>
      <c r="E18" s="27">
        <v>129.858</v>
      </c>
      <c r="F18" s="27">
        <v>119.246</v>
      </c>
      <c r="G18" s="27">
        <v>7.514</v>
      </c>
      <c r="H18" s="27">
        <v>2.809</v>
      </c>
      <c r="I18" s="28">
        <v>2.181</v>
      </c>
      <c r="J18" s="27">
        <v>23.11</v>
      </c>
      <c r="K18" s="27">
        <f>404.5/10</f>
        <v>40.45</v>
      </c>
      <c r="L18" s="27">
        <v>130.31</v>
      </c>
      <c r="M18" s="28">
        <v>203.68</v>
      </c>
      <c r="N18" s="48">
        <v>103.961</v>
      </c>
      <c r="O18" s="4"/>
      <c r="P18" s="26" t="s">
        <v>42</v>
      </c>
      <c r="Q18" s="9">
        <v>123.524</v>
      </c>
      <c r="R18" s="9">
        <v>90.294</v>
      </c>
      <c r="S18" s="27">
        <v>57.725</v>
      </c>
      <c r="T18" s="27">
        <v>24.015</v>
      </c>
      <c r="U18" s="27">
        <v>2.357</v>
      </c>
      <c r="V18" s="27">
        <f>242.72/10</f>
        <v>24.272</v>
      </c>
      <c r="W18" s="27">
        <f>45.48+2.36</f>
        <v>47.84</v>
      </c>
      <c r="X18" s="28">
        <v>49.501</v>
      </c>
      <c r="Y18" s="49">
        <v>61.0</v>
      </c>
      <c r="Z18" s="4"/>
      <c r="AA18" s="4"/>
      <c r="AB18" s="4"/>
      <c r="AC18" s="4"/>
    </row>
    <row r="19" ht="18.75" customHeight="1">
      <c r="A19" s="26" t="s">
        <v>43</v>
      </c>
      <c r="B19" s="9"/>
      <c r="C19" s="27"/>
      <c r="D19" s="27">
        <v>0.0</v>
      </c>
      <c r="E19" s="27">
        <v>-23.223</v>
      </c>
      <c r="F19" s="27">
        <v>0.0</v>
      </c>
      <c r="G19" s="27">
        <v>0.0</v>
      </c>
      <c r="H19" s="27"/>
      <c r="I19" s="28"/>
      <c r="J19" s="27">
        <v>0.0</v>
      </c>
      <c r="K19" s="27">
        <v>0.0</v>
      </c>
      <c r="L19" s="27">
        <v>0.0</v>
      </c>
      <c r="M19" s="28">
        <v>0.0</v>
      </c>
      <c r="N19" s="28">
        <v>0.0</v>
      </c>
      <c r="O19" s="4"/>
      <c r="P19" s="26" t="s">
        <v>44</v>
      </c>
      <c r="Q19" s="9"/>
      <c r="R19" s="9"/>
      <c r="S19" s="27"/>
      <c r="T19" s="27">
        <v>73.625</v>
      </c>
      <c r="U19" s="27">
        <v>66.783</v>
      </c>
      <c r="V19" s="27">
        <f>1017.92/10</f>
        <v>101.792</v>
      </c>
      <c r="W19" s="27">
        <v>140.642</v>
      </c>
      <c r="X19" s="28">
        <v>133.186</v>
      </c>
      <c r="Y19" s="49">
        <v>129.4</v>
      </c>
      <c r="Z19" s="58"/>
      <c r="AA19" s="4"/>
      <c r="AB19" s="4"/>
      <c r="AC19" s="4"/>
    </row>
    <row r="20" ht="18.75" customHeight="1">
      <c r="A20" s="26" t="s">
        <v>45</v>
      </c>
      <c r="B20" s="9"/>
      <c r="C20" s="27">
        <v>69.771</v>
      </c>
      <c r="D20" s="27">
        <v>3.587</v>
      </c>
      <c r="E20" s="27">
        <v>12.793</v>
      </c>
      <c r="F20" s="27">
        <v>66.311</v>
      </c>
      <c r="G20" s="27">
        <v>4.463</v>
      </c>
      <c r="H20" s="27">
        <v>4.761</v>
      </c>
      <c r="I20" s="28">
        <v>6.737</v>
      </c>
      <c r="J20" s="27">
        <v>16.54</v>
      </c>
      <c r="K20" s="27">
        <f>440.85/10</f>
        <v>44.085</v>
      </c>
      <c r="L20" s="27">
        <v>57.281</v>
      </c>
      <c r="M20" s="28">
        <v>72.81</v>
      </c>
      <c r="N20" s="48">
        <v>37.965</v>
      </c>
      <c r="O20" s="4"/>
      <c r="P20" s="26" t="s">
        <v>46</v>
      </c>
      <c r="Q20" s="9">
        <v>449.772</v>
      </c>
      <c r="R20" s="9">
        <v>449.772</v>
      </c>
      <c r="S20" s="27">
        <v>449.772</v>
      </c>
      <c r="T20" s="27">
        <v>449.772</v>
      </c>
      <c r="U20" s="27">
        <v>449.772</v>
      </c>
      <c r="V20" s="27">
        <v>449.772</v>
      </c>
      <c r="W20" s="27">
        <v>449.772</v>
      </c>
      <c r="X20" s="28">
        <v>449.772</v>
      </c>
      <c r="Y20" s="49">
        <v>449.8</v>
      </c>
      <c r="Z20" s="4"/>
      <c r="AA20" s="4"/>
      <c r="AB20" s="4"/>
      <c r="AC20" s="4"/>
    </row>
    <row r="21" ht="18.75" customHeight="1">
      <c r="A21" s="37" t="s">
        <v>47</v>
      </c>
      <c r="B21" s="38"/>
      <c r="C21" s="35">
        <f t="shared" ref="C21:G21" si="16">(C13-C17-C18+C19+C20)</f>
        <v>441.906</v>
      </c>
      <c r="D21" s="35">
        <f t="shared" si="16"/>
        <v>429.652</v>
      </c>
      <c r="E21" s="35">
        <f t="shared" si="16"/>
        <v>831.826</v>
      </c>
      <c r="F21" s="35">
        <f t="shared" si="16"/>
        <v>1028.984</v>
      </c>
      <c r="G21" s="35">
        <f t="shared" si="16"/>
        <v>133.92</v>
      </c>
      <c r="H21" s="39">
        <f t="shared" ref="H21:N21" si="17">H13-H17-H18+H19+H20</f>
        <v>446.371</v>
      </c>
      <c r="I21" s="39">
        <f t="shared" si="17"/>
        <v>495.985</v>
      </c>
      <c r="J21" s="35">
        <f t="shared" si="17"/>
        <v>1369.58</v>
      </c>
      <c r="K21" s="35">
        <f t="shared" si="17"/>
        <v>758.787</v>
      </c>
      <c r="L21" s="35">
        <f t="shared" si="17"/>
        <v>274.825</v>
      </c>
      <c r="M21" s="41">
        <f t="shared" si="17"/>
        <v>140.52</v>
      </c>
      <c r="N21" s="41">
        <f t="shared" si="17"/>
        <v>341.311</v>
      </c>
      <c r="O21" s="59"/>
      <c r="P21" s="26" t="s">
        <v>48</v>
      </c>
      <c r="Q21" s="9">
        <v>0.0</v>
      </c>
      <c r="R21" s="9">
        <v>0.082</v>
      </c>
      <c r="S21" s="27">
        <v>0.0</v>
      </c>
      <c r="T21" s="27">
        <v>0.0</v>
      </c>
      <c r="U21" s="27">
        <v>0.0</v>
      </c>
      <c r="V21" s="27">
        <v>0.0</v>
      </c>
      <c r="W21" s="27">
        <v>0.0</v>
      </c>
      <c r="X21" s="28">
        <v>0.0</v>
      </c>
      <c r="Y21" s="27">
        <v>0.0</v>
      </c>
      <c r="Z21" s="4"/>
      <c r="AA21" s="4"/>
      <c r="AB21" s="4"/>
      <c r="AC21" s="4"/>
    </row>
    <row r="22" ht="18.75" customHeight="1">
      <c r="A22" s="26" t="s">
        <v>49</v>
      </c>
      <c r="B22" s="9"/>
      <c r="C22" s="27">
        <v>163.047</v>
      </c>
      <c r="D22" s="27">
        <f>154.824+25.011</f>
        <v>179.835</v>
      </c>
      <c r="E22" s="27">
        <f>232.76+96.811-69.309</f>
        <v>260.262</v>
      </c>
      <c r="F22" s="27">
        <v>167.095</v>
      </c>
      <c r="G22" s="27">
        <v>34.639</v>
      </c>
      <c r="H22" s="27">
        <v>113.906</v>
      </c>
      <c r="I22" s="28">
        <v>132.514</v>
      </c>
      <c r="J22" s="27">
        <v>350.21</v>
      </c>
      <c r="K22" s="27">
        <f>2257.64/10</f>
        <v>225.764</v>
      </c>
      <c r="L22" s="27">
        <v>77.396</v>
      </c>
      <c r="M22" s="28">
        <v>49.51</v>
      </c>
      <c r="N22" s="48">
        <v>83.129</v>
      </c>
      <c r="O22" s="4"/>
      <c r="P22" s="26" t="s">
        <v>50</v>
      </c>
      <c r="Q22" s="9"/>
      <c r="R22" s="9"/>
      <c r="S22" s="27">
        <v>0.0</v>
      </c>
      <c r="T22" s="27">
        <v>0.0</v>
      </c>
      <c r="U22" s="27">
        <v>0.0</v>
      </c>
      <c r="V22" s="27">
        <v>0.0</v>
      </c>
      <c r="W22" s="27">
        <v>0.0</v>
      </c>
      <c r="X22" s="28">
        <v>0.0</v>
      </c>
      <c r="Y22" s="27">
        <v>0.0</v>
      </c>
      <c r="Z22" s="4"/>
      <c r="AA22" s="4"/>
      <c r="AB22" s="4"/>
      <c r="AC22" s="4"/>
    </row>
    <row r="23" ht="18.75" customHeight="1">
      <c r="A23" s="29" t="s">
        <v>51</v>
      </c>
      <c r="B23" s="30"/>
      <c r="C23" s="31">
        <f t="shared" ref="C23:N23" si="18">(C22/C21)</f>
        <v>0.3689630826</v>
      </c>
      <c r="D23" s="31">
        <f t="shared" si="18"/>
        <v>0.4185596715</v>
      </c>
      <c r="E23" s="31">
        <f t="shared" si="18"/>
        <v>0.312880338</v>
      </c>
      <c r="F23" s="31">
        <f t="shared" si="18"/>
        <v>0.1623883365</v>
      </c>
      <c r="G23" s="31">
        <f t="shared" si="18"/>
        <v>0.2586544205</v>
      </c>
      <c r="H23" s="31">
        <f t="shared" si="18"/>
        <v>0.2551823483</v>
      </c>
      <c r="I23" s="31">
        <f t="shared" si="18"/>
        <v>0.2671734024</v>
      </c>
      <c r="J23" s="31">
        <f t="shared" si="18"/>
        <v>0.2557061289</v>
      </c>
      <c r="K23" s="31">
        <f t="shared" si="18"/>
        <v>0.2975327727</v>
      </c>
      <c r="L23" s="31">
        <f t="shared" si="18"/>
        <v>0.2816192122</v>
      </c>
      <c r="M23" s="34">
        <f t="shared" si="18"/>
        <v>0.3523341873</v>
      </c>
      <c r="N23" s="34">
        <f t="shared" si="18"/>
        <v>0.2435579281</v>
      </c>
      <c r="O23" s="4"/>
      <c r="P23" s="26" t="s">
        <v>52</v>
      </c>
      <c r="Q23" s="9"/>
      <c r="R23" s="9">
        <v>0.0</v>
      </c>
      <c r="S23" s="27">
        <v>0.0</v>
      </c>
      <c r="T23" s="27">
        <v>0.0</v>
      </c>
      <c r="U23" s="27">
        <v>0.0</v>
      </c>
      <c r="V23" s="27">
        <v>0.0</v>
      </c>
      <c r="W23" s="27">
        <v>0.0</v>
      </c>
      <c r="X23" s="28">
        <v>0.0</v>
      </c>
      <c r="Y23" s="27">
        <v>0.0</v>
      </c>
      <c r="Z23" s="4"/>
      <c r="AA23" s="4"/>
      <c r="AB23" s="4"/>
      <c r="AC23" s="4"/>
    </row>
    <row r="24" ht="18.75" customHeight="1">
      <c r="A24" s="37" t="s">
        <v>53</v>
      </c>
      <c r="B24" s="38"/>
      <c r="C24" s="35">
        <f t="shared" ref="C24:N24" si="19">(C21-C22)</f>
        <v>278.859</v>
      </c>
      <c r="D24" s="35">
        <f t="shared" si="19"/>
        <v>249.817</v>
      </c>
      <c r="E24" s="35">
        <f t="shared" si="19"/>
        <v>571.564</v>
      </c>
      <c r="F24" s="35">
        <f t="shared" si="19"/>
        <v>861.889</v>
      </c>
      <c r="G24" s="35">
        <f t="shared" si="19"/>
        <v>99.281</v>
      </c>
      <c r="H24" s="35">
        <f t="shared" si="19"/>
        <v>332.465</v>
      </c>
      <c r="I24" s="35">
        <f t="shared" si="19"/>
        <v>363.471</v>
      </c>
      <c r="J24" s="35">
        <f t="shared" si="19"/>
        <v>1019.37</v>
      </c>
      <c r="K24" s="35">
        <f t="shared" si="19"/>
        <v>533.023</v>
      </c>
      <c r="L24" s="35">
        <f t="shared" si="19"/>
        <v>197.429</v>
      </c>
      <c r="M24" s="41">
        <f t="shared" si="19"/>
        <v>91.01</v>
      </c>
      <c r="N24" s="41">
        <f t="shared" si="19"/>
        <v>258.182</v>
      </c>
      <c r="O24" s="4"/>
      <c r="P24" s="26" t="s">
        <v>54</v>
      </c>
      <c r="Q24" s="9"/>
      <c r="R24" s="9">
        <v>0.0</v>
      </c>
      <c r="S24" s="27">
        <v>0.0</v>
      </c>
      <c r="T24" s="27">
        <v>0.0</v>
      </c>
      <c r="U24" s="27">
        <v>0.0</v>
      </c>
      <c r="V24" s="27">
        <v>0.0</v>
      </c>
      <c r="W24" s="27">
        <v>0.0</v>
      </c>
      <c r="X24" s="28">
        <v>0.0</v>
      </c>
      <c r="Y24" s="27">
        <v>0.0</v>
      </c>
      <c r="Z24" s="4"/>
      <c r="AA24" s="4"/>
      <c r="AB24" s="4"/>
      <c r="AC24" s="4"/>
    </row>
    <row r="25" ht="18.75" customHeight="1">
      <c r="A25" s="37" t="s">
        <v>55</v>
      </c>
      <c r="B25" s="38"/>
      <c r="C25" s="54">
        <f t="shared" ref="C25:N25" si="20">C24/C4</f>
        <v>0.06091939107</v>
      </c>
      <c r="D25" s="54">
        <f t="shared" si="20"/>
        <v>0.04936771923</v>
      </c>
      <c r="E25" s="54">
        <f t="shared" si="20"/>
        <v>0.07573536904</v>
      </c>
      <c r="F25" s="54">
        <f t="shared" si="20"/>
        <v>0.1134221922</v>
      </c>
      <c r="G25" s="54">
        <f t="shared" si="20"/>
        <v>0.08765961429</v>
      </c>
      <c r="H25" s="54">
        <f t="shared" si="20"/>
        <v>0.1808500685</v>
      </c>
      <c r="I25" s="54">
        <f t="shared" si="20"/>
        <v>0.1906283107</v>
      </c>
      <c r="J25" s="54">
        <f t="shared" si="20"/>
        <v>0.1438090052</v>
      </c>
      <c r="K25" s="54">
        <f t="shared" si="20"/>
        <v>0.06135220644</v>
      </c>
      <c r="L25" s="54">
        <f t="shared" si="20"/>
        <v>0.02325231082</v>
      </c>
      <c r="M25" s="56">
        <f t="shared" si="20"/>
        <v>0.0108811053</v>
      </c>
      <c r="N25" s="56">
        <f t="shared" si="20"/>
        <v>0.05704620579</v>
      </c>
      <c r="O25" s="4"/>
      <c r="P25" s="26" t="s">
        <v>56</v>
      </c>
      <c r="Q25" s="9">
        <v>30.628</v>
      </c>
      <c r="R25" s="9">
        <v>36.847</v>
      </c>
      <c r="S25" s="27">
        <v>36.826</v>
      </c>
      <c r="T25" s="27">
        <v>37.339</v>
      </c>
      <c r="U25" s="27">
        <v>39.896</v>
      </c>
      <c r="V25" s="27">
        <f>410.37/10</f>
        <v>41.037</v>
      </c>
      <c r="W25" s="27">
        <v>68.191</v>
      </c>
      <c r="X25" s="60">
        <v>75.3</v>
      </c>
      <c r="Y25" s="49">
        <v>76.2</v>
      </c>
      <c r="Z25" s="4"/>
      <c r="AA25" s="4"/>
      <c r="AB25" s="4"/>
      <c r="AC25" s="4"/>
    </row>
    <row r="26" ht="18.75" customHeight="1">
      <c r="A26" s="26" t="s">
        <v>57</v>
      </c>
      <c r="B26" s="9"/>
      <c r="C26" s="61">
        <v>0.0</v>
      </c>
      <c r="D26" s="61">
        <v>0.0</v>
      </c>
      <c r="E26" s="61">
        <v>0.0</v>
      </c>
      <c r="F26" s="61">
        <v>0.0</v>
      </c>
      <c r="G26" s="61"/>
      <c r="H26" s="61"/>
      <c r="I26" s="62"/>
      <c r="J26" s="61">
        <v>0.0</v>
      </c>
      <c r="K26" s="61">
        <v>0.0</v>
      </c>
      <c r="L26" s="61">
        <v>0.0</v>
      </c>
      <c r="M26" s="62">
        <v>0.0</v>
      </c>
      <c r="N26" s="62">
        <v>0.0</v>
      </c>
      <c r="O26" s="4"/>
      <c r="P26" s="26" t="s">
        <v>58</v>
      </c>
      <c r="Q26" s="9">
        <v>36.549</v>
      </c>
      <c r="R26" s="9">
        <v>0.0</v>
      </c>
      <c r="S26" s="27">
        <v>30.474</v>
      </c>
      <c r="T26" s="27">
        <v>31.874</v>
      </c>
      <c r="U26" s="27">
        <v>74.353</v>
      </c>
      <c r="V26" s="27">
        <f>768.78/10</f>
        <v>76.878</v>
      </c>
      <c r="W26" s="27">
        <v>102.544</v>
      </c>
      <c r="X26" s="28">
        <v>88.962</v>
      </c>
      <c r="Y26" s="49">
        <v>85.2</v>
      </c>
      <c r="Z26" s="4"/>
      <c r="AA26" s="4"/>
      <c r="AB26" s="4"/>
      <c r="AC26" s="4"/>
    </row>
    <row r="27" ht="18.75" customHeight="1">
      <c r="A27" s="26" t="s">
        <v>59</v>
      </c>
      <c r="B27" s="9"/>
      <c r="C27" s="61">
        <v>0.0</v>
      </c>
      <c r="D27" s="61">
        <v>0.0</v>
      </c>
      <c r="E27" s="61">
        <v>0.0</v>
      </c>
      <c r="F27" s="61">
        <v>0.0</v>
      </c>
      <c r="G27" s="61"/>
      <c r="H27" s="61"/>
      <c r="I27" s="62"/>
      <c r="J27" s="61">
        <v>0.0</v>
      </c>
      <c r="K27" s="61">
        <v>0.0</v>
      </c>
      <c r="L27" s="61">
        <v>0.0</v>
      </c>
      <c r="M27" s="62">
        <v>0.0</v>
      </c>
      <c r="N27" s="62">
        <v>0.0</v>
      </c>
      <c r="O27" s="4"/>
      <c r="P27" s="26" t="s">
        <v>60</v>
      </c>
      <c r="Q27" s="9">
        <v>26.267</v>
      </c>
      <c r="R27" s="9">
        <v>1.054</v>
      </c>
      <c r="S27" s="27">
        <v>3.586</v>
      </c>
      <c r="T27" s="27">
        <v>6.351</v>
      </c>
      <c r="U27" s="27">
        <v>68.409</v>
      </c>
      <c r="V27" s="27">
        <f>746.52/10</f>
        <v>74.652</v>
      </c>
      <c r="W27" s="27">
        <v>44.027</v>
      </c>
      <c r="X27" s="28">
        <v>67.123</v>
      </c>
      <c r="Y27" s="49">
        <v>31.6</v>
      </c>
      <c r="Z27" s="4"/>
      <c r="AA27" s="4"/>
      <c r="AB27" s="4"/>
      <c r="AC27" s="4"/>
    </row>
    <row r="28" ht="18.75" customHeight="1">
      <c r="A28" s="26" t="s">
        <v>61</v>
      </c>
      <c r="B28" s="9"/>
      <c r="C28" s="61">
        <v>-8.655</v>
      </c>
      <c r="D28" s="61">
        <v>5.261</v>
      </c>
      <c r="E28" s="61">
        <f>2.496-7.144</f>
        <v>-4.648</v>
      </c>
      <c r="F28" s="61">
        <v>-7.414</v>
      </c>
      <c r="G28" s="61">
        <f t="shared" ref="G28:H28" si="21">-2.477+0.623</f>
        <v>-1.854</v>
      </c>
      <c r="H28" s="61">
        <f t="shared" si="21"/>
        <v>-1.854</v>
      </c>
      <c r="I28" s="62">
        <v>-4.954</v>
      </c>
      <c r="J28" s="61">
        <v>-3.56</v>
      </c>
      <c r="K28" s="61">
        <f>-32.67/10</f>
        <v>-3.267</v>
      </c>
      <c r="L28" s="61">
        <v>-0.611</v>
      </c>
      <c r="M28" s="62">
        <v>-0.584</v>
      </c>
      <c r="N28" s="63">
        <v>-0.761</v>
      </c>
      <c r="O28" s="4"/>
      <c r="P28" s="26" t="s">
        <v>62</v>
      </c>
      <c r="Q28" s="9"/>
      <c r="R28" s="9">
        <v>0.175</v>
      </c>
      <c r="S28" s="27">
        <v>0.8</v>
      </c>
      <c r="T28" s="27">
        <v>0.8</v>
      </c>
      <c r="U28" s="27">
        <v>0.8</v>
      </c>
      <c r="V28" s="27">
        <v>0.0</v>
      </c>
      <c r="W28" s="27">
        <v>0.0</v>
      </c>
      <c r="X28" s="64">
        <v>0.0</v>
      </c>
      <c r="Y28" s="65">
        <v>0.0</v>
      </c>
      <c r="Z28" s="4"/>
      <c r="AA28" s="4"/>
      <c r="AB28" s="4"/>
      <c r="AC28" s="4"/>
    </row>
    <row r="29" ht="18.75" customHeight="1">
      <c r="A29" s="37" t="s">
        <v>63</v>
      </c>
      <c r="B29" s="38"/>
      <c r="C29" s="66">
        <f t="shared" ref="C29:N29" si="22">(C24-C26+C28+C27)</f>
        <v>270.204</v>
      </c>
      <c r="D29" s="66">
        <f t="shared" si="22"/>
        <v>255.078</v>
      </c>
      <c r="E29" s="66">
        <f t="shared" si="22"/>
        <v>566.916</v>
      </c>
      <c r="F29" s="66">
        <f t="shared" si="22"/>
        <v>854.475</v>
      </c>
      <c r="G29" s="66">
        <f t="shared" si="22"/>
        <v>97.427</v>
      </c>
      <c r="H29" s="66">
        <f t="shared" si="22"/>
        <v>330.611</v>
      </c>
      <c r="I29" s="66">
        <f t="shared" si="22"/>
        <v>358.517</v>
      </c>
      <c r="J29" s="66">
        <f t="shared" si="22"/>
        <v>1015.81</v>
      </c>
      <c r="K29" s="66">
        <f t="shared" si="22"/>
        <v>529.756</v>
      </c>
      <c r="L29" s="66">
        <f t="shared" si="22"/>
        <v>196.818</v>
      </c>
      <c r="M29" s="67">
        <f t="shared" si="22"/>
        <v>90.426</v>
      </c>
      <c r="N29" s="67">
        <f t="shared" si="22"/>
        <v>257.421</v>
      </c>
      <c r="O29" s="4"/>
      <c r="P29" s="37" t="s">
        <v>64</v>
      </c>
      <c r="Q29" s="38">
        <f t="shared" ref="Q29:Y29" si="23">SUM(Q30:Q36)</f>
        <v>2543.118</v>
      </c>
      <c r="R29" s="38">
        <f t="shared" si="23"/>
        <v>3168.361</v>
      </c>
      <c r="S29" s="35">
        <f t="shared" si="23"/>
        <v>4204.381</v>
      </c>
      <c r="T29" s="35">
        <f t="shared" si="23"/>
        <v>3627.366</v>
      </c>
      <c r="U29" s="35">
        <f t="shared" si="23"/>
        <v>4774.84</v>
      </c>
      <c r="V29" s="35">
        <f t="shared" si="23"/>
        <v>5551.231</v>
      </c>
      <c r="W29" s="35">
        <f t="shared" si="23"/>
        <v>6396.304</v>
      </c>
      <c r="X29" s="42">
        <f t="shared" si="23"/>
        <v>5283.056</v>
      </c>
      <c r="Y29" s="35">
        <f t="shared" si="23"/>
        <v>5628.2</v>
      </c>
      <c r="Z29" s="4"/>
      <c r="AA29" s="4"/>
      <c r="AB29" s="4"/>
      <c r="AC29" s="4"/>
    </row>
    <row r="30" ht="18.75" customHeight="1">
      <c r="A30" s="29" t="s">
        <v>18</v>
      </c>
      <c r="B30" s="30"/>
      <c r="C30" s="31"/>
      <c r="D30" s="31">
        <f t="shared" ref="D30:I30" si="24">(D29/C29-1)</f>
        <v>-0.05597992628</v>
      </c>
      <c r="E30" s="31">
        <f t="shared" si="24"/>
        <v>1.22252017</v>
      </c>
      <c r="F30" s="31">
        <f t="shared" si="24"/>
        <v>0.5072338759</v>
      </c>
      <c r="G30" s="31">
        <f t="shared" si="24"/>
        <v>-0.8859802803</v>
      </c>
      <c r="H30" s="31">
        <f t="shared" si="24"/>
        <v>2.393422768</v>
      </c>
      <c r="I30" s="31">
        <f t="shared" si="24"/>
        <v>0.08440735487</v>
      </c>
      <c r="J30" s="31">
        <f>(J29/F29-1)</f>
        <v>0.1888118435</v>
      </c>
      <c r="K30" s="31">
        <f t="shared" ref="K30:M30" si="25">K29/J29-1</f>
        <v>-0.4784890875</v>
      </c>
      <c r="L30" s="31">
        <f t="shared" si="25"/>
        <v>-0.628474241</v>
      </c>
      <c r="M30" s="34">
        <f t="shared" si="25"/>
        <v>-0.5405603146</v>
      </c>
      <c r="N30" s="34"/>
      <c r="O30" s="4"/>
      <c r="P30" s="26" t="s">
        <v>65</v>
      </c>
      <c r="Q30" s="9">
        <v>1144.473</v>
      </c>
      <c r="R30" s="9">
        <v>1328.321</v>
      </c>
      <c r="S30" s="27">
        <v>2029.007</v>
      </c>
      <c r="T30" s="27">
        <v>1623.442</v>
      </c>
      <c r="U30" s="27">
        <v>2275.87</v>
      </c>
      <c r="V30" s="27">
        <f>28693.23/10</f>
        <v>2869.323</v>
      </c>
      <c r="W30" s="27">
        <v>3677.337</v>
      </c>
      <c r="X30" s="28">
        <v>2771.694</v>
      </c>
      <c r="Y30" s="49">
        <v>3022.0</v>
      </c>
      <c r="Z30" s="4"/>
      <c r="AA30" s="4"/>
      <c r="AB30" s="4"/>
      <c r="AC30" s="4"/>
    </row>
    <row r="31" ht="18.75" customHeight="1">
      <c r="A31" s="29" t="s">
        <v>20</v>
      </c>
      <c r="B31" s="30"/>
      <c r="C31" s="31"/>
      <c r="D31" s="31"/>
      <c r="E31" s="31">
        <f>+((E29/C29)^(1/2)-1)</f>
        <v>0.4484832257</v>
      </c>
      <c r="F31" s="31">
        <f>+((F29/C29)^(1/3)-1)</f>
        <v>0.4678078149</v>
      </c>
      <c r="G31" s="31"/>
      <c r="H31" s="31"/>
      <c r="I31" s="34"/>
      <c r="J31" s="31">
        <f t="shared" ref="J31:L31" si="26">+((J29/D29)^(1/3)-1)</f>
        <v>0.5850628729</v>
      </c>
      <c r="K31" s="31">
        <f t="shared" si="26"/>
        <v>-0.02234478025</v>
      </c>
      <c r="L31" s="31">
        <f t="shared" si="26"/>
        <v>-0.3870075138</v>
      </c>
      <c r="M31" s="34">
        <f>+((M29/J29)^(1/3)-1)</f>
        <v>-0.5534943637</v>
      </c>
      <c r="N31" s="34"/>
      <c r="O31" s="4"/>
      <c r="P31" s="26" t="s">
        <v>50</v>
      </c>
      <c r="Q31" s="9"/>
      <c r="R31" s="9"/>
      <c r="S31" s="27"/>
      <c r="T31" s="27"/>
      <c r="U31" s="27"/>
      <c r="V31" s="27"/>
      <c r="W31" s="27"/>
      <c r="X31" s="28"/>
      <c r="Y31" s="9"/>
      <c r="Z31" s="4"/>
      <c r="AA31" s="4"/>
      <c r="AB31" s="4"/>
      <c r="AC31" s="4"/>
    </row>
    <row r="32" ht="18.75" customHeight="1">
      <c r="A32" s="19" t="s">
        <v>66</v>
      </c>
      <c r="B32" s="20"/>
      <c r="C32" s="68">
        <v>33.14</v>
      </c>
      <c r="D32" s="68">
        <v>7.42</v>
      </c>
      <c r="E32" s="68">
        <v>16.98</v>
      </c>
      <c r="F32" s="68">
        <v>25.61</v>
      </c>
      <c r="G32" s="68">
        <v>2.95</v>
      </c>
      <c r="H32" s="68">
        <v>9.88</v>
      </c>
      <c r="I32" s="69">
        <v>10.8</v>
      </c>
      <c r="J32" s="68">
        <v>30.29</v>
      </c>
      <c r="K32" s="68">
        <v>15.84</v>
      </c>
      <c r="L32" s="68">
        <v>5.87</v>
      </c>
      <c r="M32" s="69">
        <v>2.71</v>
      </c>
      <c r="N32" s="70">
        <v>7.66</v>
      </c>
      <c r="O32" s="4"/>
      <c r="P32" s="26" t="s">
        <v>67</v>
      </c>
      <c r="Q32" s="9">
        <v>1001.221</v>
      </c>
      <c r="R32" s="9">
        <v>1344.24</v>
      </c>
      <c r="S32" s="27">
        <v>1599.977</v>
      </c>
      <c r="T32" s="27">
        <v>1514.368</v>
      </c>
      <c r="U32" s="27">
        <v>1885.466</v>
      </c>
      <c r="V32" s="27">
        <f>19479.34/10</f>
        <v>1947.934</v>
      </c>
      <c r="W32" s="27">
        <v>1900.375</v>
      </c>
      <c r="X32" s="28">
        <v>1805.303</v>
      </c>
      <c r="Y32" s="49">
        <v>1890.0</v>
      </c>
      <c r="Z32" s="4"/>
      <c r="AA32" s="4"/>
      <c r="AB32" s="4"/>
      <c r="AC32" s="4"/>
    </row>
    <row r="33" ht="18.75" customHeight="1">
      <c r="A33" s="71" t="s">
        <v>18</v>
      </c>
      <c r="B33" s="72"/>
      <c r="C33" s="73"/>
      <c r="D33" s="73">
        <f t="shared" ref="D33:F33" si="27">(D32/C32-1)</f>
        <v>-0.7761013881</v>
      </c>
      <c r="E33" s="73">
        <f t="shared" si="27"/>
        <v>1.288409704</v>
      </c>
      <c r="F33" s="73">
        <f t="shared" si="27"/>
        <v>0.5082449941</v>
      </c>
      <c r="G33" s="73"/>
      <c r="H33" s="73">
        <f t="shared" ref="H33:I33" si="28">(H32/G32-1)</f>
        <v>2.349152542</v>
      </c>
      <c r="I33" s="73">
        <f t="shared" si="28"/>
        <v>0.09311740891</v>
      </c>
      <c r="J33" s="73">
        <f>(J32/F32-1)</f>
        <v>0.1827411168</v>
      </c>
      <c r="K33" s="73">
        <f t="shared" ref="K33:M33" si="29">K32/J32-1</f>
        <v>-0.4770551337</v>
      </c>
      <c r="L33" s="73">
        <f t="shared" si="29"/>
        <v>-0.6294191919</v>
      </c>
      <c r="M33" s="74">
        <f t="shared" si="29"/>
        <v>-0.538330494</v>
      </c>
      <c r="N33" s="74"/>
      <c r="O33" s="4"/>
      <c r="P33" s="26" t="s">
        <v>68</v>
      </c>
      <c r="Q33" s="9">
        <v>43.621</v>
      </c>
      <c r="R33" s="9">
        <f>45.697</f>
        <v>45.697</v>
      </c>
      <c r="S33" s="27">
        <v>50.461</v>
      </c>
      <c r="T33" s="27">
        <v>172.986</v>
      </c>
      <c r="U33" s="27">
        <v>153.868</v>
      </c>
      <c r="V33" s="27">
        <f>661.24/10</f>
        <v>66.124</v>
      </c>
      <c r="W33" s="27">
        <v>159.944</v>
      </c>
      <c r="X33" s="28">
        <v>106.315</v>
      </c>
      <c r="Y33" s="49">
        <v>175.3</v>
      </c>
      <c r="Z33" s="4"/>
      <c r="AA33" s="4"/>
      <c r="AB33" s="4"/>
      <c r="AC33" s="4"/>
    </row>
    <row r="34" ht="18.75" customHeight="1">
      <c r="A34" s="75"/>
      <c r="B34" s="76"/>
      <c r="C34" s="77"/>
      <c r="D34" s="78"/>
      <c r="E34" s="79"/>
      <c r="F34" s="79"/>
      <c r="G34" s="80"/>
      <c r="H34" s="80"/>
      <c r="I34" s="81"/>
      <c r="J34" s="79"/>
      <c r="K34" s="79"/>
      <c r="L34" s="79"/>
      <c r="M34" s="82"/>
      <c r="N34" s="83"/>
      <c r="O34" s="4"/>
      <c r="P34" s="26" t="s">
        <v>69</v>
      </c>
      <c r="Q34" s="9">
        <v>12.136</v>
      </c>
      <c r="R34" s="9">
        <v>12.698</v>
      </c>
      <c r="S34" s="27">
        <v>12.566</v>
      </c>
      <c r="T34" s="27">
        <v>38.124</v>
      </c>
      <c r="U34" s="27">
        <v>47.243</v>
      </c>
      <c r="V34" s="27">
        <f>280.52/10</f>
        <v>28.052</v>
      </c>
      <c r="W34" s="27">
        <v>13.864</v>
      </c>
      <c r="X34" s="60">
        <v>14.4</v>
      </c>
      <c r="Y34" s="49">
        <v>15.1</v>
      </c>
      <c r="Z34" s="4"/>
      <c r="AA34" s="4"/>
      <c r="AB34" s="4"/>
      <c r="AC34" s="4"/>
    </row>
    <row r="35" ht="18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84"/>
      <c r="L35" s="4"/>
      <c r="M35" s="4"/>
      <c r="O35" s="4"/>
      <c r="P35" s="26" t="s">
        <v>70</v>
      </c>
      <c r="Q35" s="9">
        <v>5.143</v>
      </c>
      <c r="R35" s="9">
        <v>9.147</v>
      </c>
      <c r="S35" s="27">
        <v>7.878</v>
      </c>
      <c r="T35" s="27">
        <v>8.396</v>
      </c>
      <c r="U35" s="27">
        <v>10.407</v>
      </c>
      <c r="V35" s="27">
        <f>125/10</f>
        <v>12.5</v>
      </c>
      <c r="W35" s="27">
        <v>7.312</v>
      </c>
      <c r="X35" s="28">
        <v>10.646</v>
      </c>
      <c r="Y35" s="49">
        <v>11.2</v>
      </c>
      <c r="Z35" s="4"/>
      <c r="AA35" s="4"/>
      <c r="AB35" s="4"/>
      <c r="AC35" s="4"/>
    </row>
    <row r="36" ht="18.75" customHeight="1">
      <c r="A36" s="85" t="s">
        <v>71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7"/>
      <c r="O36" s="4"/>
      <c r="P36" s="26" t="s">
        <v>72</v>
      </c>
      <c r="Q36" s="9">
        <v>336.524</v>
      </c>
      <c r="R36" s="9">
        <v>428.258</v>
      </c>
      <c r="S36" s="27">
        <v>504.492</v>
      </c>
      <c r="T36" s="27">
        <v>270.05</v>
      </c>
      <c r="U36" s="27">
        <v>401.986</v>
      </c>
      <c r="V36" s="27">
        <f>6272.98/10</f>
        <v>627.298</v>
      </c>
      <c r="W36" s="27">
        <v>637.472</v>
      </c>
      <c r="X36" s="28">
        <v>574.698</v>
      </c>
      <c r="Y36" s="49">
        <v>514.6</v>
      </c>
      <c r="Z36" s="4"/>
      <c r="AA36" s="4"/>
      <c r="AB36" s="4"/>
      <c r="AC36" s="4"/>
    </row>
    <row r="37" ht="18.75" customHeight="1">
      <c r="A37" s="88" t="s">
        <v>3</v>
      </c>
      <c r="B37" s="89"/>
      <c r="C37" s="90" t="s">
        <v>4</v>
      </c>
      <c r="D37" s="90" t="s">
        <v>5</v>
      </c>
      <c r="E37" s="90" t="s">
        <v>73</v>
      </c>
      <c r="F37" s="90" t="s">
        <v>7</v>
      </c>
      <c r="G37" s="91"/>
      <c r="H37" s="91"/>
      <c r="I37" s="91"/>
      <c r="J37" s="92" t="s">
        <v>11</v>
      </c>
      <c r="K37" s="92" t="s">
        <v>12</v>
      </c>
      <c r="L37" s="93" t="str">
        <f>L3</f>
        <v>FY23</v>
      </c>
      <c r="M37" s="94" t="s">
        <v>14</v>
      </c>
      <c r="N37" s="15" t="s">
        <v>15</v>
      </c>
      <c r="O37" s="4"/>
      <c r="P37" s="37" t="s">
        <v>74</v>
      </c>
      <c r="Q37" s="35">
        <f>SUM(Q39:Q45)</f>
        <v>436.233</v>
      </c>
      <c r="R37" s="35">
        <f t="shared" ref="R37:Y37" si="30">SUM(R40:R45)</f>
        <v>849.08</v>
      </c>
      <c r="S37" s="35">
        <f t="shared" si="30"/>
        <v>711.258</v>
      </c>
      <c r="T37" s="35">
        <f t="shared" si="30"/>
        <v>709.001</v>
      </c>
      <c r="U37" s="35">
        <f t="shared" si="30"/>
        <v>805.29</v>
      </c>
      <c r="V37" s="35">
        <f t="shared" si="30"/>
        <v>912.002</v>
      </c>
      <c r="W37" s="35">
        <f t="shared" si="30"/>
        <v>1009.424</v>
      </c>
      <c r="X37" s="42">
        <f t="shared" si="30"/>
        <v>1259.313</v>
      </c>
      <c r="Y37" s="35">
        <f t="shared" si="30"/>
        <v>1310.7</v>
      </c>
      <c r="Z37" s="4"/>
      <c r="AA37" s="4"/>
      <c r="AB37" s="4"/>
      <c r="AC37" s="4"/>
    </row>
    <row r="38" ht="18.75" customHeight="1">
      <c r="A38" s="19" t="s">
        <v>75</v>
      </c>
      <c r="B38" s="20"/>
      <c r="C38" s="95"/>
      <c r="D38" s="21">
        <v>43.62</v>
      </c>
      <c r="E38" s="21">
        <f t="shared" ref="E38:I38" si="31">D43</f>
        <v>45.697</v>
      </c>
      <c r="F38" s="21">
        <f t="shared" si="31"/>
        <v>50.462</v>
      </c>
      <c r="G38" s="21">
        <f t="shared" si="31"/>
        <v>172.987</v>
      </c>
      <c r="H38" s="21" t="str">
        <f t="shared" si="31"/>
        <v/>
      </c>
      <c r="I38" s="21" t="str">
        <f t="shared" si="31"/>
        <v/>
      </c>
      <c r="J38" s="21">
        <f>F43</f>
        <v>172.987</v>
      </c>
      <c r="K38" s="21">
        <f t="shared" ref="K38:L38" si="32">J43</f>
        <v>153.867</v>
      </c>
      <c r="L38" s="24">
        <f t="shared" si="32"/>
        <v>66.123</v>
      </c>
      <c r="M38" s="96">
        <v>159.944</v>
      </c>
      <c r="N38" s="96">
        <v>106.315</v>
      </c>
      <c r="O38" s="4"/>
      <c r="P38" s="26" t="s">
        <v>76</v>
      </c>
      <c r="Q38" s="9"/>
      <c r="R38" s="9"/>
      <c r="S38" s="27"/>
      <c r="T38" s="27"/>
      <c r="U38" s="27"/>
      <c r="V38" s="27"/>
      <c r="W38" s="27"/>
      <c r="X38" s="28"/>
      <c r="Y38" s="9"/>
      <c r="Z38" s="4"/>
      <c r="AA38" s="4"/>
      <c r="AB38" s="4"/>
      <c r="AC38" s="4"/>
    </row>
    <row r="39" ht="18.75" customHeight="1">
      <c r="A39" s="19" t="s">
        <v>77</v>
      </c>
      <c r="B39" s="20"/>
      <c r="C39" s="95"/>
      <c r="D39" s="21">
        <v>160.264</v>
      </c>
      <c r="E39" s="21">
        <v>-234.229</v>
      </c>
      <c r="F39" s="21">
        <v>1809.425</v>
      </c>
      <c r="G39" s="27"/>
      <c r="H39" s="21"/>
      <c r="I39" s="21"/>
      <c r="J39" s="21">
        <v>173.41</v>
      </c>
      <c r="K39" s="21">
        <f>-81.36/10</f>
        <v>-8.136</v>
      </c>
      <c r="L39" s="24">
        <v>-223.002</v>
      </c>
      <c r="M39" s="96">
        <v>1418.033</v>
      </c>
      <c r="N39" s="96">
        <v>272.966</v>
      </c>
      <c r="O39" s="4"/>
      <c r="P39" s="26" t="s">
        <v>78</v>
      </c>
      <c r="Q39" s="9">
        <v>329.27</v>
      </c>
      <c r="R39" s="9">
        <f t="shared" ref="R39:Y39" si="33">R40+R41</f>
        <v>611.929</v>
      </c>
      <c r="S39" s="27">
        <f t="shared" si="33"/>
        <v>535.089</v>
      </c>
      <c r="T39" s="27">
        <f t="shared" si="33"/>
        <v>556.347</v>
      </c>
      <c r="U39" s="27">
        <f t="shared" si="33"/>
        <v>708.73</v>
      </c>
      <c r="V39" s="27">
        <f t="shared" si="33"/>
        <v>811.641</v>
      </c>
      <c r="W39" s="27">
        <f t="shared" si="33"/>
        <v>869.233</v>
      </c>
      <c r="X39" s="28">
        <f t="shared" si="33"/>
        <v>819.469</v>
      </c>
      <c r="Y39" s="27">
        <f t="shared" si="33"/>
        <v>996.5</v>
      </c>
      <c r="Z39" s="4"/>
      <c r="AA39" s="4"/>
      <c r="AB39" s="4"/>
      <c r="AC39" s="4"/>
    </row>
    <row r="40" ht="18.75" customHeight="1">
      <c r="A40" s="26" t="s">
        <v>79</v>
      </c>
      <c r="B40" s="9"/>
      <c r="C40" s="97"/>
      <c r="D40" s="27">
        <v>-306.619</v>
      </c>
      <c r="E40" s="27">
        <v>-124.291</v>
      </c>
      <c r="F40" s="27">
        <v>-96.348</v>
      </c>
      <c r="G40" s="27"/>
      <c r="H40" s="21"/>
      <c r="I40" s="21"/>
      <c r="J40" s="27">
        <v>-349.46</v>
      </c>
      <c r="K40" s="27">
        <f>-5944.2/10</f>
        <v>-594.42</v>
      </c>
      <c r="L40" s="28">
        <v>-464.66</v>
      </c>
      <c r="M40" s="98">
        <v>-989.664</v>
      </c>
      <c r="N40" s="98">
        <v>-522.057</v>
      </c>
      <c r="O40" s="4"/>
      <c r="P40" s="26" t="s">
        <v>80</v>
      </c>
      <c r="Q40" s="9"/>
      <c r="R40" s="9">
        <v>57.592</v>
      </c>
      <c r="S40" s="27">
        <v>40.858</v>
      </c>
      <c r="T40" s="27">
        <v>84.628</v>
      </c>
      <c r="U40" s="27">
        <v>42.47</v>
      </c>
      <c r="V40" s="27">
        <f>360.37/10</f>
        <v>36.037</v>
      </c>
      <c r="W40" s="27">
        <v>93.956</v>
      </c>
      <c r="X40" s="28">
        <v>103.943</v>
      </c>
      <c r="Y40" s="49">
        <v>164.7</v>
      </c>
      <c r="Z40" s="4"/>
      <c r="AA40" s="4"/>
      <c r="AB40" s="4"/>
      <c r="AC40" s="4"/>
    </row>
    <row r="41" ht="18.75" customHeight="1">
      <c r="A41" s="26" t="s">
        <v>81</v>
      </c>
      <c r="B41" s="9"/>
      <c r="C41" s="97"/>
      <c r="D41" s="27">
        <v>148.432</v>
      </c>
      <c r="E41" s="27">
        <v>363.285</v>
      </c>
      <c r="F41" s="27">
        <v>-1590.552</v>
      </c>
      <c r="G41" s="27"/>
      <c r="H41" s="27"/>
      <c r="I41" s="27"/>
      <c r="J41" s="27">
        <v>156.93</v>
      </c>
      <c r="K41" s="27">
        <f>5148.12/10</f>
        <v>514.812</v>
      </c>
      <c r="L41" s="28">
        <v>781.482</v>
      </c>
      <c r="M41" s="98">
        <v>-481.998</v>
      </c>
      <c r="N41" s="98">
        <v>318.05</v>
      </c>
      <c r="O41" s="4"/>
      <c r="P41" s="26" t="s">
        <v>82</v>
      </c>
      <c r="Q41" s="9"/>
      <c r="R41" s="9">
        <v>554.337</v>
      </c>
      <c r="S41" s="27">
        <v>494.231</v>
      </c>
      <c r="T41" s="27">
        <v>471.719</v>
      </c>
      <c r="U41" s="27">
        <v>666.26</v>
      </c>
      <c r="V41" s="27">
        <f>7756.04/10</f>
        <v>775.604</v>
      </c>
      <c r="W41" s="27">
        <v>775.277</v>
      </c>
      <c r="X41" s="28">
        <v>715.526</v>
      </c>
      <c r="Y41" s="49">
        <v>831.8</v>
      </c>
      <c r="Z41" s="4"/>
      <c r="AA41" s="4"/>
      <c r="AB41" s="4"/>
      <c r="AC41" s="4"/>
    </row>
    <row r="42" ht="18.75" customHeight="1">
      <c r="A42" s="19" t="s">
        <v>83</v>
      </c>
      <c r="B42" s="20"/>
      <c r="C42" s="95"/>
      <c r="D42" s="21">
        <f t="shared" ref="D42:F42" si="34">+D39+D40+D41</f>
        <v>2.077</v>
      </c>
      <c r="E42" s="21">
        <f t="shared" si="34"/>
        <v>4.765</v>
      </c>
      <c r="F42" s="21">
        <f t="shared" si="34"/>
        <v>122.525</v>
      </c>
      <c r="G42" s="27"/>
      <c r="H42" s="27"/>
      <c r="I42" s="27"/>
      <c r="J42" s="21">
        <f t="shared" ref="J42:N42" si="35">+J39+J40+J41</f>
        <v>-19.12</v>
      </c>
      <c r="K42" s="21">
        <f t="shared" si="35"/>
        <v>-87.744</v>
      </c>
      <c r="L42" s="24">
        <f t="shared" si="35"/>
        <v>93.82</v>
      </c>
      <c r="M42" s="96">
        <f t="shared" si="35"/>
        <v>-53.629</v>
      </c>
      <c r="N42" s="98">
        <f t="shared" si="35"/>
        <v>68.959</v>
      </c>
      <c r="O42" s="4"/>
      <c r="P42" s="26" t="s">
        <v>84</v>
      </c>
      <c r="Q42" s="9">
        <v>44.262</v>
      </c>
      <c r="R42" s="9">
        <v>159.532</v>
      </c>
      <c r="S42" s="27">
        <v>145.557</v>
      </c>
      <c r="T42" s="27">
        <v>114.564</v>
      </c>
      <c r="U42" s="27">
        <v>58.48</v>
      </c>
      <c r="V42" s="27">
        <f>411.64/10</f>
        <v>41.164</v>
      </c>
      <c r="W42" s="27">
        <f>95.839+5.332</f>
        <v>101.171</v>
      </c>
      <c r="X42" s="28">
        <f>377.918+6.006</f>
        <v>383.924</v>
      </c>
      <c r="Y42" s="49">
        <f>SUM(256.3+7.2)</f>
        <v>263.5</v>
      </c>
      <c r="Z42" s="4"/>
      <c r="AA42" s="4"/>
      <c r="AB42" s="4"/>
      <c r="AC42" s="4"/>
    </row>
    <row r="43" ht="18.75" customHeight="1">
      <c r="A43" s="99" t="s">
        <v>85</v>
      </c>
      <c r="B43" s="100"/>
      <c r="C43" s="101"/>
      <c r="D43" s="102">
        <f t="shared" ref="D43:F43" si="36">+D38+D42</f>
        <v>45.697</v>
      </c>
      <c r="E43" s="102">
        <f t="shared" si="36"/>
        <v>50.462</v>
      </c>
      <c r="F43" s="102">
        <f t="shared" si="36"/>
        <v>172.987</v>
      </c>
      <c r="G43" s="103"/>
      <c r="H43" s="104"/>
      <c r="I43" s="104"/>
      <c r="J43" s="102">
        <f t="shared" ref="J43:L43" si="37">+J38+J42</f>
        <v>153.867</v>
      </c>
      <c r="K43" s="102">
        <f t="shared" si="37"/>
        <v>66.123</v>
      </c>
      <c r="L43" s="105">
        <f t="shared" si="37"/>
        <v>159.943</v>
      </c>
      <c r="M43" s="106">
        <f t="shared" ref="M43:N43" si="38">M38+M42</f>
        <v>106.315</v>
      </c>
      <c r="N43" s="106">
        <f t="shared" si="38"/>
        <v>175.274</v>
      </c>
      <c r="O43" s="4"/>
      <c r="P43" s="26" t="s">
        <v>86</v>
      </c>
      <c r="Q43" s="9">
        <v>23.39</v>
      </c>
      <c r="R43" s="9">
        <v>21.044</v>
      </c>
      <c r="S43" s="27">
        <v>16.235</v>
      </c>
      <c r="T43" s="27">
        <v>21.376</v>
      </c>
      <c r="U43" s="27">
        <v>24.46</v>
      </c>
      <c r="V43" s="27">
        <f>393.71/10</f>
        <v>39.371</v>
      </c>
      <c r="W43" s="27">
        <v>17.38</v>
      </c>
      <c r="X43" s="28">
        <v>32.685</v>
      </c>
      <c r="Y43" s="49">
        <v>29.4</v>
      </c>
      <c r="Z43" s="58"/>
      <c r="AA43" s="4"/>
      <c r="AB43" s="4"/>
      <c r="AC43" s="4"/>
    </row>
    <row r="44" ht="18.75" customHeight="1">
      <c r="A44" s="4"/>
      <c r="B44" s="4"/>
      <c r="C44" s="107"/>
      <c r="D44" s="107"/>
      <c r="E44" s="107"/>
      <c r="F44" s="107"/>
      <c r="G44" s="4"/>
      <c r="H44" s="108"/>
      <c r="I44" s="108"/>
      <c r="J44" s="107"/>
      <c r="K44" s="4"/>
      <c r="L44" s="4"/>
      <c r="M44" s="4"/>
      <c r="O44" s="4"/>
      <c r="P44" s="26" t="s">
        <v>87</v>
      </c>
      <c r="Q44" s="9">
        <v>16.742</v>
      </c>
      <c r="R44" s="9">
        <v>39.099</v>
      </c>
      <c r="S44" s="27">
        <v>0.0</v>
      </c>
      <c r="T44" s="27">
        <v>0.0</v>
      </c>
      <c r="U44" s="27">
        <v>0.0</v>
      </c>
      <c r="V44" s="27">
        <v>0.0</v>
      </c>
      <c r="W44" s="27">
        <v>0.0</v>
      </c>
      <c r="X44" s="28">
        <v>0.0</v>
      </c>
      <c r="Y44" s="27">
        <v>0.0</v>
      </c>
      <c r="Z44" s="4"/>
      <c r="AA44" s="4"/>
      <c r="AB44" s="4"/>
      <c r="AC44" s="4"/>
    </row>
    <row r="45" ht="18.75" customHeight="1">
      <c r="A45" s="10" t="s">
        <v>88</v>
      </c>
      <c r="B45" s="109"/>
      <c r="C45" s="12" t="s">
        <v>4</v>
      </c>
      <c r="D45" s="12" t="s">
        <v>5</v>
      </c>
      <c r="E45" s="12" t="s">
        <v>6</v>
      </c>
      <c r="F45" s="12" t="str">
        <f>F37</f>
        <v>FY20</v>
      </c>
      <c r="G45" s="110"/>
      <c r="H45" s="111"/>
      <c r="I45" s="111"/>
      <c r="J45" s="12" t="s">
        <v>11</v>
      </c>
      <c r="K45" s="12" t="s">
        <v>12</v>
      </c>
      <c r="L45" s="112" t="str">
        <f>L37</f>
        <v>FY23</v>
      </c>
      <c r="M45" s="94" t="s">
        <v>14</v>
      </c>
      <c r="N45" s="15" t="s">
        <v>15</v>
      </c>
      <c r="O45" s="4"/>
      <c r="P45" s="26" t="s">
        <v>89</v>
      </c>
      <c r="Q45" s="9">
        <v>22.569</v>
      </c>
      <c r="R45" s="9">
        <v>17.476</v>
      </c>
      <c r="S45" s="27">
        <v>14.377</v>
      </c>
      <c r="T45" s="27">
        <v>16.714</v>
      </c>
      <c r="U45" s="27">
        <v>13.62</v>
      </c>
      <c r="V45" s="27">
        <f>198.26/10</f>
        <v>19.826</v>
      </c>
      <c r="W45" s="27">
        <v>21.64</v>
      </c>
      <c r="X45" s="28">
        <v>23.235</v>
      </c>
      <c r="Y45" s="49">
        <v>21.3</v>
      </c>
      <c r="Z45" s="4"/>
      <c r="AA45" s="4"/>
      <c r="AB45" s="4"/>
      <c r="AC45" s="4"/>
    </row>
    <row r="46" ht="18.75" customHeight="1">
      <c r="A46" s="19" t="s">
        <v>90</v>
      </c>
      <c r="B46" s="20"/>
      <c r="C46" s="21"/>
      <c r="D46" s="21">
        <f t="shared" ref="D46:M46" si="39">D39</f>
        <v>160.264</v>
      </c>
      <c r="E46" s="21">
        <f t="shared" si="39"/>
        <v>-234.229</v>
      </c>
      <c r="F46" s="21">
        <f t="shared" si="39"/>
        <v>1809.425</v>
      </c>
      <c r="G46" s="21" t="str">
        <f t="shared" si="39"/>
        <v/>
      </c>
      <c r="H46" s="21" t="str">
        <f t="shared" si="39"/>
        <v/>
      </c>
      <c r="I46" s="21" t="str">
        <f t="shared" si="39"/>
        <v/>
      </c>
      <c r="J46" s="21">
        <f t="shared" si="39"/>
        <v>173.41</v>
      </c>
      <c r="K46" s="21">
        <f t="shared" si="39"/>
        <v>-8.136</v>
      </c>
      <c r="L46" s="21">
        <f t="shared" si="39"/>
        <v>-223.002</v>
      </c>
      <c r="M46" s="96">
        <f t="shared" si="39"/>
        <v>1418.033</v>
      </c>
      <c r="N46" s="96">
        <v>272.966</v>
      </c>
      <c r="O46" s="4"/>
      <c r="P46" s="37" t="s">
        <v>91</v>
      </c>
      <c r="Q46" s="35">
        <f t="shared" ref="Q46:Y46" si="40">(Q29-Q37-Q10)</f>
        <v>1484.911</v>
      </c>
      <c r="R46" s="35">
        <f t="shared" si="40"/>
        <v>1306.32</v>
      </c>
      <c r="S46" s="35">
        <f t="shared" si="40"/>
        <v>1870.753</v>
      </c>
      <c r="T46" s="35">
        <f t="shared" si="40"/>
        <v>2487.258</v>
      </c>
      <c r="U46" s="35">
        <f t="shared" si="40"/>
        <v>3190.96</v>
      </c>
      <c r="V46" s="35">
        <f t="shared" si="40"/>
        <v>3695.741</v>
      </c>
      <c r="W46" s="35">
        <f t="shared" si="40"/>
        <v>3414.865</v>
      </c>
      <c r="X46" s="42">
        <f t="shared" si="40"/>
        <v>2501.427</v>
      </c>
      <c r="Y46" s="35">
        <f t="shared" si="40"/>
        <v>2281.9</v>
      </c>
      <c r="Z46" s="4"/>
      <c r="AA46" s="4"/>
      <c r="AB46" s="4"/>
      <c r="AC46" s="4"/>
    </row>
    <row r="47" ht="18.75" customHeight="1">
      <c r="A47" s="26" t="s">
        <v>92</v>
      </c>
      <c r="B47" s="9"/>
      <c r="C47" s="27"/>
      <c r="D47" s="27">
        <f>-308.28+1.661</f>
        <v>-306.619</v>
      </c>
      <c r="E47" s="27">
        <f>-128.658+4.367</f>
        <v>-124.291</v>
      </c>
      <c r="F47" s="27">
        <f>-98.84+2.492</f>
        <v>-96.348</v>
      </c>
      <c r="G47" s="4"/>
      <c r="H47" s="108"/>
      <c r="I47" s="108"/>
      <c r="J47" s="27">
        <f>-350.268+0.805</f>
        <v>-349.463</v>
      </c>
      <c r="K47" s="27">
        <f>-5944.5/10</f>
        <v>-594.45</v>
      </c>
      <c r="L47" s="27">
        <f t="shared" ref="L47:M47" si="41">L40</f>
        <v>-464.66</v>
      </c>
      <c r="M47" s="98">
        <f t="shared" si="41"/>
        <v>-989.664</v>
      </c>
      <c r="N47" s="98">
        <v>-522.057</v>
      </c>
      <c r="O47" s="4"/>
      <c r="P47" s="26"/>
      <c r="Q47" s="27"/>
      <c r="R47" s="27"/>
      <c r="S47" s="27"/>
      <c r="T47" s="27"/>
      <c r="U47" s="27"/>
      <c r="V47" s="27"/>
      <c r="W47" s="27"/>
      <c r="X47" s="28"/>
      <c r="Y47" s="9"/>
      <c r="Z47" s="4"/>
      <c r="AA47" s="4"/>
      <c r="AB47" s="4"/>
      <c r="AC47" s="4"/>
    </row>
    <row r="48" ht="18.75" customHeight="1">
      <c r="A48" s="99" t="s">
        <v>93</v>
      </c>
      <c r="B48" s="113"/>
      <c r="C48" s="102"/>
      <c r="D48" s="102">
        <f t="shared" ref="D48:F48" si="42">SUM(D46:D47)</f>
        <v>-146.355</v>
      </c>
      <c r="E48" s="102">
        <f t="shared" si="42"/>
        <v>-358.52</v>
      </c>
      <c r="F48" s="102">
        <f t="shared" si="42"/>
        <v>1713.077</v>
      </c>
      <c r="G48" s="114"/>
      <c r="H48" s="115"/>
      <c r="I48" s="115"/>
      <c r="J48" s="102">
        <f t="shared" ref="J48:L48" si="43">SUM(J46:J47)</f>
        <v>-176.053</v>
      </c>
      <c r="K48" s="102">
        <f t="shared" si="43"/>
        <v>-602.586</v>
      </c>
      <c r="L48" s="102">
        <f t="shared" si="43"/>
        <v>-687.662</v>
      </c>
      <c r="M48" s="106">
        <f t="shared" ref="M48:N48" si="44">M46+M47</f>
        <v>428.369</v>
      </c>
      <c r="N48" s="106">
        <f t="shared" si="44"/>
        <v>-249.091</v>
      </c>
      <c r="O48" s="4"/>
      <c r="P48" s="26" t="s">
        <v>94</v>
      </c>
      <c r="Q48" s="27">
        <v>221.614</v>
      </c>
      <c r="R48" s="27">
        <v>248.057</v>
      </c>
      <c r="S48" s="27">
        <v>342.289</v>
      </c>
      <c r="T48" s="27">
        <v>260.122</v>
      </c>
      <c r="U48" s="27">
        <v>266.24</v>
      </c>
      <c r="V48" s="27">
        <f>2690.73/10</f>
        <v>269.073</v>
      </c>
      <c r="W48" s="27">
        <v>271.78</v>
      </c>
      <c r="X48" s="28">
        <v>273.847</v>
      </c>
      <c r="Y48" s="49">
        <v>279.7</v>
      </c>
      <c r="Z48" s="4"/>
      <c r="AA48" s="4"/>
      <c r="AB48" s="4"/>
      <c r="AC48" s="4"/>
    </row>
    <row r="49" ht="18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O49" s="4"/>
      <c r="P49" s="26" t="s">
        <v>95</v>
      </c>
      <c r="Q49" s="27">
        <v>30.0</v>
      </c>
      <c r="R49" s="27">
        <v>31.365</v>
      </c>
      <c r="S49" s="27">
        <v>0.0</v>
      </c>
      <c r="T49" s="27">
        <v>8.434</v>
      </c>
      <c r="U49" s="27">
        <v>2.36</v>
      </c>
      <c r="V49" s="27">
        <f>11.87/10</f>
        <v>1.187</v>
      </c>
      <c r="W49" s="27">
        <v>16.616</v>
      </c>
      <c r="X49" s="28">
        <v>10.61</v>
      </c>
      <c r="Y49" s="49">
        <v>6.4</v>
      </c>
      <c r="Z49" s="4"/>
      <c r="AA49" s="116"/>
      <c r="AB49" s="4"/>
      <c r="AC49" s="4"/>
    </row>
    <row r="50" ht="18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4"/>
      <c r="P50" s="26" t="s">
        <v>96</v>
      </c>
      <c r="Q50" s="97">
        <v>0.0</v>
      </c>
      <c r="R50" s="97"/>
      <c r="S50" s="27">
        <v>19.631</v>
      </c>
      <c r="T50" s="27">
        <v>17.663</v>
      </c>
      <c r="U50" s="27">
        <v>24.62</v>
      </c>
      <c r="V50" s="27">
        <f>208.31/10</f>
        <v>20.831</v>
      </c>
      <c r="W50" s="27">
        <v>28.958</v>
      </c>
      <c r="X50" s="28">
        <v>41.399</v>
      </c>
      <c r="Y50" s="49">
        <v>42.5</v>
      </c>
      <c r="Z50" s="4"/>
      <c r="AA50" s="4"/>
      <c r="AB50" s="4"/>
      <c r="AC50" s="4"/>
    </row>
    <row r="51" ht="18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4"/>
      <c r="P51" s="19"/>
      <c r="Q51" s="95"/>
      <c r="R51" s="95"/>
      <c r="S51" s="95"/>
      <c r="T51" s="27"/>
      <c r="U51" s="27"/>
      <c r="V51" s="27"/>
      <c r="W51" s="27"/>
      <c r="X51" s="28"/>
      <c r="Y51" s="9"/>
      <c r="Z51" s="117"/>
      <c r="AA51" s="4"/>
      <c r="AB51" s="4"/>
      <c r="AC51" s="4"/>
    </row>
    <row r="52" ht="18.75" customHeight="1">
      <c r="A52" s="118" t="s">
        <v>97</v>
      </c>
      <c r="B52" s="119"/>
      <c r="C52" s="120">
        <v>5133674.0</v>
      </c>
      <c r="D52" s="120">
        <v>8413394.0</v>
      </c>
      <c r="E52" s="120">
        <v>3.3653576E7</v>
      </c>
      <c r="F52" s="120">
        <v>3.3653576E7</v>
      </c>
      <c r="G52" s="110"/>
      <c r="H52" s="111"/>
      <c r="I52" s="111"/>
      <c r="J52" s="120">
        <v>3.3653576E7</v>
      </c>
      <c r="K52" s="121">
        <v>3.3653576E7</v>
      </c>
      <c r="L52" s="121">
        <v>3.3653576E7</v>
      </c>
      <c r="M52" s="122">
        <v>3.3653576E7</v>
      </c>
      <c r="N52" s="122">
        <v>3.3653576E7</v>
      </c>
      <c r="O52" s="4"/>
      <c r="P52" s="37" t="s">
        <v>98</v>
      </c>
      <c r="Q52" s="35">
        <f t="shared" ref="Q52:Y52" si="45">SUM(Q16:Q28)+Q29</f>
        <v>4900.732</v>
      </c>
      <c r="R52" s="35">
        <f t="shared" si="45"/>
        <v>5728.981</v>
      </c>
      <c r="S52" s="35">
        <f t="shared" si="45"/>
        <v>6732.165</v>
      </c>
      <c r="T52" s="35">
        <f t="shared" si="45"/>
        <v>6083.021</v>
      </c>
      <c r="U52" s="35">
        <f t="shared" si="45"/>
        <v>7449.961</v>
      </c>
      <c r="V52" s="35">
        <f t="shared" si="45"/>
        <v>8648.78</v>
      </c>
      <c r="W52" s="35">
        <f t="shared" si="45"/>
        <v>9864.622</v>
      </c>
      <c r="X52" s="42">
        <f t="shared" si="45"/>
        <v>9949.471</v>
      </c>
      <c r="Y52" s="35">
        <f t="shared" si="45"/>
        <v>10690.3</v>
      </c>
      <c r="Z52" s="51"/>
      <c r="AA52" s="51">
        <f>X52-X53</f>
        <v>-0.073</v>
      </c>
      <c r="AB52" s="4"/>
      <c r="AC52" s="4"/>
    </row>
    <row r="53" ht="18.75" customHeight="1">
      <c r="A53" s="26" t="s">
        <v>99</v>
      </c>
      <c r="B53" s="9"/>
      <c r="C53" s="27">
        <f t="shared" ref="C53:F53" si="46">C52*Q56/1000000</f>
        <v>932.0185147</v>
      </c>
      <c r="D53" s="27">
        <f t="shared" si="46"/>
        <v>1828.987722</v>
      </c>
      <c r="E53" s="27">
        <f t="shared" si="46"/>
        <v>7637.679073</v>
      </c>
      <c r="F53" s="27">
        <f t="shared" si="46"/>
        <v>4511.261863</v>
      </c>
      <c r="G53" s="4"/>
      <c r="H53" s="107"/>
      <c r="I53" s="107"/>
      <c r="J53" s="27">
        <f>(J52/1000000)*U56</f>
        <v>19747.9184</v>
      </c>
      <c r="K53" s="28">
        <f>236955/10</f>
        <v>23695.5</v>
      </c>
      <c r="L53" s="28">
        <f>(L52/1000000)*W56</f>
        <v>11837.64536</v>
      </c>
      <c r="M53" s="98">
        <v>12922.97</v>
      </c>
      <c r="N53" s="98">
        <v>16692.2</v>
      </c>
      <c r="O53" s="4"/>
      <c r="P53" s="99" t="s">
        <v>100</v>
      </c>
      <c r="Q53" s="102">
        <f>Q50+Q37+Q12+Q7+Q47+Q49+Q48</f>
        <v>4900.783</v>
      </c>
      <c r="R53" s="102">
        <f t="shared" ref="R53:W53" si="47">R50+R37+R12+R7+R47+R51+R48+R49-R11</f>
        <v>5728.981</v>
      </c>
      <c r="S53" s="102">
        <f t="shared" si="47"/>
        <v>6732.437</v>
      </c>
      <c r="T53" s="102">
        <f t="shared" si="47"/>
        <v>6083.021</v>
      </c>
      <c r="U53" s="102">
        <f t="shared" si="47"/>
        <v>7449.968</v>
      </c>
      <c r="V53" s="102">
        <f t="shared" si="47"/>
        <v>8648.781</v>
      </c>
      <c r="W53" s="102">
        <f t="shared" si="47"/>
        <v>9864.621</v>
      </c>
      <c r="X53" s="123">
        <f t="shared" ref="X53:Y53" si="48">X50+X37+X12+X7+X47+X51+X48+X49</f>
        <v>9949.544</v>
      </c>
      <c r="Y53" s="35">
        <f t="shared" si="48"/>
        <v>10690.268</v>
      </c>
      <c r="Z53" s="4"/>
      <c r="AA53" s="4"/>
      <c r="AB53" s="4"/>
      <c r="AC53" s="4"/>
    </row>
    <row r="54" ht="18.75" customHeight="1">
      <c r="A54" s="26" t="s">
        <v>101</v>
      </c>
      <c r="B54" s="9"/>
      <c r="C54" s="27">
        <f t="shared" ref="C54:F54" si="49">Q12</f>
        <v>1047.929</v>
      </c>
      <c r="D54" s="27">
        <f t="shared" si="49"/>
        <v>1318.726</v>
      </c>
      <c r="E54" s="27">
        <f t="shared" si="49"/>
        <v>1834.017</v>
      </c>
      <c r="F54" s="27">
        <f t="shared" si="49"/>
        <v>507.402</v>
      </c>
      <c r="G54" s="4"/>
      <c r="H54" s="124"/>
      <c r="I54" s="124"/>
      <c r="J54" s="27">
        <f t="shared" ref="J54:N54" si="50">U12</f>
        <v>778.59</v>
      </c>
      <c r="K54" s="28">
        <f t="shared" si="50"/>
        <v>1393.488</v>
      </c>
      <c r="L54" s="28">
        <f t="shared" si="50"/>
        <v>2288.415</v>
      </c>
      <c r="M54" s="98">
        <f t="shared" si="50"/>
        <v>2040.889</v>
      </c>
      <c r="N54" s="98">
        <f t="shared" si="50"/>
        <v>2487.6</v>
      </c>
      <c r="O54" s="4"/>
      <c r="P54" s="84" t="s">
        <v>102</v>
      </c>
      <c r="Q54" s="107"/>
      <c r="R54" s="125"/>
      <c r="S54" s="107"/>
      <c r="T54" s="4"/>
      <c r="U54" s="4"/>
      <c r="V54" s="4"/>
      <c r="W54" s="4"/>
      <c r="X54" s="4"/>
      <c r="Y54" s="9"/>
      <c r="Z54" s="4"/>
      <c r="AA54" s="4"/>
      <c r="AB54" s="4"/>
      <c r="AC54" s="4"/>
    </row>
    <row r="55" ht="18.75" customHeight="1">
      <c r="A55" s="26" t="s">
        <v>103</v>
      </c>
      <c r="B55" s="9"/>
      <c r="C55" s="27">
        <f t="shared" ref="C55:F55" si="51">Q34+Q33</f>
        <v>55.757</v>
      </c>
      <c r="D55" s="27">
        <f t="shared" si="51"/>
        <v>58.395</v>
      </c>
      <c r="E55" s="27">
        <f t="shared" si="51"/>
        <v>63.027</v>
      </c>
      <c r="F55" s="27">
        <f t="shared" si="51"/>
        <v>211.11</v>
      </c>
      <c r="G55" s="4"/>
      <c r="H55" s="59"/>
      <c r="I55" s="59"/>
      <c r="J55" s="27">
        <f t="shared" ref="J55:L55" si="52">SUM(U33:U34)</f>
        <v>201.111</v>
      </c>
      <c r="K55" s="28">
        <f t="shared" si="52"/>
        <v>94.176</v>
      </c>
      <c r="L55" s="28">
        <f t="shared" si="52"/>
        <v>173.808</v>
      </c>
      <c r="M55" s="98">
        <f t="shared" ref="M55:N55" si="53">X33+X34</f>
        <v>120.715</v>
      </c>
      <c r="N55" s="98">
        <f t="shared" si="53"/>
        <v>190.4</v>
      </c>
      <c r="O55" s="4"/>
      <c r="P55" s="10" t="s">
        <v>104</v>
      </c>
      <c r="Q55" s="16" t="s">
        <v>4</v>
      </c>
      <c r="R55" s="16" t="s">
        <v>5</v>
      </c>
      <c r="S55" s="12" t="s">
        <v>6</v>
      </c>
      <c r="T55" s="12" t="str">
        <f>T3</f>
        <v>FY20</v>
      </c>
      <c r="U55" s="12" t="s">
        <v>11</v>
      </c>
      <c r="V55" s="13" t="s">
        <v>12</v>
      </c>
      <c r="W55" s="12" t="s">
        <v>13</v>
      </c>
      <c r="X55" s="13" t="s">
        <v>14</v>
      </c>
      <c r="Y55" s="15" t="s">
        <v>15</v>
      </c>
      <c r="Z55" s="4"/>
      <c r="AA55" s="4"/>
      <c r="AB55" s="4"/>
      <c r="AC55" s="4"/>
    </row>
    <row r="56" ht="18.75" customHeight="1">
      <c r="A56" s="126" t="s">
        <v>105</v>
      </c>
      <c r="B56" s="127"/>
      <c r="C56" s="104">
        <f t="shared" ref="C56:F56" si="54">C53+C54-C55</f>
        <v>1924.190515</v>
      </c>
      <c r="D56" s="104">
        <f t="shared" si="54"/>
        <v>3089.318722</v>
      </c>
      <c r="E56" s="104">
        <f t="shared" si="54"/>
        <v>9408.669073</v>
      </c>
      <c r="F56" s="104">
        <f t="shared" si="54"/>
        <v>4807.553863</v>
      </c>
      <c r="G56" s="128"/>
      <c r="H56" s="129"/>
      <c r="I56" s="129"/>
      <c r="J56" s="104">
        <f t="shared" ref="J56:N56" si="55">J53+J54-J55</f>
        <v>20325.3974</v>
      </c>
      <c r="K56" s="130">
        <f t="shared" si="55"/>
        <v>24994.812</v>
      </c>
      <c r="L56" s="130">
        <f t="shared" si="55"/>
        <v>13952.25236</v>
      </c>
      <c r="M56" s="131">
        <f t="shared" si="55"/>
        <v>14843.144</v>
      </c>
      <c r="N56" s="131">
        <f t="shared" si="55"/>
        <v>18989.4</v>
      </c>
      <c r="O56" s="4"/>
      <c r="P56" s="132" t="s">
        <v>106</v>
      </c>
      <c r="Q56" s="68">
        <v>181.55</v>
      </c>
      <c r="R56" s="68">
        <v>217.39</v>
      </c>
      <c r="S56" s="133">
        <v>226.95</v>
      </c>
      <c r="T56" s="9">
        <v>134.05</v>
      </c>
      <c r="U56" s="61">
        <v>586.8</v>
      </c>
      <c r="V56" s="62">
        <v>705.7</v>
      </c>
      <c r="W56" s="9">
        <v>351.75</v>
      </c>
      <c r="X56" s="134">
        <v>299.05</v>
      </c>
      <c r="Y56" s="135">
        <v>496.0</v>
      </c>
      <c r="Z56" s="4"/>
      <c r="AA56" s="4"/>
      <c r="AB56" s="4"/>
      <c r="AC56" s="4"/>
    </row>
    <row r="57" ht="18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32" t="s">
        <v>107</v>
      </c>
      <c r="Q57" s="68">
        <f t="shared" ref="Q57:T57" si="56">C32</f>
        <v>33.14</v>
      </c>
      <c r="R57" s="68">
        <f t="shared" si="56"/>
        <v>7.42</v>
      </c>
      <c r="S57" s="133">
        <f t="shared" si="56"/>
        <v>16.98</v>
      </c>
      <c r="T57" s="133">
        <f t="shared" si="56"/>
        <v>25.61</v>
      </c>
      <c r="U57" s="133">
        <f t="shared" ref="U57:Y57" si="57">J32</f>
        <v>30.29</v>
      </c>
      <c r="V57" s="136">
        <f t="shared" si="57"/>
        <v>15.84</v>
      </c>
      <c r="W57" s="133">
        <f t="shared" si="57"/>
        <v>5.87</v>
      </c>
      <c r="X57" s="136">
        <f t="shared" si="57"/>
        <v>2.71</v>
      </c>
      <c r="Y57" s="136">
        <f t="shared" si="57"/>
        <v>7.66</v>
      </c>
      <c r="Z57" s="4" t="s">
        <v>108</v>
      </c>
      <c r="AA57" s="4"/>
      <c r="AB57" s="4"/>
      <c r="AC57" s="4"/>
    </row>
    <row r="58" ht="18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32" t="s">
        <v>109</v>
      </c>
      <c r="Q58" s="133">
        <f t="shared" ref="Q58:T58" si="58">(Q7*1000000)/C52</f>
        <v>616.5188908</v>
      </c>
      <c r="R58" s="133">
        <f t="shared" si="58"/>
        <v>401.2355775</v>
      </c>
      <c r="S58" s="133">
        <f t="shared" si="58"/>
        <v>116.4584114</v>
      </c>
      <c r="T58" s="133">
        <f t="shared" si="58"/>
        <v>137.9169631</v>
      </c>
      <c r="U58" s="133">
        <f t="shared" ref="U58:Y58" si="59">(U7*1000000)/J52</f>
        <v>165.5951213</v>
      </c>
      <c r="V58" s="136">
        <f t="shared" si="59"/>
        <v>179.8382436</v>
      </c>
      <c r="W58" s="133">
        <f t="shared" si="59"/>
        <v>185.6987798</v>
      </c>
      <c r="X58" s="134">
        <f t="shared" si="59"/>
        <v>187.8993781</v>
      </c>
      <c r="Y58" s="134">
        <f t="shared" si="59"/>
        <v>195.0273576</v>
      </c>
      <c r="Z58" s="4"/>
      <c r="AA58" s="4"/>
      <c r="AB58" s="4"/>
      <c r="AC58" s="4"/>
    </row>
    <row r="59" ht="18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32" t="s">
        <v>110</v>
      </c>
      <c r="Q59" s="61">
        <v>1.5</v>
      </c>
      <c r="R59" s="61">
        <v>1.5</v>
      </c>
      <c r="S59" s="61">
        <v>2.0</v>
      </c>
      <c r="T59" s="61">
        <v>2.5</v>
      </c>
      <c r="U59" s="9">
        <v>2.5</v>
      </c>
      <c r="V59" s="137">
        <f>5*30%</f>
        <v>1.5</v>
      </c>
      <c r="W59" s="9">
        <v>0.5</v>
      </c>
      <c r="X59" s="62">
        <v>0.0</v>
      </c>
      <c r="Y59" s="62">
        <v>0.0</v>
      </c>
      <c r="Z59" s="4"/>
      <c r="AA59" s="4"/>
      <c r="AB59" s="4"/>
      <c r="AC59" s="4"/>
    </row>
    <row r="60" ht="18.75" customHeight="1">
      <c r="A60" s="4"/>
      <c r="B60" s="4"/>
      <c r="C60" s="4"/>
      <c r="D60" s="4"/>
      <c r="E60" s="4"/>
      <c r="F60" s="4"/>
      <c r="G60" s="4"/>
      <c r="H60" s="59"/>
      <c r="I60" s="59"/>
      <c r="J60" s="59"/>
      <c r="K60" s="4"/>
      <c r="L60" s="4"/>
      <c r="M60" s="4"/>
      <c r="N60" s="4"/>
      <c r="O60" s="4"/>
      <c r="P60" s="132" t="s">
        <v>111</v>
      </c>
      <c r="Q60" s="133">
        <f t="shared" ref="Q60:T60" si="60">(Q56/Q57)</f>
        <v>5.478273989</v>
      </c>
      <c r="R60" s="133">
        <f t="shared" si="60"/>
        <v>29.29784367</v>
      </c>
      <c r="S60" s="133">
        <f t="shared" si="60"/>
        <v>13.36572438</v>
      </c>
      <c r="T60" s="133">
        <f t="shared" si="60"/>
        <v>5.234283483</v>
      </c>
      <c r="U60" s="133">
        <f t="shared" ref="U60:Y60" si="61">U56/J32</f>
        <v>19.37273027</v>
      </c>
      <c r="V60" s="136">
        <f t="shared" si="61"/>
        <v>44.55176768</v>
      </c>
      <c r="W60" s="133">
        <f t="shared" si="61"/>
        <v>59.92333901</v>
      </c>
      <c r="X60" s="136">
        <f t="shared" si="61"/>
        <v>110.3505535</v>
      </c>
      <c r="Y60" s="136">
        <f t="shared" si="61"/>
        <v>64.75195822</v>
      </c>
      <c r="Z60" s="4"/>
      <c r="AA60" s="4"/>
      <c r="AB60" s="4"/>
      <c r="AC60" s="4"/>
    </row>
    <row r="61" ht="18.75" customHeight="1">
      <c r="A61" s="4"/>
      <c r="B61" s="4"/>
      <c r="C61" s="4"/>
      <c r="D61" s="4"/>
      <c r="E61" s="4"/>
      <c r="F61" s="4"/>
      <c r="G61" s="4"/>
      <c r="H61" s="108"/>
      <c r="I61" s="108"/>
      <c r="J61" s="108"/>
      <c r="K61" s="4"/>
      <c r="L61" s="4"/>
      <c r="M61" s="4"/>
      <c r="N61" s="4"/>
      <c r="O61" s="4"/>
      <c r="P61" s="132" t="s">
        <v>112</v>
      </c>
      <c r="Q61" s="133">
        <f t="shared" ref="Q61:Y61" si="62">(Q56/Q58)</f>
        <v>0.2944759726</v>
      </c>
      <c r="R61" s="133">
        <f t="shared" si="62"/>
        <v>0.541801406</v>
      </c>
      <c r="S61" s="133">
        <f t="shared" si="62"/>
        <v>1.948764346</v>
      </c>
      <c r="T61" s="133">
        <f t="shared" si="62"/>
        <v>0.971961657</v>
      </c>
      <c r="U61" s="133">
        <f t="shared" si="62"/>
        <v>3.543582657</v>
      </c>
      <c r="V61" s="136">
        <f t="shared" si="62"/>
        <v>3.924081918</v>
      </c>
      <c r="W61" s="133">
        <f t="shared" si="62"/>
        <v>1.894196614</v>
      </c>
      <c r="X61" s="134">
        <f t="shared" si="62"/>
        <v>1.59154332</v>
      </c>
      <c r="Y61" s="134">
        <f t="shared" si="62"/>
        <v>2.54323294</v>
      </c>
      <c r="Z61" s="4"/>
      <c r="AA61" s="4"/>
      <c r="AB61" s="4"/>
      <c r="AC61" s="4"/>
    </row>
    <row r="62" ht="18.75" customHeight="1">
      <c r="A62" s="4"/>
      <c r="B62" s="4"/>
      <c r="C62" s="107"/>
      <c r="D62" s="107"/>
      <c r="E62" s="107"/>
      <c r="F62" s="107"/>
      <c r="G62" s="107"/>
      <c r="H62" s="107"/>
      <c r="I62" s="107"/>
      <c r="J62" s="107"/>
      <c r="K62" s="4"/>
      <c r="L62" s="4"/>
      <c r="M62" s="4"/>
      <c r="N62" s="4"/>
      <c r="O62" s="4"/>
      <c r="P62" s="132" t="s">
        <v>113</v>
      </c>
      <c r="Q62" s="133">
        <f t="shared" ref="Q62:T62" si="63">C56/C13</f>
        <v>3.384221512</v>
      </c>
      <c r="R62" s="133">
        <f t="shared" si="63"/>
        <v>4.771435996</v>
      </c>
      <c r="S62" s="133">
        <f t="shared" si="63"/>
        <v>8.180846697</v>
      </c>
      <c r="T62" s="133">
        <f t="shared" si="63"/>
        <v>3.779211514</v>
      </c>
      <c r="U62" s="133">
        <f t="shared" ref="U62:Y62" si="64">J56/J13</f>
        <v>13.10690212</v>
      </c>
      <c r="V62" s="136">
        <f t="shared" si="64"/>
        <v>27.01341657</v>
      </c>
      <c r="W62" s="133">
        <f t="shared" si="64"/>
        <v>25.7358003</v>
      </c>
      <c r="X62" s="136">
        <f t="shared" si="64"/>
        <v>31.62556782</v>
      </c>
      <c r="Y62" s="136">
        <f t="shared" si="64"/>
        <v>37.39690417</v>
      </c>
      <c r="Z62" s="4"/>
      <c r="AA62" s="4"/>
      <c r="AB62" s="4"/>
      <c r="AC62" s="4"/>
    </row>
    <row r="63" ht="18.75" customHeight="1">
      <c r="A63" s="4"/>
      <c r="B63" s="4"/>
      <c r="C63" s="107"/>
      <c r="D63" s="107"/>
      <c r="E63" s="107"/>
      <c r="F63" s="107"/>
      <c r="G63" s="107"/>
      <c r="H63" s="107"/>
      <c r="I63" s="107"/>
      <c r="J63" s="107"/>
      <c r="K63" s="4"/>
      <c r="L63" s="4"/>
      <c r="M63" s="4"/>
      <c r="N63" s="4"/>
      <c r="O63" s="4"/>
      <c r="P63" s="138" t="s">
        <v>114</v>
      </c>
      <c r="Q63" s="139">
        <f t="shared" ref="Q63:T63" si="65">(C24/Q7)</f>
        <v>0.08810691414</v>
      </c>
      <c r="R63" s="139">
        <f t="shared" si="65"/>
        <v>0.07400334088</v>
      </c>
      <c r="S63" s="139">
        <f t="shared" si="65"/>
        <v>0.1458353427</v>
      </c>
      <c r="T63" s="139">
        <f t="shared" si="65"/>
        <v>0.1856959507</v>
      </c>
      <c r="U63" s="139">
        <f t="shared" ref="U63:Y63" si="66">(J24/U7)</f>
        <v>0.182916588</v>
      </c>
      <c r="V63" s="140">
        <f t="shared" si="66"/>
        <v>0.08807094941</v>
      </c>
      <c r="W63" s="139">
        <f t="shared" si="66"/>
        <v>0.03159153126</v>
      </c>
      <c r="X63" s="140">
        <f t="shared" si="66"/>
        <v>0.01439237788</v>
      </c>
      <c r="Y63" s="140">
        <f t="shared" si="66"/>
        <v>0.0393368161</v>
      </c>
      <c r="Z63" s="4"/>
      <c r="AA63" s="4"/>
      <c r="AB63" s="4"/>
      <c r="AC63" s="4"/>
    </row>
    <row r="64" ht="18.75" customHeight="1">
      <c r="A64" s="4"/>
      <c r="B64" s="4"/>
      <c r="C64" s="107"/>
      <c r="D64" s="107"/>
      <c r="E64" s="107"/>
      <c r="F64" s="107"/>
      <c r="G64" s="107"/>
      <c r="H64" s="107"/>
      <c r="I64" s="107"/>
      <c r="J64" s="107"/>
      <c r="K64" s="4"/>
      <c r="L64" s="4"/>
      <c r="M64" s="4"/>
      <c r="N64" s="4"/>
      <c r="O64" s="4"/>
      <c r="P64" s="138" t="s">
        <v>115</v>
      </c>
      <c r="Q64" s="139">
        <f t="shared" ref="Q64:S64" si="67">(C13-C17)/Q13</f>
        <v>0.1107465409</v>
      </c>
      <c r="R64" s="139">
        <f t="shared" si="67"/>
        <v>0.1291018221</v>
      </c>
      <c r="S64" s="139">
        <f t="shared" si="67"/>
        <v>0.2209948193</v>
      </c>
      <c r="T64" s="139">
        <f>(F13-F17)/(AVERAGE(S13:T13))</f>
        <v>0.2316315985</v>
      </c>
      <c r="U64" s="139">
        <f t="shared" ref="U64:Y64" si="68">(J13-J17)/(AVERAGE(T13:U13))</f>
        <v>0.254630377</v>
      </c>
      <c r="V64" s="140">
        <f t="shared" si="68"/>
        <v>0.1193031665</v>
      </c>
      <c r="W64" s="139">
        <f t="shared" si="68"/>
        <v>0.05086896307</v>
      </c>
      <c r="X64" s="140">
        <f t="shared" si="68"/>
        <v>0.03862901238</v>
      </c>
      <c r="Y64" s="140">
        <f t="shared" si="68"/>
        <v>0.05613427286</v>
      </c>
      <c r="Z64" s="4"/>
      <c r="AA64" s="4"/>
      <c r="AB64" s="4"/>
      <c r="AC64" s="4"/>
    </row>
    <row r="65" ht="18.75" customHeight="1">
      <c r="A65" s="4"/>
      <c r="B65" s="4"/>
      <c r="C65" s="107"/>
      <c r="D65" s="107"/>
      <c r="E65" s="107"/>
      <c r="F65" s="107"/>
      <c r="G65" s="107"/>
      <c r="H65" s="107"/>
      <c r="I65" s="107"/>
      <c r="J65" s="107"/>
      <c r="K65" s="4"/>
      <c r="L65" s="4"/>
      <c r="M65" s="4"/>
      <c r="N65" s="4"/>
      <c r="O65" s="4"/>
      <c r="P65" s="132" t="s">
        <v>116</v>
      </c>
      <c r="Q65" s="141">
        <f t="shared" ref="Q65:Y65" si="69">(Q12/Q7)</f>
        <v>0.3310984778</v>
      </c>
      <c r="R65" s="141">
        <f t="shared" si="69"/>
        <v>0.3906464721</v>
      </c>
      <c r="S65" s="141">
        <f t="shared" si="69"/>
        <v>0.4679519662</v>
      </c>
      <c r="T65" s="141">
        <f t="shared" si="69"/>
        <v>0.1093209181</v>
      </c>
      <c r="U65" s="141">
        <f t="shared" si="69"/>
        <v>0.1397108275</v>
      </c>
      <c r="V65" s="134">
        <f t="shared" si="69"/>
        <v>0.2302448696</v>
      </c>
      <c r="W65" s="141">
        <f t="shared" si="69"/>
        <v>0.3661799128</v>
      </c>
      <c r="X65" s="134">
        <f t="shared" si="69"/>
        <v>0.3227474529</v>
      </c>
      <c r="Y65" s="134">
        <f t="shared" si="69"/>
        <v>0.3790127264</v>
      </c>
      <c r="Z65" s="4"/>
      <c r="AA65" s="4"/>
      <c r="AB65" s="4"/>
      <c r="AC65" s="4"/>
    </row>
    <row r="66" ht="18.75" customHeight="1">
      <c r="A66" s="4"/>
      <c r="B66" s="4"/>
      <c r="C66" s="107"/>
      <c r="D66" s="107"/>
      <c r="E66" s="107"/>
      <c r="F66" s="107"/>
      <c r="G66" s="107"/>
      <c r="H66" s="107"/>
      <c r="I66" s="107"/>
      <c r="J66" s="107"/>
      <c r="K66" s="4"/>
      <c r="L66" s="4"/>
      <c r="M66" s="4"/>
      <c r="N66" s="4"/>
      <c r="O66" s="4"/>
      <c r="P66" s="132" t="s">
        <v>117</v>
      </c>
      <c r="Q66" s="141">
        <f>(Q12-Q34-Q33)/Q7</f>
        <v>0.3134817711</v>
      </c>
      <c r="R66" s="141">
        <f>(R12-R35-R33)/R7</f>
        <v>0.3744000228</v>
      </c>
      <c r="S66" s="141">
        <f t="shared" ref="S66:Y66" si="70">(S12-S34-S33)/S7</f>
        <v>0.4518705403</v>
      </c>
      <c r="T66" s="141">
        <f t="shared" si="70"/>
        <v>0.06383678714</v>
      </c>
      <c r="U66" s="141">
        <f t="shared" si="70"/>
        <v>0.1036233049</v>
      </c>
      <c r="V66" s="134">
        <f t="shared" si="70"/>
        <v>0.2146842471</v>
      </c>
      <c r="W66" s="141">
        <f t="shared" si="70"/>
        <v>0.3383680874</v>
      </c>
      <c r="X66" s="134">
        <f t="shared" si="70"/>
        <v>0.3036575079</v>
      </c>
      <c r="Y66" s="134">
        <f t="shared" si="70"/>
        <v>0.35000323</v>
      </c>
      <c r="Z66" s="4"/>
      <c r="AA66" s="4"/>
      <c r="AB66" s="4"/>
      <c r="AC66" s="4"/>
    </row>
    <row r="67" ht="18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32" t="s">
        <v>118</v>
      </c>
      <c r="Q67" s="139">
        <f t="shared" ref="Q67:Y67" si="71">(Q59/Q56)</f>
        <v>0.008262186725</v>
      </c>
      <c r="R67" s="139">
        <f t="shared" si="71"/>
        <v>0.0069000414</v>
      </c>
      <c r="S67" s="139">
        <f t="shared" si="71"/>
        <v>0.00881251377</v>
      </c>
      <c r="T67" s="139">
        <f t="shared" si="71"/>
        <v>0.01864975755</v>
      </c>
      <c r="U67" s="139">
        <f t="shared" si="71"/>
        <v>0.004260395365</v>
      </c>
      <c r="V67" s="140">
        <f t="shared" si="71"/>
        <v>0.0021255491</v>
      </c>
      <c r="W67" s="139">
        <f t="shared" si="71"/>
        <v>0.001421464108</v>
      </c>
      <c r="X67" s="140">
        <f t="shared" si="71"/>
        <v>0</v>
      </c>
      <c r="Y67" s="140">
        <f t="shared" si="71"/>
        <v>0</v>
      </c>
      <c r="Z67" s="4"/>
      <c r="AA67" s="4"/>
      <c r="AB67" s="4"/>
      <c r="AC67" s="4"/>
    </row>
    <row r="68" ht="18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32" t="s">
        <v>119</v>
      </c>
      <c r="Q68" s="142">
        <f t="shared" ref="Q68:T68" si="72">(AVERAGE(P32:Q32)/C4*365)</f>
        <v>79.83506856</v>
      </c>
      <c r="R68" s="142">
        <f t="shared" si="72"/>
        <v>84.58866278</v>
      </c>
      <c r="S68" s="142">
        <f t="shared" si="72"/>
        <v>71.1977983</v>
      </c>
      <c r="T68" s="142">
        <f t="shared" si="72"/>
        <v>74.79564104</v>
      </c>
      <c r="U68" s="142">
        <f t="shared" ref="U68:Y68" si="73">(AVERAGE(T32:U32)/J4*365)</f>
        <v>87.53360509</v>
      </c>
      <c r="V68" s="143">
        <f t="shared" si="73"/>
        <v>80.52509467</v>
      </c>
      <c r="W68" s="142">
        <f t="shared" si="73"/>
        <v>82.71570564</v>
      </c>
      <c r="X68" s="143">
        <f t="shared" si="73"/>
        <v>80.85640851</v>
      </c>
      <c r="Y68" s="143">
        <f t="shared" si="73"/>
        <v>149.0094209</v>
      </c>
      <c r="Z68" s="4"/>
      <c r="AA68" s="4"/>
      <c r="AB68" s="4"/>
      <c r="AC68" s="4"/>
    </row>
    <row r="69" ht="18.75" customHeight="1">
      <c r="A69" s="4"/>
      <c r="B69" s="4"/>
      <c r="C69" s="14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32" t="s">
        <v>120</v>
      </c>
      <c r="Q69" s="142">
        <f t="shared" ref="Q69:T69" si="74">AVERAGE(P39:Q39)/(C7)*365</f>
        <v>29.97895199</v>
      </c>
      <c r="R69" s="142">
        <f t="shared" si="74"/>
        <v>38.92451341</v>
      </c>
      <c r="S69" s="142">
        <f t="shared" si="74"/>
        <v>32.72444055</v>
      </c>
      <c r="T69" s="142">
        <f t="shared" si="74"/>
        <v>31.48286822</v>
      </c>
      <c r="U69" s="142">
        <f t="shared" ref="U69:Y69" si="75">AVERAGE(T39:U39)/(J7)*365</f>
        <v>41.69237913</v>
      </c>
      <c r="V69" s="143">
        <f t="shared" si="75"/>
        <v>35.74396452</v>
      </c>
      <c r="W69" s="142">
        <f t="shared" si="75"/>
        <v>38.59293633</v>
      </c>
      <c r="X69" s="143">
        <f t="shared" si="75"/>
        <v>39.03734341</v>
      </c>
      <c r="Y69" s="143">
        <f t="shared" si="75"/>
        <v>82.48118308</v>
      </c>
      <c r="Z69" s="107"/>
      <c r="AA69" s="107"/>
      <c r="AB69" s="107"/>
      <c r="AC69" s="107"/>
    </row>
    <row r="70" ht="18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32" t="s">
        <v>121</v>
      </c>
      <c r="Q70" s="142">
        <f t="shared" ref="Q70:T70" si="76">(AVERAGE(P30:Q30)/(C7)*365)</f>
        <v>104.2005076</v>
      </c>
      <c r="R70" s="142">
        <f t="shared" si="76"/>
        <v>102.2656242</v>
      </c>
      <c r="S70" s="142">
        <f t="shared" si="76"/>
        <v>95.78461762</v>
      </c>
      <c r="T70" s="142">
        <f t="shared" si="76"/>
        <v>105.3562193</v>
      </c>
      <c r="U70" s="142">
        <f t="shared" ref="U70:Y70" si="77">(AVERAGE(T30:U30)/(J7)*365)</f>
        <v>128.5072721</v>
      </c>
      <c r="V70" s="143">
        <f t="shared" si="77"/>
        <v>120.9636306</v>
      </c>
      <c r="W70" s="142">
        <f t="shared" si="77"/>
        <v>150.3115835</v>
      </c>
      <c r="X70" s="143">
        <f t="shared" si="77"/>
        <v>149.0807957</v>
      </c>
      <c r="Y70" s="143">
        <f t="shared" si="77"/>
        <v>263.1491702</v>
      </c>
      <c r="Z70" s="107"/>
      <c r="AA70" s="107"/>
      <c r="AB70" s="107"/>
      <c r="AC70" s="107"/>
    </row>
    <row r="71" ht="18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132" t="s">
        <v>122</v>
      </c>
      <c r="Q71" s="142">
        <f t="shared" ref="Q71:Y71" si="78">(Q70+Q68-Q69)</f>
        <v>154.0566241</v>
      </c>
      <c r="R71" s="142">
        <f t="shared" si="78"/>
        <v>147.9297736</v>
      </c>
      <c r="S71" s="142">
        <f t="shared" si="78"/>
        <v>134.2579754</v>
      </c>
      <c r="T71" s="142">
        <f t="shared" si="78"/>
        <v>148.6689921</v>
      </c>
      <c r="U71" s="142">
        <f t="shared" si="78"/>
        <v>174.348498</v>
      </c>
      <c r="V71" s="143">
        <f t="shared" si="78"/>
        <v>165.7447608</v>
      </c>
      <c r="W71" s="142">
        <f t="shared" si="78"/>
        <v>194.4343528</v>
      </c>
      <c r="X71" s="143">
        <f t="shared" si="78"/>
        <v>190.8998608</v>
      </c>
      <c r="Y71" s="143">
        <f t="shared" si="78"/>
        <v>329.6774081</v>
      </c>
      <c r="Z71" s="4"/>
      <c r="AA71" s="4"/>
      <c r="AB71" s="4"/>
      <c r="AC71" s="4"/>
    </row>
    <row r="72" ht="18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45" t="s">
        <v>123</v>
      </c>
      <c r="Q72" s="142">
        <f>+AVERAGE(Q46)/C4*365</f>
        <v>118.4034009</v>
      </c>
      <c r="R72" s="142">
        <f t="shared" ref="R72:T72" si="79">+AVERAGE(Q46:R46)/D4*365</f>
        <v>100.665284</v>
      </c>
      <c r="S72" s="142">
        <f t="shared" si="79"/>
        <v>76.82878084</v>
      </c>
      <c r="T72" s="142">
        <f t="shared" si="79"/>
        <v>104.6641353</v>
      </c>
      <c r="U72" s="142">
        <f t="shared" ref="U72:Y72" si="80">+AVERAGE(T46:U46)/J4*365</f>
        <v>146.1938707</v>
      </c>
      <c r="V72" s="143">
        <f t="shared" si="80"/>
        <v>144.6632885</v>
      </c>
      <c r="W72" s="142">
        <f t="shared" si="80"/>
        <v>152.8356462</v>
      </c>
      <c r="X72" s="143">
        <f t="shared" si="80"/>
        <v>129.0911198</v>
      </c>
      <c r="Y72" s="143">
        <f t="shared" si="80"/>
        <v>192.8829074</v>
      </c>
      <c r="Z72" s="4"/>
      <c r="AA72" s="4"/>
      <c r="AB72" s="4"/>
      <c r="AC72" s="4"/>
    </row>
    <row r="73" ht="18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46" t="s">
        <v>124</v>
      </c>
      <c r="Q73" s="147">
        <f t="shared" ref="Q73:T73" si="81">C18/Q12</f>
        <v>0.05097387323</v>
      </c>
      <c r="R73" s="147">
        <f t="shared" si="81"/>
        <v>0.05548082012</v>
      </c>
      <c r="S73" s="147">
        <f t="shared" si="81"/>
        <v>0.07080523245</v>
      </c>
      <c r="T73" s="147">
        <f t="shared" si="81"/>
        <v>0.2350128695</v>
      </c>
      <c r="U73" s="147">
        <f>J18/U12</f>
        <v>0.0296818608</v>
      </c>
      <c r="V73" s="148">
        <f>K18/(V12-450)</f>
        <v>0.04287282933</v>
      </c>
      <c r="W73" s="148">
        <f t="shared" ref="W73:Y73" si="82">L18/(W12)</f>
        <v>0.05694334288</v>
      </c>
      <c r="X73" s="148">
        <f t="shared" si="82"/>
        <v>0.09979964613</v>
      </c>
      <c r="Y73" s="148">
        <f t="shared" si="82"/>
        <v>0.04179168677</v>
      </c>
      <c r="Z73" s="4"/>
      <c r="AA73" s="4"/>
      <c r="AB73" s="4"/>
      <c r="AC73" s="4"/>
    </row>
    <row r="74" ht="18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26" t="s">
        <v>125</v>
      </c>
      <c r="Q74" s="149"/>
      <c r="R74" s="149">
        <f t="shared" ref="R74:S74" si="83">(D24+D17+D18)/(D18+94.118)</f>
        <v>2.816878086</v>
      </c>
      <c r="S74" s="149">
        <f t="shared" si="83"/>
        <v>3.92628228</v>
      </c>
      <c r="T74" s="149">
        <f>(F24+F17+F18)/(F18+61.176)</f>
        <v>6.492118478</v>
      </c>
      <c r="U74" s="149">
        <f>(J24+J17+J18)/J18+0</f>
        <v>52.66421463</v>
      </c>
      <c r="V74" s="150">
        <f t="shared" ref="V74:W74" si="84">(K24+K17+K18)/(K18+50)</f>
        <v>8.22106136</v>
      </c>
      <c r="W74" s="150">
        <f t="shared" si="84"/>
        <v>2.895119516</v>
      </c>
      <c r="X74" s="150">
        <f t="shared" ref="X74:Y74" si="85">(M24+M17+M18)/(M18)</f>
        <v>2.418695994</v>
      </c>
      <c r="Y74" s="150">
        <f t="shared" si="85"/>
        <v>4.449899482</v>
      </c>
      <c r="Z74" s="4"/>
      <c r="AA74" s="4"/>
      <c r="AB74" s="4"/>
      <c r="AC74" s="4"/>
    </row>
    <row r="75" ht="18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26" t="s">
        <v>126</v>
      </c>
      <c r="Q75" s="151"/>
      <c r="R75" s="152">
        <f t="shared" ref="R75:T75" si="86">D48</f>
        <v>-146.355</v>
      </c>
      <c r="S75" s="103">
        <f t="shared" si="86"/>
        <v>-358.52</v>
      </c>
      <c r="T75" s="103">
        <f t="shared" si="86"/>
        <v>1713.077</v>
      </c>
      <c r="U75" s="103">
        <f t="shared" ref="U75:Y75" si="87">J48</f>
        <v>-176.053</v>
      </c>
      <c r="V75" s="153">
        <f t="shared" si="87"/>
        <v>-602.586</v>
      </c>
      <c r="W75" s="103">
        <f t="shared" si="87"/>
        <v>-687.662</v>
      </c>
      <c r="X75" s="153">
        <f t="shared" si="87"/>
        <v>428.369</v>
      </c>
      <c r="Y75" s="153">
        <f t="shared" si="87"/>
        <v>-249.091</v>
      </c>
      <c r="Z75" s="4"/>
      <c r="AA75" s="4"/>
      <c r="AB75" s="4"/>
      <c r="AC75" s="4"/>
    </row>
    <row r="76" ht="18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07"/>
      <c r="R76" s="125"/>
      <c r="S76" s="107"/>
      <c r="T76" s="4"/>
      <c r="U76" s="4"/>
      <c r="V76" s="4"/>
      <c r="W76" s="4"/>
      <c r="X76" s="4"/>
      <c r="Y76" s="9"/>
      <c r="Z76" s="4"/>
      <c r="AA76" s="4"/>
      <c r="AB76" s="4"/>
      <c r="AC76" s="4"/>
    </row>
    <row r="77" ht="18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07"/>
      <c r="R77" s="154"/>
      <c r="S77" s="107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t="18.75" customHeight="1">
      <c r="A78" s="4"/>
      <c r="B78" s="4"/>
      <c r="C78" s="4"/>
      <c r="D78" s="4"/>
      <c r="E78" s="4"/>
      <c r="F78" s="155"/>
      <c r="G78" s="155"/>
      <c r="H78" s="155"/>
      <c r="I78" s="155"/>
      <c r="J78" s="155"/>
      <c r="K78" s="4"/>
      <c r="L78" s="4"/>
      <c r="M78" s="4"/>
      <c r="N78" s="4"/>
      <c r="O78" s="4"/>
      <c r="P78" s="4"/>
      <c r="Q78" s="107"/>
      <c r="R78" s="154"/>
      <c r="S78" s="107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t="18.75" customHeight="1">
      <c r="A79" s="4"/>
      <c r="B79" s="4"/>
      <c r="C79" s="4"/>
      <c r="D79" s="4"/>
      <c r="E79" s="4"/>
      <c r="G79" s="155"/>
      <c r="H79" s="155"/>
      <c r="I79" s="155"/>
      <c r="J79" s="155"/>
      <c r="K79" s="4"/>
      <c r="L79" s="4"/>
      <c r="M79" s="4"/>
      <c r="N79" s="4"/>
      <c r="O79" s="4"/>
      <c r="P79" s="4"/>
      <c r="Q79" s="107"/>
      <c r="R79" s="154"/>
      <c r="S79" s="107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t="18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07"/>
      <c r="R80" s="154"/>
      <c r="S80" s="107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t="18.75" customHeight="1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</row>
    <row r="82" ht="18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t="18.75" customHeight="1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</row>
    <row r="84" ht="18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t="18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t="18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56"/>
      <c r="Z86" s="4"/>
      <c r="AA86" s="4"/>
      <c r="AB86" s="4"/>
      <c r="AC86" s="4"/>
    </row>
    <row r="87" ht="18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t="18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t="18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157"/>
      <c r="Y89" s="4"/>
      <c r="Z89" s="4"/>
      <c r="AA89" s="4"/>
      <c r="AB89" s="4"/>
      <c r="AC89" s="4"/>
    </row>
    <row r="90" ht="18.75" customHeight="1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</row>
    <row r="91" ht="18.75" customHeight="1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</row>
    <row r="92" ht="18.75" customHeight="1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</row>
    <row r="93" ht="18.75" customHeight="1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</row>
    <row r="94" ht="18.75" customHeight="1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</row>
    <row r="95" ht="18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t="18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t="18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t="18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t="18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t="18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07"/>
      <c r="R100" s="154"/>
      <c r="S100" s="107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t="18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07"/>
      <c r="R101" s="154"/>
      <c r="S101" s="107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t="18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07"/>
      <c r="R102" s="154"/>
      <c r="S102" s="107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t="18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107"/>
      <c r="R103" s="154"/>
      <c r="S103" s="107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t="18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07"/>
      <c r="R104" s="154"/>
      <c r="S104" s="107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t="18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107"/>
      <c r="R105" s="154"/>
      <c r="S105" s="107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t="18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107"/>
      <c r="R106" s="154"/>
      <c r="S106" s="107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t="18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107"/>
      <c r="R107" s="154"/>
      <c r="S107" s="107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t="18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107"/>
      <c r="R108" s="154"/>
      <c r="S108" s="107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t="18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107"/>
      <c r="R109" s="154"/>
      <c r="S109" s="107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t="18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107"/>
      <c r="R110" s="154"/>
      <c r="S110" s="107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t="18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107"/>
      <c r="R111" s="154"/>
      <c r="S111" s="107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t="18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107"/>
      <c r="R112" s="154"/>
      <c r="S112" s="107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t="18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107"/>
      <c r="R113" s="154"/>
      <c r="S113" s="107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t="18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107"/>
      <c r="R114" s="154"/>
      <c r="S114" s="107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t="18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07"/>
      <c r="R115" s="154"/>
      <c r="S115" s="107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t="18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07"/>
      <c r="R116" s="154"/>
      <c r="S116" s="107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t="18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07"/>
      <c r="R117" s="154"/>
      <c r="S117" s="107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t="18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07"/>
      <c r="R118" s="154"/>
      <c r="S118" s="107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t="18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07"/>
      <c r="R119" s="154"/>
      <c r="S119" s="107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t="18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07"/>
      <c r="R120" s="154"/>
      <c r="S120" s="107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t="18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07"/>
      <c r="R121" s="154"/>
      <c r="S121" s="107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t="18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107"/>
      <c r="R122" s="154"/>
      <c r="S122" s="107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t="18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07"/>
      <c r="R123" s="154"/>
      <c r="S123" s="107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t="18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07"/>
      <c r="R124" s="154"/>
      <c r="S124" s="107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t="18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07"/>
      <c r="R125" s="154"/>
      <c r="S125" s="107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t="18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07"/>
      <c r="R126" s="154"/>
      <c r="S126" s="107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t="18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07"/>
      <c r="R127" s="154"/>
      <c r="S127" s="107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t="18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07"/>
      <c r="R128" s="154"/>
      <c r="S128" s="107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t="18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07"/>
      <c r="R129" s="154"/>
      <c r="S129" s="107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t="18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07"/>
      <c r="R130" s="154"/>
      <c r="S130" s="107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t="18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07"/>
      <c r="R131" s="154"/>
      <c r="S131" s="107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t="18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07"/>
      <c r="R132" s="154"/>
      <c r="S132" s="107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t="18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07"/>
      <c r="R133" s="154"/>
      <c r="S133" s="107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t="18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07"/>
      <c r="R134" s="154"/>
      <c r="S134" s="107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t="18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07"/>
      <c r="R135" s="154"/>
      <c r="S135" s="107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t="18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07"/>
      <c r="R136" s="154"/>
      <c r="S136" s="107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t="18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07"/>
      <c r="R137" s="154"/>
      <c r="S137" s="107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t="18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07"/>
      <c r="R138" s="154"/>
      <c r="S138" s="107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t="18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07"/>
      <c r="R139" s="154"/>
      <c r="S139" s="107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t="18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107"/>
      <c r="R140" s="154"/>
      <c r="S140" s="107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t="18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107"/>
      <c r="R141" s="154"/>
      <c r="S141" s="107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t="18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107"/>
      <c r="R142" s="154"/>
      <c r="S142" s="107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t="18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07"/>
      <c r="R143" s="154"/>
      <c r="S143" s="107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t="18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07"/>
      <c r="R144" s="154"/>
      <c r="S144" s="107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t="18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07"/>
      <c r="R145" s="154"/>
      <c r="S145" s="107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t="18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07"/>
      <c r="R146" s="154"/>
      <c r="S146" s="107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t="18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107"/>
      <c r="R147" s="154"/>
      <c r="S147" s="107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t="18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107"/>
      <c r="R148" s="154"/>
      <c r="S148" s="107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t="18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107"/>
      <c r="R149" s="154"/>
      <c r="S149" s="107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t="18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07"/>
      <c r="R150" s="154"/>
      <c r="S150" s="107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t="18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07"/>
      <c r="R151" s="154"/>
      <c r="S151" s="107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t="18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07"/>
      <c r="R152" s="154"/>
      <c r="S152" s="107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t="18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107"/>
      <c r="R153" s="154"/>
      <c r="S153" s="107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t="18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107"/>
      <c r="R154" s="154"/>
      <c r="S154" s="107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t="18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107"/>
      <c r="R155" s="154"/>
      <c r="S155" s="107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t="18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07"/>
      <c r="R156" s="154"/>
      <c r="S156" s="107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t="18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07"/>
      <c r="R157" s="154"/>
      <c r="S157" s="107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t="18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07"/>
      <c r="R158" s="154"/>
      <c r="S158" s="107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t="18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107"/>
      <c r="R159" s="154"/>
      <c r="S159" s="107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t="18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107"/>
      <c r="R160" s="154"/>
      <c r="S160" s="107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t="18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107"/>
      <c r="R161" s="154"/>
      <c r="S161" s="107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t="18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107"/>
      <c r="R162" s="154"/>
      <c r="S162" s="107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t="18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107"/>
      <c r="R163" s="154"/>
      <c r="S163" s="107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t="18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07"/>
      <c r="R164" s="154"/>
      <c r="S164" s="107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t="18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107"/>
      <c r="R165" s="154"/>
      <c r="S165" s="107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t="18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107"/>
      <c r="R166" s="154"/>
      <c r="S166" s="107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t="18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107"/>
      <c r="R167" s="154"/>
      <c r="S167" s="107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t="18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107"/>
      <c r="R168" s="154"/>
      <c r="S168" s="107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t="18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07"/>
      <c r="R169" s="154"/>
      <c r="S169" s="107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t="18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107"/>
      <c r="R170" s="154"/>
      <c r="S170" s="107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t="18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107"/>
      <c r="R171" s="154"/>
      <c r="S171" s="107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t="18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107"/>
      <c r="R172" s="154"/>
      <c r="S172" s="107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t="18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107"/>
      <c r="R173" s="154"/>
      <c r="S173" s="107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t="18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107"/>
      <c r="R174" s="154"/>
      <c r="S174" s="107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t="18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107"/>
      <c r="R175" s="154"/>
      <c r="S175" s="107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t="18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107"/>
      <c r="R176" s="154"/>
      <c r="S176" s="107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t="18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07"/>
      <c r="R177" s="154"/>
      <c r="S177" s="107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t="18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07"/>
      <c r="R178" s="154"/>
      <c r="S178" s="107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t="18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07"/>
      <c r="R179" s="154"/>
      <c r="S179" s="107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t="18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107"/>
      <c r="R180" s="154"/>
      <c r="S180" s="107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t="18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107"/>
      <c r="R181" s="154"/>
      <c r="S181" s="107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t="18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07"/>
      <c r="R182" s="154"/>
      <c r="S182" s="107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t="18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107"/>
      <c r="R183" s="154"/>
      <c r="S183" s="107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t="18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107"/>
      <c r="R184" s="154"/>
      <c r="S184" s="107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t="18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107"/>
      <c r="R185" s="154"/>
      <c r="S185" s="107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t="18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107"/>
      <c r="R186" s="154"/>
      <c r="S186" s="107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t="18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107"/>
      <c r="R187" s="154"/>
      <c r="S187" s="107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t="18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107"/>
      <c r="R188" s="154"/>
      <c r="S188" s="107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t="18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107"/>
      <c r="R189" s="154"/>
      <c r="S189" s="107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t="18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107"/>
      <c r="R190" s="154"/>
      <c r="S190" s="107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t="18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107"/>
      <c r="R191" s="154"/>
      <c r="S191" s="107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t="18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107"/>
      <c r="R192" s="154"/>
      <c r="S192" s="107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t="18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107"/>
      <c r="R193" s="154"/>
      <c r="S193" s="107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t="18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107"/>
      <c r="R194" s="154"/>
      <c r="S194" s="107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t="18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107"/>
      <c r="R195" s="154"/>
      <c r="S195" s="107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t="18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107"/>
      <c r="R196" s="154"/>
      <c r="S196" s="107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t="18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107"/>
      <c r="R197" s="154"/>
      <c r="S197" s="107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t="18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07"/>
      <c r="R198" s="154"/>
      <c r="S198" s="107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t="18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07"/>
      <c r="R199" s="154"/>
      <c r="S199" s="107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t="18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07"/>
      <c r="R200" s="154"/>
      <c r="S200" s="107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t="18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07"/>
      <c r="R201" s="154"/>
      <c r="S201" s="107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t="18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07"/>
      <c r="R202" s="154"/>
      <c r="S202" s="107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t="18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07"/>
      <c r="R203" s="154"/>
      <c r="S203" s="107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t="18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07"/>
      <c r="R204" s="154"/>
      <c r="S204" s="107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t="18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07"/>
      <c r="R205" s="154"/>
      <c r="S205" s="107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t="18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07"/>
      <c r="R206" s="154"/>
      <c r="S206" s="107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t="18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07"/>
      <c r="R207" s="154"/>
      <c r="S207" s="107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t="18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107"/>
      <c r="R208" s="154"/>
      <c r="S208" s="107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t="18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07"/>
      <c r="R209" s="154"/>
      <c r="S209" s="107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t="18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07"/>
      <c r="R210" s="154"/>
      <c r="S210" s="107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t="18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07"/>
      <c r="R211" s="154"/>
      <c r="S211" s="107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t="18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107"/>
      <c r="R212" s="154"/>
      <c r="S212" s="107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t="18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107"/>
      <c r="R213" s="154"/>
      <c r="S213" s="107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t="18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107"/>
      <c r="R214" s="154"/>
      <c r="S214" s="107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t="18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107"/>
      <c r="R215" s="154"/>
      <c r="S215" s="107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t="18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107"/>
      <c r="R216" s="154"/>
      <c r="S216" s="107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ht="18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107"/>
      <c r="R217" s="154"/>
      <c r="S217" s="107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ht="18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107"/>
      <c r="R218" s="154"/>
      <c r="S218" s="107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ht="18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107"/>
      <c r="R219" s="154"/>
      <c r="S219" s="107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ht="18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107"/>
      <c r="R220" s="154"/>
      <c r="S220" s="107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ht="18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107"/>
      <c r="R221" s="154"/>
      <c r="S221" s="107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ht="18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107"/>
      <c r="R222" s="154"/>
      <c r="S222" s="107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ht="18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107"/>
      <c r="R223" s="154"/>
      <c r="S223" s="107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ht="18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107"/>
      <c r="R224" s="154"/>
      <c r="S224" s="107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ht="18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107"/>
      <c r="R225" s="154"/>
      <c r="S225" s="107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ht="18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107"/>
      <c r="R226" s="154"/>
      <c r="S226" s="107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ht="18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07"/>
      <c r="R227" s="154"/>
      <c r="S227" s="107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ht="18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107"/>
      <c r="R228" s="154"/>
      <c r="S228" s="107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ht="18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07"/>
      <c r="R229" s="154"/>
      <c r="S229" s="107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ht="18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07"/>
      <c r="R230" s="154"/>
      <c r="S230" s="107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ht="18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07"/>
      <c r="R231" s="154"/>
      <c r="S231" s="107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ht="18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07"/>
      <c r="R232" s="154"/>
      <c r="S232" s="107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ht="18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07"/>
      <c r="R233" s="154"/>
      <c r="S233" s="107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ht="18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07"/>
      <c r="R234" s="154"/>
      <c r="S234" s="107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ht="18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07"/>
      <c r="R235" s="154"/>
      <c r="S235" s="107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ht="18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07"/>
      <c r="R236" s="154"/>
      <c r="S236" s="107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ht="18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07"/>
      <c r="R237" s="154"/>
      <c r="S237" s="107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ht="18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07"/>
      <c r="R238" s="154"/>
      <c r="S238" s="107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ht="18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07"/>
      <c r="R239" s="154"/>
      <c r="S239" s="107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ht="18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07"/>
      <c r="R240" s="154"/>
      <c r="S240" s="107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ht="18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07"/>
      <c r="R241" s="154"/>
      <c r="S241" s="107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ht="18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07"/>
      <c r="R242" s="154"/>
      <c r="S242" s="107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ht="18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07"/>
      <c r="R243" s="154"/>
      <c r="S243" s="107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ht="18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07"/>
      <c r="R244" s="154"/>
      <c r="S244" s="107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ht="18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07"/>
      <c r="R245" s="154"/>
      <c r="S245" s="107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ht="18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07"/>
      <c r="R246" s="154"/>
      <c r="S246" s="107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ht="18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107"/>
      <c r="R247" s="154"/>
      <c r="S247" s="107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ht="18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107"/>
      <c r="R248" s="154"/>
      <c r="S248" s="107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ht="18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107"/>
      <c r="R249" s="154"/>
      <c r="S249" s="107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ht="18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107"/>
      <c r="R250" s="154"/>
      <c r="S250" s="107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ht="18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107"/>
      <c r="R251" s="154"/>
      <c r="S251" s="107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ht="18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107"/>
      <c r="R252" s="154"/>
      <c r="S252" s="107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ht="18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107"/>
      <c r="R253" s="154"/>
      <c r="S253" s="107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ht="18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107"/>
      <c r="R254" s="154"/>
      <c r="S254" s="107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ht="18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107"/>
      <c r="R255" s="154"/>
      <c r="S255" s="107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ht="18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107"/>
      <c r="R256" s="154"/>
      <c r="S256" s="107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ht="18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107"/>
      <c r="R257" s="154"/>
      <c r="S257" s="107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ht="18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107"/>
      <c r="R258" s="154"/>
      <c r="S258" s="107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ht="18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107"/>
      <c r="R259" s="154"/>
      <c r="S259" s="107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ht="18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107"/>
      <c r="R260" s="154"/>
      <c r="S260" s="107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ht="18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107"/>
      <c r="R261" s="154"/>
      <c r="S261" s="107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ht="18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107"/>
      <c r="R262" s="154"/>
      <c r="S262" s="107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ht="18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107"/>
      <c r="R263" s="154"/>
      <c r="S263" s="107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ht="18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107"/>
      <c r="R264" s="154"/>
      <c r="S264" s="107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ht="18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107"/>
      <c r="R265" s="154"/>
      <c r="S265" s="107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ht="18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107"/>
      <c r="R266" s="154"/>
      <c r="S266" s="107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ht="18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107"/>
      <c r="R267" s="154"/>
      <c r="S267" s="107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ht="18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107"/>
      <c r="R268" s="154"/>
      <c r="S268" s="107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ht="18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107"/>
      <c r="R269" s="154"/>
      <c r="S269" s="107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ht="18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107"/>
      <c r="R270" s="154"/>
      <c r="S270" s="107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ht="18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107"/>
      <c r="R271" s="154"/>
      <c r="S271" s="107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ht="18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107"/>
      <c r="R272" s="154"/>
      <c r="S272" s="107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ht="18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107"/>
      <c r="R273" s="154"/>
      <c r="S273" s="107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ht="18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107"/>
      <c r="R274" s="154"/>
      <c r="S274" s="107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ht="18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107"/>
      <c r="R275" s="154"/>
      <c r="S275" s="107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ht="18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107"/>
      <c r="R276" s="154"/>
      <c r="S276" s="107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ht="18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107"/>
      <c r="R277" s="154"/>
      <c r="S277" s="107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ht="18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107"/>
      <c r="R278" s="154"/>
      <c r="S278" s="107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ht="18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107"/>
      <c r="R279" s="154"/>
      <c r="S279" s="107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ht="18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107"/>
      <c r="R280" s="154"/>
      <c r="S280" s="107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ht="18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107"/>
      <c r="R281" s="154"/>
      <c r="S281" s="107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ht="18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107"/>
      <c r="R282" s="154"/>
      <c r="S282" s="107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ht="18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107"/>
      <c r="R283" s="154"/>
      <c r="S283" s="107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ht="18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107"/>
      <c r="R284" s="154"/>
      <c r="S284" s="107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ht="18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107"/>
      <c r="R285" s="154"/>
      <c r="S285" s="107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ht="18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107"/>
      <c r="R286" s="154"/>
      <c r="S286" s="107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ht="18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107"/>
      <c r="R287" s="154"/>
      <c r="S287" s="107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ht="18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107"/>
      <c r="R288" s="154"/>
      <c r="S288" s="107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ht="18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107"/>
      <c r="R289" s="154"/>
      <c r="S289" s="107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ht="18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107"/>
      <c r="R290" s="154"/>
      <c r="S290" s="107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ht="18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107"/>
      <c r="R291" s="154"/>
      <c r="S291" s="107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ht="18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107"/>
      <c r="R292" s="154"/>
      <c r="S292" s="107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ht="18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107"/>
      <c r="R293" s="154"/>
      <c r="S293" s="107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ht="18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107"/>
      <c r="R294" s="154"/>
      <c r="S294" s="107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ht="18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107"/>
      <c r="R295" s="154"/>
      <c r="S295" s="107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ht="18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107"/>
      <c r="R296" s="154"/>
      <c r="S296" s="107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ht="18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107"/>
      <c r="R297" s="154"/>
      <c r="S297" s="107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ht="18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107"/>
      <c r="R298" s="154"/>
      <c r="S298" s="107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ht="18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107"/>
      <c r="R299" s="154"/>
      <c r="S299" s="107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ht="18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107"/>
      <c r="R300" s="154"/>
      <c r="S300" s="107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ht="18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107"/>
      <c r="R301" s="154"/>
      <c r="S301" s="107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ht="18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107"/>
      <c r="R302" s="154"/>
      <c r="S302" s="107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ht="18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107"/>
      <c r="R303" s="154"/>
      <c r="S303" s="107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ht="18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107"/>
      <c r="R304" s="154"/>
      <c r="S304" s="107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ht="18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107"/>
      <c r="R305" s="154"/>
      <c r="S305" s="107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ht="18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107"/>
      <c r="R306" s="154"/>
      <c r="S306" s="107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ht="18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107"/>
      <c r="R307" s="154"/>
      <c r="S307" s="107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ht="18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107"/>
      <c r="R308" s="154"/>
      <c r="S308" s="107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ht="18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107"/>
      <c r="R309" s="154"/>
      <c r="S309" s="107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ht="18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107"/>
      <c r="R310" s="154"/>
      <c r="S310" s="107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ht="18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107"/>
      <c r="R311" s="154"/>
      <c r="S311" s="107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ht="18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107"/>
      <c r="R312" s="154"/>
      <c r="S312" s="107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ht="18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107"/>
      <c r="R313" s="154"/>
      <c r="S313" s="107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ht="18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107"/>
      <c r="R314" s="154"/>
      <c r="S314" s="107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ht="18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107"/>
      <c r="R315" s="154"/>
      <c r="S315" s="107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ht="18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107"/>
      <c r="R316" s="154"/>
      <c r="S316" s="107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ht="18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107"/>
      <c r="R317" s="154"/>
      <c r="S317" s="107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ht="18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107"/>
      <c r="R318" s="154"/>
      <c r="S318" s="107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ht="18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107"/>
      <c r="R319" s="154"/>
      <c r="S319" s="107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ht="18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107"/>
      <c r="R320" s="154"/>
      <c r="S320" s="107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ht="18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107"/>
      <c r="R321" s="154"/>
      <c r="S321" s="107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ht="18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107"/>
      <c r="R322" s="154"/>
      <c r="S322" s="107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ht="18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107"/>
      <c r="R323" s="154"/>
      <c r="S323" s="107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ht="18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107"/>
      <c r="R324" s="154"/>
      <c r="S324" s="107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ht="18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107"/>
      <c r="R325" s="154"/>
      <c r="S325" s="107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ht="18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107"/>
      <c r="R326" s="154"/>
      <c r="S326" s="107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ht="18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107"/>
      <c r="R327" s="154"/>
      <c r="S327" s="107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ht="18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107"/>
      <c r="R328" s="154"/>
      <c r="S328" s="107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ht="18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107"/>
      <c r="R329" s="154"/>
      <c r="S329" s="107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ht="18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107"/>
      <c r="R330" s="154"/>
      <c r="S330" s="107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ht="18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107"/>
      <c r="R331" s="154"/>
      <c r="S331" s="107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ht="18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107"/>
      <c r="R332" s="154"/>
      <c r="S332" s="107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ht="18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107"/>
      <c r="R333" s="154"/>
      <c r="S333" s="107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ht="18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107"/>
      <c r="R334" s="154"/>
      <c r="S334" s="107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ht="18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107"/>
      <c r="R335" s="154"/>
      <c r="S335" s="107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ht="18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107"/>
      <c r="R336" s="154"/>
      <c r="S336" s="107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ht="18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107"/>
      <c r="R337" s="154"/>
      <c r="S337" s="107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ht="18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107"/>
      <c r="R338" s="154"/>
      <c r="S338" s="107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ht="18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107"/>
      <c r="R339" s="154"/>
      <c r="S339" s="107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ht="18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107"/>
      <c r="R340" s="154"/>
      <c r="S340" s="107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ht="18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107"/>
      <c r="R341" s="154"/>
      <c r="S341" s="107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ht="18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107"/>
      <c r="R342" s="154"/>
      <c r="S342" s="107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ht="18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107"/>
      <c r="R343" s="154"/>
      <c r="S343" s="107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ht="18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107"/>
      <c r="R344" s="154"/>
      <c r="S344" s="107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ht="18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107"/>
      <c r="R345" s="154"/>
      <c r="S345" s="107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ht="18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107"/>
      <c r="R346" s="154"/>
      <c r="S346" s="107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ht="18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107"/>
      <c r="R347" s="154"/>
      <c r="S347" s="107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ht="18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107"/>
      <c r="R348" s="154"/>
      <c r="S348" s="107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ht="18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107"/>
      <c r="R349" s="154"/>
      <c r="S349" s="107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ht="18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107"/>
      <c r="R350" s="154"/>
      <c r="S350" s="107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ht="18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107"/>
      <c r="R351" s="154"/>
      <c r="S351" s="107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ht="18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107"/>
      <c r="R352" s="154"/>
      <c r="S352" s="107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ht="18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107"/>
      <c r="R353" s="154"/>
      <c r="S353" s="107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ht="18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107"/>
      <c r="R354" s="154"/>
      <c r="S354" s="107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ht="18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107"/>
      <c r="R355" s="154"/>
      <c r="S355" s="107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ht="18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107"/>
      <c r="R356" s="154"/>
      <c r="S356" s="107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ht="18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107"/>
      <c r="R357" s="154"/>
      <c r="S357" s="107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ht="18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107"/>
      <c r="R358" s="154"/>
      <c r="S358" s="107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ht="18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107"/>
      <c r="R359" s="154"/>
      <c r="S359" s="107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ht="18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107"/>
      <c r="R360" s="154"/>
      <c r="S360" s="107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ht="18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107"/>
      <c r="R361" s="154"/>
      <c r="S361" s="107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ht="18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107"/>
      <c r="R362" s="154"/>
      <c r="S362" s="107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ht="18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107"/>
      <c r="R363" s="154"/>
      <c r="S363" s="107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ht="18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107"/>
      <c r="R364" s="154"/>
      <c r="S364" s="107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ht="18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107"/>
      <c r="R365" s="154"/>
      <c r="S365" s="107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ht="18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107"/>
      <c r="R366" s="154"/>
      <c r="S366" s="107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ht="18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107"/>
      <c r="R367" s="154"/>
      <c r="S367" s="107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ht="18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107"/>
      <c r="R368" s="154"/>
      <c r="S368" s="107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ht="18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107"/>
      <c r="R369" s="154"/>
      <c r="S369" s="107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ht="18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107"/>
      <c r="R370" s="154"/>
      <c r="S370" s="107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ht="18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107"/>
      <c r="R371" s="154"/>
      <c r="S371" s="107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ht="18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107"/>
      <c r="R372" s="154"/>
      <c r="S372" s="107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ht="18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107"/>
      <c r="R373" s="154"/>
      <c r="S373" s="107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ht="18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107"/>
      <c r="R374" s="154"/>
      <c r="S374" s="107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ht="18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107"/>
      <c r="R375" s="154"/>
      <c r="S375" s="107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ht="18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107"/>
      <c r="R376" s="154"/>
      <c r="S376" s="107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ht="18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107"/>
      <c r="R377" s="154"/>
      <c r="S377" s="107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ht="18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107"/>
      <c r="R378" s="154"/>
      <c r="S378" s="107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ht="18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107"/>
      <c r="R379" s="154"/>
      <c r="S379" s="107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ht="18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107"/>
      <c r="R380" s="154"/>
      <c r="S380" s="107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ht="18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107"/>
      <c r="R381" s="154"/>
      <c r="S381" s="107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ht="18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107"/>
      <c r="R382" s="154"/>
      <c r="S382" s="107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ht="18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107"/>
      <c r="R383" s="154"/>
      <c r="S383" s="107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ht="18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107"/>
      <c r="R384" s="154"/>
      <c r="S384" s="107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ht="18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107"/>
      <c r="R385" s="154"/>
      <c r="S385" s="107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ht="18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107"/>
      <c r="R386" s="154"/>
      <c r="S386" s="107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ht="18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107"/>
      <c r="R387" s="154"/>
      <c r="S387" s="107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ht="18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107"/>
      <c r="R388" s="154"/>
      <c r="S388" s="107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ht="18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107"/>
      <c r="R389" s="154"/>
      <c r="S389" s="107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ht="18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107"/>
      <c r="R390" s="154"/>
      <c r="S390" s="107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ht="18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107"/>
      <c r="R391" s="154"/>
      <c r="S391" s="107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ht="18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107"/>
      <c r="R392" s="154"/>
      <c r="S392" s="107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ht="18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107"/>
      <c r="R393" s="154"/>
      <c r="S393" s="107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ht="18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107"/>
      <c r="R394" s="154"/>
      <c r="S394" s="107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ht="18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107"/>
      <c r="R395" s="154"/>
      <c r="S395" s="107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ht="18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107"/>
      <c r="R396" s="154"/>
      <c r="S396" s="107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ht="18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107"/>
      <c r="R397" s="154"/>
      <c r="S397" s="107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ht="18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107"/>
      <c r="R398" s="154"/>
      <c r="S398" s="107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ht="18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107"/>
      <c r="R399" s="154"/>
      <c r="S399" s="107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ht="18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107"/>
      <c r="R400" s="154"/>
      <c r="S400" s="107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ht="18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107"/>
      <c r="R401" s="154"/>
      <c r="S401" s="107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ht="18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107"/>
      <c r="R402" s="154"/>
      <c r="S402" s="107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ht="18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107"/>
      <c r="R403" s="154"/>
      <c r="S403" s="107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ht="18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107"/>
      <c r="R404" s="154"/>
      <c r="S404" s="107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ht="18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107"/>
      <c r="R405" s="154"/>
      <c r="S405" s="107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ht="18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107"/>
      <c r="R406" s="154"/>
      <c r="S406" s="107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ht="18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107"/>
      <c r="R407" s="154"/>
      <c r="S407" s="107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ht="18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107"/>
      <c r="R408" s="154"/>
      <c r="S408" s="107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ht="18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107"/>
      <c r="R409" s="154"/>
      <c r="S409" s="107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ht="18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107"/>
      <c r="R410" s="154"/>
      <c r="S410" s="107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ht="18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107"/>
      <c r="R411" s="154"/>
      <c r="S411" s="107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ht="18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107"/>
      <c r="R412" s="154"/>
      <c r="S412" s="107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ht="18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107"/>
      <c r="R413" s="154"/>
      <c r="S413" s="107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ht="18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107"/>
      <c r="R414" s="154"/>
      <c r="S414" s="107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ht="18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107"/>
      <c r="R415" s="154"/>
      <c r="S415" s="107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ht="18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107"/>
      <c r="R416" s="154"/>
      <c r="S416" s="107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ht="18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107"/>
      <c r="R417" s="154"/>
      <c r="S417" s="107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ht="18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107"/>
      <c r="R418" s="154"/>
      <c r="S418" s="107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ht="18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107"/>
      <c r="R419" s="154"/>
      <c r="S419" s="107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ht="18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107"/>
      <c r="R420" s="154"/>
      <c r="S420" s="107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ht="18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107"/>
      <c r="R421" s="154"/>
      <c r="S421" s="107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ht="18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107"/>
      <c r="R422" s="154"/>
      <c r="S422" s="107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ht="18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107"/>
      <c r="R423" s="154"/>
      <c r="S423" s="107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ht="18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107"/>
      <c r="R424" s="154"/>
      <c r="S424" s="107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ht="18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107"/>
      <c r="R425" s="154"/>
      <c r="S425" s="107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ht="18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107"/>
      <c r="R426" s="154"/>
      <c r="S426" s="107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ht="18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107"/>
      <c r="R427" s="154"/>
      <c r="S427" s="107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ht="18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107"/>
      <c r="R428" s="154"/>
      <c r="S428" s="107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ht="18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107"/>
      <c r="R429" s="154"/>
      <c r="S429" s="107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ht="18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107"/>
      <c r="R430" s="154"/>
      <c r="S430" s="107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ht="18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107"/>
      <c r="R431" s="154"/>
      <c r="S431" s="107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ht="18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107"/>
      <c r="R432" s="154"/>
      <c r="S432" s="107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ht="18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107"/>
      <c r="R433" s="154"/>
      <c r="S433" s="107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ht="18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107"/>
      <c r="R434" s="154"/>
      <c r="S434" s="107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ht="18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107"/>
      <c r="R435" s="154"/>
      <c r="S435" s="107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ht="18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107"/>
      <c r="R436" s="154"/>
      <c r="S436" s="107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ht="18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107"/>
      <c r="R437" s="154"/>
      <c r="S437" s="107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ht="18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107"/>
      <c r="R438" s="154"/>
      <c r="S438" s="107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ht="18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107"/>
      <c r="R439" s="154"/>
      <c r="S439" s="107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ht="18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107"/>
      <c r="R440" s="154"/>
      <c r="S440" s="107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ht="18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107"/>
      <c r="R441" s="154"/>
      <c r="S441" s="107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ht="18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107"/>
      <c r="R442" s="154"/>
      <c r="S442" s="107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ht="18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107"/>
      <c r="R443" s="154"/>
      <c r="S443" s="107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ht="18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107"/>
      <c r="R444" s="154"/>
      <c r="S444" s="107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ht="18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107"/>
      <c r="R445" s="154"/>
      <c r="S445" s="107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ht="18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107"/>
      <c r="R446" s="154"/>
      <c r="S446" s="107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ht="18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107"/>
      <c r="R447" s="154"/>
      <c r="S447" s="107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ht="18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107"/>
      <c r="R448" s="154"/>
      <c r="S448" s="107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ht="18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107"/>
      <c r="R449" s="154"/>
      <c r="S449" s="107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ht="18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107"/>
      <c r="R450" s="154"/>
      <c r="S450" s="107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ht="18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107"/>
      <c r="R451" s="154"/>
      <c r="S451" s="107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ht="18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107"/>
      <c r="R452" s="154"/>
      <c r="S452" s="107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ht="18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107"/>
      <c r="R453" s="154"/>
      <c r="S453" s="107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ht="18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107"/>
      <c r="R454" s="154"/>
      <c r="S454" s="107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ht="18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107"/>
      <c r="R455" s="154"/>
      <c r="S455" s="107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ht="18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107"/>
      <c r="R456" s="154"/>
      <c r="S456" s="107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ht="18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107"/>
      <c r="R457" s="154"/>
      <c r="S457" s="107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ht="18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107"/>
      <c r="R458" s="154"/>
      <c r="S458" s="107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ht="18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107"/>
      <c r="R459" s="154"/>
      <c r="S459" s="107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ht="18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107"/>
      <c r="R460" s="154"/>
      <c r="S460" s="107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ht="18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107"/>
      <c r="R461" s="154"/>
      <c r="S461" s="107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ht="18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107"/>
      <c r="R462" s="154"/>
      <c r="S462" s="107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ht="18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107"/>
      <c r="R463" s="154"/>
      <c r="S463" s="107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ht="18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107"/>
      <c r="R464" s="154"/>
      <c r="S464" s="107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ht="18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107"/>
      <c r="R465" s="154"/>
      <c r="S465" s="107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ht="18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107"/>
      <c r="R466" s="154"/>
      <c r="S466" s="107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ht="18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107"/>
      <c r="R467" s="154"/>
      <c r="S467" s="107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ht="18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107"/>
      <c r="R468" s="154"/>
      <c r="S468" s="107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ht="18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107"/>
      <c r="R469" s="154"/>
      <c r="S469" s="107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ht="18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107"/>
      <c r="R470" s="154"/>
      <c r="S470" s="107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ht="18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107"/>
      <c r="R471" s="154"/>
      <c r="S471" s="107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ht="18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107"/>
      <c r="R472" s="154"/>
      <c r="S472" s="107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ht="18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107"/>
      <c r="R473" s="154"/>
      <c r="S473" s="107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ht="18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107"/>
      <c r="R474" s="154"/>
      <c r="S474" s="107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ht="18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107"/>
      <c r="R475" s="154"/>
      <c r="S475" s="107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ht="18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107"/>
      <c r="R476" s="154"/>
      <c r="S476" s="107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ht="18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107"/>
      <c r="R477" s="154"/>
      <c r="S477" s="107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ht="18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107"/>
      <c r="R478" s="154"/>
      <c r="S478" s="107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ht="18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107"/>
      <c r="R479" s="154"/>
      <c r="S479" s="107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ht="18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107"/>
      <c r="R480" s="154"/>
      <c r="S480" s="107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ht="18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107"/>
      <c r="R481" s="154"/>
      <c r="S481" s="107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ht="18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107"/>
      <c r="R482" s="154"/>
      <c r="S482" s="107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ht="18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107"/>
      <c r="R483" s="154"/>
      <c r="S483" s="107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ht="18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107"/>
      <c r="R484" s="154"/>
      <c r="S484" s="107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ht="18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107"/>
      <c r="R485" s="154"/>
      <c r="S485" s="107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ht="18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107"/>
      <c r="R486" s="154"/>
      <c r="S486" s="107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ht="18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107"/>
      <c r="R487" s="154"/>
      <c r="S487" s="107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ht="18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107"/>
      <c r="R488" s="154"/>
      <c r="S488" s="107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ht="18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107"/>
      <c r="R489" s="154"/>
      <c r="S489" s="107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ht="18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107"/>
      <c r="R490" s="154"/>
      <c r="S490" s="107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ht="18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107"/>
      <c r="R491" s="154"/>
      <c r="S491" s="107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ht="18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107"/>
      <c r="R492" s="154"/>
      <c r="S492" s="107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ht="18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107"/>
      <c r="R493" s="154"/>
      <c r="S493" s="107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ht="18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107"/>
      <c r="R494" s="154"/>
      <c r="S494" s="107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ht="18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107"/>
      <c r="R495" s="154"/>
      <c r="S495" s="107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ht="18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107"/>
      <c r="R496" s="154"/>
      <c r="S496" s="107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ht="18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107"/>
      <c r="R497" s="154"/>
      <c r="S497" s="107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ht="18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107"/>
      <c r="R498" s="154"/>
      <c r="S498" s="107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ht="18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107"/>
      <c r="R499" s="154"/>
      <c r="S499" s="107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ht="18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107"/>
      <c r="R500" s="154"/>
      <c r="S500" s="107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ht="18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107"/>
      <c r="R501" s="154"/>
      <c r="S501" s="107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ht="18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107"/>
      <c r="R502" s="154"/>
      <c r="S502" s="107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ht="18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107"/>
      <c r="R503" s="154"/>
      <c r="S503" s="107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ht="18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107"/>
      <c r="R504" s="154"/>
      <c r="S504" s="107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ht="18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107"/>
      <c r="R505" s="154"/>
      <c r="S505" s="107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ht="18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107"/>
      <c r="R506" s="154"/>
      <c r="S506" s="107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ht="18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107"/>
      <c r="R507" s="154"/>
      <c r="S507" s="107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ht="18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107"/>
      <c r="R508" s="154"/>
      <c r="S508" s="107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ht="18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107"/>
      <c r="R509" s="154"/>
      <c r="S509" s="107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ht="18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107"/>
      <c r="R510" s="154"/>
      <c r="S510" s="107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ht="18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107"/>
      <c r="R511" s="154"/>
      <c r="S511" s="107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ht="18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107"/>
      <c r="R512" s="154"/>
      <c r="S512" s="107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ht="18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107"/>
      <c r="R513" s="154"/>
      <c r="S513" s="107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ht="18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107"/>
      <c r="R514" s="154"/>
      <c r="S514" s="107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ht="18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107"/>
      <c r="R515" s="154"/>
      <c r="S515" s="107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ht="18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107"/>
      <c r="R516" s="154"/>
      <c r="S516" s="107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ht="18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107"/>
      <c r="R517" s="154"/>
      <c r="S517" s="107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ht="18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107"/>
      <c r="R518" s="154"/>
      <c r="S518" s="107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ht="18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107"/>
      <c r="R519" s="154"/>
      <c r="S519" s="107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ht="18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107"/>
      <c r="R520" s="154"/>
      <c r="S520" s="107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ht="18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107"/>
      <c r="R521" s="154"/>
      <c r="S521" s="107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ht="18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107"/>
      <c r="R522" s="154"/>
      <c r="S522" s="107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ht="18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107"/>
      <c r="R523" s="154"/>
      <c r="S523" s="107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ht="18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107"/>
      <c r="R524" s="154"/>
      <c r="S524" s="107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ht="18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107"/>
      <c r="R525" s="154"/>
      <c r="S525" s="107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ht="18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107"/>
      <c r="R526" s="154"/>
      <c r="S526" s="107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ht="18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107"/>
      <c r="R527" s="154"/>
      <c r="S527" s="107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ht="18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107"/>
      <c r="R528" s="154"/>
      <c r="S528" s="107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ht="18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107"/>
      <c r="R529" s="154"/>
      <c r="S529" s="107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ht="18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107"/>
      <c r="R530" s="154"/>
      <c r="S530" s="107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ht="18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107"/>
      <c r="R531" s="154"/>
      <c r="S531" s="107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ht="18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107"/>
      <c r="R532" s="154"/>
      <c r="S532" s="107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ht="18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107"/>
      <c r="R533" s="154"/>
      <c r="S533" s="107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ht="18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107"/>
      <c r="R534" s="154"/>
      <c r="S534" s="107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ht="18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107"/>
      <c r="R535" s="154"/>
      <c r="S535" s="107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ht="18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107"/>
      <c r="R536" s="154"/>
      <c r="S536" s="107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ht="18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107"/>
      <c r="R537" s="154"/>
      <c r="S537" s="107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ht="18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107"/>
      <c r="R538" s="154"/>
      <c r="S538" s="107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ht="18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107"/>
      <c r="R539" s="154"/>
      <c r="S539" s="107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ht="18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107"/>
      <c r="R540" s="154"/>
      <c r="S540" s="107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ht="18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107"/>
      <c r="R541" s="154"/>
      <c r="S541" s="107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ht="18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107"/>
      <c r="R542" s="154"/>
      <c r="S542" s="107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ht="18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107"/>
      <c r="R543" s="154"/>
      <c r="S543" s="107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ht="18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107"/>
      <c r="R544" s="154"/>
      <c r="S544" s="107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ht="18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107"/>
      <c r="R545" s="154"/>
      <c r="S545" s="107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ht="18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107"/>
      <c r="R546" s="154"/>
      <c r="S546" s="107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ht="18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107"/>
      <c r="R547" s="154"/>
      <c r="S547" s="107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ht="18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107"/>
      <c r="R548" s="154"/>
      <c r="S548" s="107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ht="18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107"/>
      <c r="R549" s="154"/>
      <c r="S549" s="107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ht="18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107"/>
      <c r="R550" s="154"/>
      <c r="S550" s="107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ht="18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107"/>
      <c r="R551" s="154"/>
      <c r="S551" s="107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ht="18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107"/>
      <c r="R552" s="154"/>
      <c r="S552" s="107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ht="18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107"/>
      <c r="R553" s="154"/>
      <c r="S553" s="107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ht="18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107"/>
      <c r="R554" s="154"/>
      <c r="S554" s="107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ht="18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107"/>
      <c r="R555" s="154"/>
      <c r="S555" s="107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ht="18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107"/>
      <c r="R556" s="154"/>
      <c r="S556" s="107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ht="18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107"/>
      <c r="R557" s="154"/>
      <c r="S557" s="107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ht="18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107"/>
      <c r="R558" s="154"/>
      <c r="S558" s="107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ht="18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107"/>
      <c r="R559" s="154"/>
      <c r="S559" s="107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ht="18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107"/>
      <c r="R560" s="154"/>
      <c r="S560" s="107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ht="18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107"/>
      <c r="R561" s="154"/>
      <c r="S561" s="107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ht="18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107"/>
      <c r="R562" s="154"/>
      <c r="S562" s="107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ht="18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107"/>
      <c r="R563" s="154"/>
      <c r="S563" s="107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ht="18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107"/>
      <c r="R564" s="154"/>
      <c r="S564" s="107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ht="18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107"/>
      <c r="R565" s="154"/>
      <c r="S565" s="107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ht="18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107"/>
      <c r="R566" s="154"/>
      <c r="S566" s="107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ht="18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107"/>
      <c r="R567" s="154"/>
      <c r="S567" s="107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ht="18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107"/>
      <c r="R568" s="154"/>
      <c r="S568" s="107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ht="18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107"/>
      <c r="R569" s="154"/>
      <c r="S569" s="107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ht="18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107"/>
      <c r="R570" s="154"/>
      <c r="S570" s="107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ht="18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107"/>
      <c r="R571" s="154"/>
      <c r="S571" s="107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ht="18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107"/>
      <c r="R572" s="154"/>
      <c r="S572" s="107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ht="18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107"/>
      <c r="R573" s="154"/>
      <c r="S573" s="107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ht="18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107"/>
      <c r="R574" s="154"/>
      <c r="S574" s="107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ht="18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107"/>
      <c r="R575" s="154"/>
      <c r="S575" s="107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ht="18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107"/>
      <c r="R576" s="154"/>
      <c r="S576" s="107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ht="18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107"/>
      <c r="R577" s="154"/>
      <c r="S577" s="107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ht="18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107"/>
      <c r="R578" s="154"/>
      <c r="S578" s="107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ht="18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107"/>
      <c r="R579" s="154"/>
      <c r="S579" s="107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ht="18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107"/>
      <c r="R580" s="154"/>
      <c r="S580" s="107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ht="18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107"/>
      <c r="R581" s="154"/>
      <c r="S581" s="107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ht="18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107"/>
      <c r="R582" s="154"/>
      <c r="S582" s="107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ht="18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107"/>
      <c r="R583" s="154"/>
      <c r="S583" s="107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ht="18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107"/>
      <c r="R584" s="154"/>
      <c r="S584" s="107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ht="18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107"/>
      <c r="R585" s="154"/>
      <c r="S585" s="107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ht="18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107"/>
      <c r="R586" s="154"/>
      <c r="S586" s="107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ht="18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107"/>
      <c r="R587" s="154"/>
      <c r="S587" s="107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ht="18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107"/>
      <c r="R588" s="154"/>
      <c r="S588" s="107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ht="18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107"/>
      <c r="R589" s="154"/>
      <c r="S589" s="107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ht="18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107"/>
      <c r="R590" s="154"/>
      <c r="S590" s="107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ht="18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107"/>
      <c r="R591" s="154"/>
      <c r="S591" s="107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ht="18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107"/>
      <c r="R592" s="154"/>
      <c r="S592" s="107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ht="18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107"/>
      <c r="R593" s="154"/>
      <c r="S593" s="107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ht="18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107"/>
      <c r="R594" s="154"/>
      <c r="S594" s="107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ht="18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107"/>
      <c r="R595" s="154"/>
      <c r="S595" s="107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ht="18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107"/>
      <c r="R596" s="154"/>
      <c r="S596" s="107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ht="18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107"/>
      <c r="R597" s="154"/>
      <c r="S597" s="107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ht="18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107"/>
      <c r="R598" s="154"/>
      <c r="S598" s="107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ht="18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107"/>
      <c r="R599" s="154"/>
      <c r="S599" s="107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ht="18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107"/>
      <c r="R600" s="154"/>
      <c r="S600" s="107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ht="18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107"/>
      <c r="R601" s="154"/>
      <c r="S601" s="107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ht="18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107"/>
      <c r="R602" s="154"/>
      <c r="S602" s="107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ht="18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107"/>
      <c r="R603" s="154"/>
      <c r="S603" s="107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ht="18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107"/>
      <c r="R604" s="154"/>
      <c r="S604" s="107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ht="18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107"/>
      <c r="R605" s="154"/>
      <c r="S605" s="107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ht="18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107"/>
      <c r="R606" s="154"/>
      <c r="S606" s="107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ht="18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107"/>
      <c r="R607" s="154"/>
      <c r="S607" s="107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ht="18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107"/>
      <c r="R608" s="154"/>
      <c r="S608" s="107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ht="18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107"/>
      <c r="R609" s="154"/>
      <c r="S609" s="107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ht="18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107"/>
      <c r="R610" s="154"/>
      <c r="S610" s="107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ht="18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107"/>
      <c r="R611" s="154"/>
      <c r="S611" s="107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ht="18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107"/>
      <c r="R612" s="154"/>
      <c r="S612" s="107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ht="18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107"/>
      <c r="R613" s="154"/>
      <c r="S613" s="107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ht="18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107"/>
      <c r="R614" s="154"/>
      <c r="S614" s="107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ht="18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107"/>
      <c r="R615" s="154"/>
      <c r="S615" s="107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ht="18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107"/>
      <c r="R616" s="154"/>
      <c r="S616" s="107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ht="18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107"/>
      <c r="R617" s="154"/>
      <c r="S617" s="107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ht="18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107"/>
      <c r="R618" s="154"/>
      <c r="S618" s="107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ht="18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107"/>
      <c r="R619" s="154"/>
      <c r="S619" s="107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ht="18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107"/>
      <c r="R620" s="154"/>
      <c r="S620" s="107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ht="18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107"/>
      <c r="R621" s="154"/>
      <c r="S621" s="107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ht="18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107"/>
      <c r="R622" s="154"/>
      <c r="S622" s="107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ht="18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107"/>
      <c r="R623" s="154"/>
      <c r="S623" s="107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ht="18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107"/>
      <c r="R624" s="154"/>
      <c r="S624" s="107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ht="18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107"/>
      <c r="R625" s="154"/>
      <c r="S625" s="107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ht="18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107"/>
      <c r="R626" s="154"/>
      <c r="S626" s="107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ht="18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107"/>
      <c r="R627" s="154"/>
      <c r="S627" s="107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ht="18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107"/>
      <c r="R628" s="154"/>
      <c r="S628" s="107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ht="18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107"/>
      <c r="R629" s="154"/>
      <c r="S629" s="107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ht="18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107"/>
      <c r="R630" s="154"/>
      <c r="S630" s="107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ht="18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107"/>
      <c r="R631" s="154"/>
      <c r="S631" s="107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ht="18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107"/>
      <c r="R632" s="154"/>
      <c r="S632" s="107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ht="18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107"/>
      <c r="R633" s="154"/>
      <c r="S633" s="107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ht="18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107"/>
      <c r="R634" s="154"/>
      <c r="S634" s="107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ht="18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107"/>
      <c r="R635" s="154"/>
      <c r="S635" s="107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ht="18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107"/>
      <c r="R636" s="154"/>
      <c r="S636" s="107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ht="18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107"/>
      <c r="R637" s="154"/>
      <c r="S637" s="107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ht="18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107"/>
      <c r="R638" s="154"/>
      <c r="S638" s="107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ht="18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107"/>
      <c r="R639" s="154"/>
      <c r="S639" s="107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ht="18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107"/>
      <c r="R640" s="154"/>
      <c r="S640" s="107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ht="18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107"/>
      <c r="R641" s="154"/>
      <c r="S641" s="107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ht="18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107"/>
      <c r="R642" s="154"/>
      <c r="S642" s="107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ht="18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107"/>
      <c r="R643" s="154"/>
      <c r="S643" s="107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ht="18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107"/>
      <c r="R644" s="154"/>
      <c r="S644" s="107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ht="18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107"/>
      <c r="R645" s="154"/>
      <c r="S645" s="107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ht="18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107"/>
      <c r="R646" s="154"/>
      <c r="S646" s="107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ht="18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107"/>
      <c r="R647" s="154"/>
      <c r="S647" s="107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ht="18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107"/>
      <c r="R648" s="154"/>
      <c r="S648" s="107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ht="18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107"/>
      <c r="R649" s="154"/>
      <c r="S649" s="107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ht="18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107"/>
      <c r="R650" s="154"/>
      <c r="S650" s="107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ht="18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107"/>
      <c r="R651" s="154"/>
      <c r="S651" s="107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ht="18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107"/>
      <c r="R652" s="154"/>
      <c r="S652" s="107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ht="18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107"/>
      <c r="R653" s="154"/>
      <c r="S653" s="107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ht="18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107"/>
      <c r="R654" s="154"/>
      <c r="S654" s="107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ht="18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107"/>
      <c r="R655" s="154"/>
      <c r="S655" s="107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ht="18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107"/>
      <c r="R656" s="154"/>
      <c r="S656" s="107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ht="18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107"/>
      <c r="R657" s="154"/>
      <c r="S657" s="107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ht="18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107"/>
      <c r="R658" s="154"/>
      <c r="S658" s="107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ht="18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107"/>
      <c r="R659" s="154"/>
      <c r="S659" s="107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ht="18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107"/>
      <c r="R660" s="154"/>
      <c r="S660" s="107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ht="18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107"/>
      <c r="R661" s="154"/>
      <c r="S661" s="107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ht="18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107"/>
      <c r="R662" s="154"/>
      <c r="S662" s="107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ht="18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107"/>
      <c r="R663" s="154"/>
      <c r="S663" s="107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ht="18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107"/>
      <c r="R664" s="154"/>
      <c r="S664" s="107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ht="18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107"/>
      <c r="R665" s="154"/>
      <c r="S665" s="107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ht="18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107"/>
      <c r="R666" s="154"/>
      <c r="S666" s="107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ht="18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107"/>
      <c r="R667" s="154"/>
      <c r="S667" s="107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ht="18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107"/>
      <c r="R668" s="154"/>
      <c r="S668" s="107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ht="18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107"/>
      <c r="R669" s="154"/>
      <c r="S669" s="107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ht="18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107"/>
      <c r="R670" s="154"/>
      <c r="S670" s="107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ht="18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107"/>
      <c r="R671" s="154"/>
      <c r="S671" s="107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ht="18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107"/>
      <c r="R672" s="154"/>
      <c r="S672" s="107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ht="18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107"/>
      <c r="R673" s="154"/>
      <c r="S673" s="107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ht="18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107"/>
      <c r="R674" s="154"/>
      <c r="S674" s="107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ht="18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107"/>
      <c r="R675" s="154"/>
      <c r="S675" s="107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ht="18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107"/>
      <c r="R676" s="154"/>
      <c r="S676" s="107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ht="18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107"/>
      <c r="R677" s="154"/>
      <c r="S677" s="107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ht="18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107"/>
      <c r="R678" s="154"/>
      <c r="S678" s="107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ht="18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107"/>
      <c r="R679" s="154"/>
      <c r="S679" s="107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ht="18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107"/>
      <c r="R680" s="154"/>
      <c r="S680" s="107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ht="18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107"/>
      <c r="R681" s="154"/>
      <c r="S681" s="107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ht="18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107"/>
      <c r="R682" s="154"/>
      <c r="S682" s="107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ht="18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107"/>
      <c r="R683" s="154"/>
      <c r="S683" s="107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ht="18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107"/>
      <c r="R684" s="154"/>
      <c r="S684" s="107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ht="18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107"/>
      <c r="R685" s="154"/>
      <c r="S685" s="107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ht="18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107"/>
      <c r="R686" s="154"/>
      <c r="S686" s="107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ht="18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107"/>
      <c r="R687" s="154"/>
      <c r="S687" s="107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ht="18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107"/>
      <c r="R688" s="154"/>
      <c r="S688" s="107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ht="18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107"/>
      <c r="R689" s="154"/>
      <c r="S689" s="107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ht="18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107"/>
      <c r="R690" s="154"/>
      <c r="S690" s="107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ht="18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107"/>
      <c r="R691" s="154"/>
      <c r="S691" s="107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ht="18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107"/>
      <c r="R692" s="154"/>
      <c r="S692" s="107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ht="18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107"/>
      <c r="R693" s="154"/>
      <c r="S693" s="107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ht="18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107"/>
      <c r="R694" s="154"/>
      <c r="S694" s="107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ht="18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107"/>
      <c r="R695" s="154"/>
      <c r="S695" s="107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ht="18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107"/>
      <c r="R696" s="154"/>
      <c r="S696" s="107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ht="18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107"/>
      <c r="R697" s="154"/>
      <c r="S697" s="107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ht="18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107"/>
      <c r="R698" s="154"/>
      <c r="S698" s="107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ht="18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107"/>
      <c r="R699" s="154"/>
      <c r="S699" s="107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ht="18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107"/>
      <c r="R700" s="154"/>
      <c r="S700" s="107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ht="18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107"/>
      <c r="R701" s="154"/>
      <c r="S701" s="107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ht="18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107"/>
      <c r="R702" s="154"/>
      <c r="S702" s="107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ht="18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107"/>
      <c r="R703" s="154"/>
      <c r="S703" s="107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ht="18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107"/>
      <c r="R704" s="154"/>
      <c r="S704" s="107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ht="18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107"/>
      <c r="R705" s="154"/>
      <c r="S705" s="107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ht="18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107"/>
      <c r="R706" s="154"/>
      <c r="S706" s="107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ht="18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107"/>
      <c r="R707" s="154"/>
      <c r="S707" s="107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ht="18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107"/>
      <c r="R708" s="154"/>
      <c r="S708" s="107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ht="18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107"/>
      <c r="R709" s="154"/>
      <c r="S709" s="107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ht="18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107"/>
      <c r="R710" s="154"/>
      <c r="S710" s="107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ht="18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107"/>
      <c r="R711" s="154"/>
      <c r="S711" s="107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ht="18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107"/>
      <c r="R712" s="154"/>
      <c r="S712" s="107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ht="18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107"/>
      <c r="R713" s="154"/>
      <c r="S713" s="107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ht="18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107"/>
      <c r="R714" s="154"/>
      <c r="S714" s="107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ht="18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107"/>
      <c r="R715" s="154"/>
      <c r="S715" s="107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ht="18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107"/>
      <c r="R716" s="154"/>
      <c r="S716" s="107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ht="18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107"/>
      <c r="R717" s="154"/>
      <c r="S717" s="107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ht="18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107"/>
      <c r="R718" s="154"/>
      <c r="S718" s="107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ht="18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107"/>
      <c r="R719" s="154"/>
      <c r="S719" s="107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ht="18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107"/>
      <c r="R720" s="154"/>
      <c r="S720" s="107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ht="18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107"/>
      <c r="R721" s="154"/>
      <c r="S721" s="107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ht="18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107"/>
      <c r="R722" s="154"/>
      <c r="S722" s="107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ht="18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107"/>
      <c r="R723" s="154"/>
      <c r="S723" s="107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ht="18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107"/>
      <c r="R724" s="154"/>
      <c r="S724" s="107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ht="18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107"/>
      <c r="R725" s="154"/>
      <c r="S725" s="107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ht="18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107"/>
      <c r="R726" s="154"/>
      <c r="S726" s="107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ht="18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107"/>
      <c r="R727" s="154"/>
      <c r="S727" s="107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ht="18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107"/>
      <c r="R728" s="154"/>
      <c r="S728" s="107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ht="18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107"/>
      <c r="R729" s="154"/>
      <c r="S729" s="107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ht="18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107"/>
      <c r="R730" s="154"/>
      <c r="S730" s="107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ht="18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107"/>
      <c r="R731" s="154"/>
      <c r="S731" s="107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ht="18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107"/>
      <c r="R732" s="154"/>
      <c r="S732" s="107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ht="18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107"/>
      <c r="R733" s="154"/>
      <c r="S733" s="107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ht="18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107"/>
      <c r="R734" s="154"/>
      <c r="S734" s="107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ht="18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107"/>
      <c r="R735" s="154"/>
      <c r="S735" s="107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ht="18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107"/>
      <c r="R736" s="154"/>
      <c r="S736" s="107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ht="18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107"/>
      <c r="R737" s="154"/>
      <c r="S737" s="107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ht="18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107"/>
      <c r="R738" s="154"/>
      <c r="S738" s="107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ht="18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107"/>
      <c r="R739" s="154"/>
      <c r="S739" s="107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ht="18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107"/>
      <c r="R740" s="154"/>
      <c r="S740" s="107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ht="18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107"/>
      <c r="R741" s="154"/>
      <c r="S741" s="107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ht="18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107"/>
      <c r="R742" s="154"/>
      <c r="S742" s="107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ht="18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107"/>
      <c r="R743" s="154"/>
      <c r="S743" s="107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ht="18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107"/>
      <c r="R744" s="154"/>
      <c r="S744" s="107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ht="18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107"/>
      <c r="R745" s="154"/>
      <c r="S745" s="107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ht="18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107"/>
      <c r="R746" s="154"/>
      <c r="S746" s="107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ht="18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107"/>
      <c r="R747" s="154"/>
      <c r="S747" s="107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ht="18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107"/>
      <c r="R748" s="154"/>
      <c r="S748" s="107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ht="18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107"/>
      <c r="R749" s="154"/>
      <c r="S749" s="107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ht="18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107"/>
      <c r="R750" s="154"/>
      <c r="S750" s="107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ht="18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107"/>
      <c r="R751" s="154"/>
      <c r="S751" s="107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ht="18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107"/>
      <c r="R752" s="154"/>
      <c r="S752" s="107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ht="18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107"/>
      <c r="R753" s="154"/>
      <c r="S753" s="107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ht="18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107"/>
      <c r="R754" s="154"/>
      <c r="S754" s="107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ht="18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107"/>
      <c r="R755" s="154"/>
      <c r="S755" s="107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ht="18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107"/>
      <c r="R756" s="154"/>
      <c r="S756" s="107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ht="18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107"/>
      <c r="R757" s="154"/>
      <c r="S757" s="107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ht="18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107"/>
      <c r="R758" s="154"/>
      <c r="S758" s="107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ht="18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107"/>
      <c r="R759" s="154"/>
      <c r="S759" s="107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ht="18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107"/>
      <c r="R760" s="154"/>
      <c r="S760" s="107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ht="18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107"/>
      <c r="R761" s="154"/>
      <c r="S761" s="107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ht="18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107"/>
      <c r="R762" s="154"/>
      <c r="S762" s="107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ht="18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107"/>
      <c r="R763" s="154"/>
      <c r="S763" s="107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ht="18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107"/>
      <c r="R764" s="154"/>
      <c r="S764" s="107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ht="18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107"/>
      <c r="R765" s="154"/>
      <c r="S765" s="107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ht="18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107"/>
      <c r="R766" s="154"/>
      <c r="S766" s="107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ht="18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107"/>
      <c r="R767" s="154"/>
      <c r="S767" s="107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ht="18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107"/>
      <c r="R768" s="154"/>
      <c r="S768" s="107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ht="18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107"/>
      <c r="R769" s="154"/>
      <c r="S769" s="107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ht="18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107"/>
      <c r="R770" s="154"/>
      <c r="S770" s="107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ht="18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107"/>
      <c r="R771" s="154"/>
      <c r="S771" s="107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ht="18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107"/>
      <c r="R772" s="154"/>
      <c r="S772" s="107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ht="18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107"/>
      <c r="R773" s="154"/>
      <c r="S773" s="107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ht="18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107"/>
      <c r="R774" s="154"/>
      <c r="S774" s="107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ht="18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107"/>
      <c r="R775" s="154"/>
      <c r="S775" s="107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ht="18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107"/>
      <c r="R776" s="154"/>
      <c r="S776" s="107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ht="18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107"/>
      <c r="R777" s="154"/>
      <c r="S777" s="107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ht="18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107"/>
      <c r="R778" s="154"/>
      <c r="S778" s="107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ht="18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107"/>
      <c r="R779" s="154"/>
      <c r="S779" s="107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ht="18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107"/>
      <c r="R780" s="154"/>
      <c r="S780" s="107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ht="18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107"/>
      <c r="R781" s="154"/>
      <c r="S781" s="107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ht="18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107"/>
      <c r="R782" s="154"/>
      <c r="S782" s="107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ht="18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107"/>
      <c r="R783" s="154"/>
      <c r="S783" s="107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ht="18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107"/>
      <c r="R784" s="154"/>
      <c r="S784" s="107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ht="18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107"/>
      <c r="R785" s="154"/>
      <c r="S785" s="107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ht="18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107"/>
      <c r="R786" s="154"/>
      <c r="S786" s="107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ht="18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107"/>
      <c r="R787" s="154"/>
      <c r="S787" s="107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ht="18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107"/>
      <c r="R788" s="154"/>
      <c r="S788" s="107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ht="18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107"/>
      <c r="R789" s="154"/>
      <c r="S789" s="107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ht="18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107"/>
      <c r="R790" s="154"/>
      <c r="S790" s="107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ht="18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107"/>
      <c r="R791" s="154"/>
      <c r="S791" s="107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ht="18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107"/>
      <c r="R792" s="154"/>
      <c r="S792" s="107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ht="18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107"/>
      <c r="R793" s="154"/>
      <c r="S793" s="107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ht="18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107"/>
      <c r="R794" s="154"/>
      <c r="S794" s="107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ht="18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107"/>
      <c r="R795" s="154"/>
      <c r="S795" s="107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ht="18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107"/>
      <c r="R796" s="154"/>
      <c r="S796" s="107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ht="18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107"/>
      <c r="R797" s="154"/>
      <c r="S797" s="107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ht="18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107"/>
      <c r="R798" s="154"/>
      <c r="S798" s="107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ht="18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107"/>
      <c r="R799" s="154"/>
      <c r="S799" s="107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ht="18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107"/>
      <c r="R800" s="154"/>
      <c r="S800" s="107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ht="18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107"/>
      <c r="R801" s="154"/>
      <c r="S801" s="107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ht="18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107"/>
      <c r="R802" s="154"/>
      <c r="S802" s="107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ht="18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107"/>
      <c r="R803" s="154"/>
      <c r="S803" s="107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ht="18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107"/>
      <c r="R804" s="154"/>
      <c r="S804" s="107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ht="18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107"/>
      <c r="R805" s="154"/>
      <c r="S805" s="107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ht="18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107"/>
      <c r="R806" s="154"/>
      <c r="S806" s="107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ht="18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107"/>
      <c r="R807" s="154"/>
      <c r="S807" s="107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ht="18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107"/>
      <c r="R808" s="154"/>
      <c r="S808" s="107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ht="18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107"/>
      <c r="R809" s="154"/>
      <c r="S809" s="107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ht="18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107"/>
      <c r="R810" s="154"/>
      <c r="S810" s="107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ht="18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107"/>
      <c r="R811" s="154"/>
      <c r="S811" s="107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ht="18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107"/>
      <c r="R812" s="154"/>
      <c r="S812" s="107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ht="18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107"/>
      <c r="R813" s="154"/>
      <c r="S813" s="107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ht="18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107"/>
      <c r="R814" s="154"/>
      <c r="S814" s="107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ht="18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107"/>
      <c r="R815" s="154"/>
      <c r="S815" s="107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ht="18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107"/>
      <c r="R816" s="154"/>
      <c r="S816" s="107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ht="18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107"/>
      <c r="R817" s="154"/>
      <c r="S817" s="107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ht="18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107"/>
      <c r="R818" s="154"/>
      <c r="S818" s="107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ht="18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107"/>
      <c r="R819" s="154"/>
      <c r="S819" s="107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ht="18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107"/>
      <c r="R820" s="154"/>
      <c r="S820" s="107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ht="18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107"/>
      <c r="R821" s="154"/>
      <c r="S821" s="107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ht="18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107"/>
      <c r="R822" s="154"/>
      <c r="S822" s="107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ht="18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107"/>
      <c r="R823" s="154"/>
      <c r="S823" s="107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ht="18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107"/>
      <c r="R824" s="154"/>
      <c r="S824" s="107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ht="18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107"/>
      <c r="R825" s="154"/>
      <c r="S825" s="107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ht="18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107"/>
      <c r="R826" s="154"/>
      <c r="S826" s="107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ht="18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107"/>
      <c r="R827" s="154"/>
      <c r="S827" s="107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ht="18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107"/>
      <c r="R828" s="154"/>
      <c r="S828" s="107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ht="18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107"/>
      <c r="R829" s="154"/>
      <c r="S829" s="107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ht="18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107"/>
      <c r="R830" s="154"/>
      <c r="S830" s="107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ht="18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107"/>
      <c r="R831" s="154"/>
      <c r="S831" s="107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ht="18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107"/>
      <c r="R832" s="154"/>
      <c r="S832" s="107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ht="18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107"/>
      <c r="R833" s="154"/>
      <c r="S833" s="107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ht="18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107"/>
      <c r="R834" s="154"/>
      <c r="S834" s="107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ht="18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107"/>
      <c r="R835" s="154"/>
      <c r="S835" s="107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ht="18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107"/>
      <c r="R836" s="154"/>
      <c r="S836" s="107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ht="18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107"/>
      <c r="R837" s="154"/>
      <c r="S837" s="107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ht="18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107"/>
      <c r="R838" s="154"/>
      <c r="S838" s="107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ht="18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107"/>
      <c r="R839" s="154"/>
      <c r="S839" s="107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ht="18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107"/>
      <c r="R840" s="154"/>
      <c r="S840" s="107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ht="18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107"/>
      <c r="R841" s="154"/>
      <c r="S841" s="107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ht="18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107"/>
      <c r="R842" s="154"/>
      <c r="S842" s="107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ht="18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107"/>
      <c r="R843" s="154"/>
      <c r="S843" s="107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ht="18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107"/>
      <c r="R844" s="154"/>
      <c r="S844" s="107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ht="18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107"/>
      <c r="R845" s="154"/>
      <c r="S845" s="107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ht="18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107"/>
      <c r="R846" s="154"/>
      <c r="S846" s="107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ht="18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107"/>
      <c r="R847" s="154"/>
      <c r="S847" s="107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ht="18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107"/>
      <c r="R848" s="154"/>
      <c r="S848" s="107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ht="18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107"/>
      <c r="R849" s="154"/>
      <c r="S849" s="107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ht="18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107"/>
      <c r="R850" s="154"/>
      <c r="S850" s="107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ht="18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107"/>
      <c r="R851" s="154"/>
      <c r="S851" s="107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ht="18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107"/>
      <c r="R852" s="154"/>
      <c r="S852" s="107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ht="18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107"/>
      <c r="R853" s="154"/>
      <c r="S853" s="107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ht="18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107"/>
      <c r="R854" s="154"/>
      <c r="S854" s="107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ht="18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107"/>
      <c r="R855" s="154"/>
      <c r="S855" s="107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ht="18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107"/>
      <c r="R856" s="154"/>
      <c r="S856" s="107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ht="18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107"/>
      <c r="R857" s="154"/>
      <c r="S857" s="107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ht="18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107"/>
      <c r="R858" s="154"/>
      <c r="S858" s="107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ht="18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107"/>
      <c r="R859" s="154"/>
      <c r="S859" s="107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ht="18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107"/>
      <c r="R860" s="154"/>
      <c r="S860" s="107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ht="18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107"/>
      <c r="R861" s="154"/>
      <c r="S861" s="107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ht="18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107"/>
      <c r="R862" s="154"/>
      <c r="S862" s="107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ht="18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107"/>
      <c r="R863" s="154"/>
      <c r="S863" s="107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ht="18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107"/>
      <c r="R864" s="154"/>
      <c r="S864" s="107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ht="18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107"/>
      <c r="R865" s="154"/>
      <c r="S865" s="107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ht="18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107"/>
      <c r="R866" s="154"/>
      <c r="S866" s="107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ht="18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107"/>
      <c r="R867" s="154"/>
      <c r="S867" s="107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ht="18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107"/>
      <c r="R868" s="154"/>
      <c r="S868" s="107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ht="18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107"/>
      <c r="R869" s="154"/>
      <c r="S869" s="107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ht="18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107"/>
      <c r="R870" s="154"/>
      <c r="S870" s="107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ht="18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107"/>
      <c r="R871" s="154"/>
      <c r="S871" s="107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ht="18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107"/>
      <c r="R872" s="154"/>
      <c r="S872" s="107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ht="18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107"/>
      <c r="R873" s="154"/>
      <c r="S873" s="107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ht="18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107"/>
      <c r="R874" s="154"/>
      <c r="S874" s="107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ht="18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107"/>
      <c r="R875" s="154"/>
      <c r="S875" s="107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ht="18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107"/>
      <c r="R876" s="154"/>
      <c r="S876" s="107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ht="18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107"/>
      <c r="R877" s="154"/>
      <c r="S877" s="107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ht="18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107"/>
      <c r="R878" s="154"/>
      <c r="S878" s="107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ht="18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107"/>
      <c r="R879" s="154"/>
      <c r="S879" s="107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ht="18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107"/>
      <c r="R880" s="154"/>
      <c r="S880" s="107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ht="18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107"/>
      <c r="R881" s="154"/>
      <c r="S881" s="107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ht="18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107"/>
      <c r="R882" s="154"/>
      <c r="S882" s="107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ht="18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107"/>
      <c r="R883" s="154"/>
      <c r="S883" s="107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ht="18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107"/>
      <c r="R884" s="154"/>
      <c r="S884" s="107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ht="18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107"/>
      <c r="R885" s="154"/>
      <c r="S885" s="107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ht="18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107"/>
      <c r="R886" s="154"/>
      <c r="S886" s="107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ht="18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107"/>
      <c r="R887" s="154"/>
      <c r="S887" s="107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ht="18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107"/>
      <c r="R888" s="154"/>
      <c r="S888" s="107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ht="18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107"/>
      <c r="R889" s="154"/>
      <c r="S889" s="107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ht="18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107"/>
      <c r="R890" s="154"/>
      <c r="S890" s="107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ht="18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107"/>
      <c r="R891" s="154"/>
      <c r="S891" s="107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ht="18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107"/>
      <c r="R892" s="154"/>
      <c r="S892" s="107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ht="18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107"/>
      <c r="R893" s="154"/>
      <c r="S893" s="107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ht="18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107"/>
      <c r="R894" s="154"/>
      <c r="S894" s="107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ht="18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107"/>
      <c r="R895" s="154"/>
      <c r="S895" s="107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ht="18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107"/>
      <c r="R896" s="154"/>
      <c r="S896" s="107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ht="18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107"/>
      <c r="R897" s="154"/>
      <c r="S897" s="107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ht="18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107"/>
      <c r="R898" s="154"/>
      <c r="S898" s="107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ht="18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107"/>
      <c r="R899" s="154"/>
      <c r="S899" s="107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ht="18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107"/>
      <c r="R900" s="154"/>
      <c r="S900" s="107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ht="18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107"/>
      <c r="R901" s="154"/>
      <c r="S901" s="107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ht="18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107"/>
      <c r="R902" s="154"/>
      <c r="S902" s="107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ht="18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107"/>
      <c r="R903" s="154"/>
      <c r="S903" s="107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ht="18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107"/>
      <c r="R904" s="154"/>
      <c r="S904" s="107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ht="18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107"/>
      <c r="R905" s="154"/>
      <c r="S905" s="107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ht="18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107"/>
      <c r="R906" s="154"/>
      <c r="S906" s="107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ht="18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107"/>
      <c r="R907" s="154"/>
      <c r="S907" s="107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ht="18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107"/>
      <c r="R908" s="154"/>
      <c r="S908" s="107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ht="18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107"/>
      <c r="R909" s="154"/>
      <c r="S909" s="107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ht="18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107"/>
      <c r="R910" s="154"/>
      <c r="S910" s="107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ht="18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107"/>
      <c r="R911" s="154"/>
      <c r="S911" s="107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ht="18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107"/>
      <c r="R912" s="154"/>
      <c r="S912" s="107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ht="18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107"/>
      <c r="R913" s="154"/>
      <c r="S913" s="107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ht="18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107"/>
      <c r="R914" s="154"/>
      <c r="S914" s="107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ht="18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107"/>
      <c r="R915" s="154"/>
      <c r="S915" s="107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ht="18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107"/>
      <c r="R916" s="154"/>
      <c r="S916" s="107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ht="18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107"/>
      <c r="R917" s="154"/>
      <c r="S917" s="107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ht="18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107"/>
      <c r="R918" s="154"/>
      <c r="S918" s="107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ht="18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107"/>
      <c r="R919" s="154"/>
      <c r="S919" s="107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ht="18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107"/>
      <c r="R920" s="154"/>
      <c r="S920" s="107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ht="18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107"/>
      <c r="R921" s="154"/>
      <c r="S921" s="107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ht="18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107"/>
      <c r="R922" s="154"/>
      <c r="S922" s="107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ht="18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107"/>
      <c r="R923" s="154"/>
      <c r="S923" s="107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ht="18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107"/>
      <c r="R924" s="154"/>
      <c r="S924" s="107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ht="18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107"/>
      <c r="R925" s="154"/>
      <c r="S925" s="107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ht="18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107"/>
      <c r="R926" s="154"/>
      <c r="S926" s="107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ht="18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107"/>
      <c r="R927" s="154"/>
      <c r="S927" s="107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ht="18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107"/>
      <c r="R928" s="154"/>
      <c r="S928" s="107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ht="18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107"/>
      <c r="R929" s="154"/>
      <c r="S929" s="107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ht="18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107"/>
      <c r="R930" s="154"/>
      <c r="S930" s="107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ht="18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107"/>
      <c r="R931" s="154"/>
      <c r="S931" s="107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ht="18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107"/>
      <c r="R932" s="154"/>
      <c r="S932" s="107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ht="18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107"/>
      <c r="R933" s="154"/>
      <c r="S933" s="107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ht="18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107"/>
      <c r="R934" s="154"/>
      <c r="S934" s="107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ht="18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107"/>
      <c r="R935" s="154"/>
      <c r="S935" s="107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ht="18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107"/>
      <c r="R936" s="154"/>
      <c r="S936" s="107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ht="18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107"/>
      <c r="R937" s="154"/>
      <c r="S937" s="107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ht="18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107"/>
      <c r="R938" s="154"/>
      <c r="S938" s="107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ht="18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107"/>
      <c r="R939" s="154"/>
      <c r="S939" s="107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ht="18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107"/>
      <c r="R940" s="154"/>
      <c r="S940" s="107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ht="18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107"/>
      <c r="R941" s="154"/>
      <c r="S941" s="107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ht="18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107"/>
      <c r="R942" s="154"/>
      <c r="S942" s="107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ht="18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107"/>
      <c r="R943" s="154"/>
      <c r="S943" s="107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ht="18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107"/>
      <c r="R944" s="154"/>
      <c r="S944" s="107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ht="18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107"/>
      <c r="R945" s="154"/>
      <c r="S945" s="107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ht="18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107"/>
      <c r="R946" s="154"/>
      <c r="S946" s="107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ht="18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107"/>
      <c r="R947" s="154"/>
      <c r="S947" s="107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ht="18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107"/>
      <c r="R948" s="154"/>
      <c r="S948" s="107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ht="18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107"/>
      <c r="R949" s="154"/>
      <c r="S949" s="107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ht="18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107"/>
      <c r="R950" s="154"/>
      <c r="S950" s="107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ht="18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107"/>
      <c r="R951" s="154"/>
      <c r="S951" s="107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ht="18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107"/>
      <c r="R952" s="154"/>
      <c r="S952" s="107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ht="18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107"/>
      <c r="R953" s="154"/>
      <c r="S953" s="107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ht="18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107"/>
      <c r="R954" s="154"/>
      <c r="S954" s="107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ht="18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107"/>
      <c r="R955" s="154"/>
      <c r="S955" s="107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ht="18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107"/>
      <c r="R956" s="154"/>
      <c r="S956" s="107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ht="18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107"/>
      <c r="R957" s="154"/>
      <c r="S957" s="107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ht="18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107"/>
      <c r="R958" s="154"/>
      <c r="S958" s="107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ht="18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107"/>
      <c r="R959" s="154"/>
      <c r="S959" s="107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ht="18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107"/>
      <c r="R960" s="154"/>
      <c r="S960" s="107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ht="18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107"/>
      <c r="R961" s="154"/>
      <c r="S961" s="107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ht="18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107"/>
      <c r="R962" s="154"/>
      <c r="S962" s="107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ht="18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107"/>
      <c r="R963" s="154"/>
      <c r="S963" s="107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ht="18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107"/>
      <c r="R964" s="154"/>
      <c r="S964" s="107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ht="18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107"/>
      <c r="R965" s="154"/>
      <c r="S965" s="107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ht="18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107"/>
      <c r="R966" s="154"/>
      <c r="S966" s="107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ht="18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107"/>
      <c r="R967" s="154"/>
      <c r="S967" s="107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ht="18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107"/>
      <c r="R968" s="154"/>
      <c r="S968" s="107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ht="18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107"/>
      <c r="R969" s="154"/>
      <c r="S969" s="107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ht="18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107"/>
      <c r="R970" s="154"/>
      <c r="S970" s="107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ht="18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107"/>
      <c r="R971" s="154"/>
      <c r="S971" s="107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ht="18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107"/>
      <c r="R972" s="154"/>
      <c r="S972" s="107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ht="18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107"/>
      <c r="R973" s="154"/>
      <c r="S973" s="107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ht="18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107"/>
      <c r="R974" s="154"/>
      <c r="S974" s="107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ht="18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107"/>
      <c r="R975" s="154"/>
      <c r="S975" s="107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ht="18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107"/>
      <c r="R976" s="154"/>
      <c r="S976" s="107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ht="18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107"/>
      <c r="R977" s="154"/>
      <c r="S977" s="107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ht="18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107"/>
      <c r="R978" s="154"/>
      <c r="S978" s="107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ht="18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107"/>
      <c r="R979" s="154"/>
      <c r="S979" s="107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ht="18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107"/>
      <c r="R980" s="154"/>
      <c r="S980" s="107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ht="18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107"/>
      <c r="R981" s="154"/>
      <c r="S981" s="107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ht="18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107"/>
      <c r="R982" s="154"/>
      <c r="S982" s="107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ht="18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107"/>
      <c r="R983" s="154"/>
      <c r="S983" s="107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ht="18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107"/>
      <c r="R984" s="154"/>
      <c r="S984" s="107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ht="18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107"/>
      <c r="R985" s="154"/>
      <c r="S985" s="107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ht="18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107"/>
      <c r="R986" s="154"/>
      <c r="S986" s="107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ht="18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107"/>
      <c r="R987" s="154"/>
      <c r="S987" s="107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ht="18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107"/>
      <c r="R988" s="154"/>
      <c r="S988" s="107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ht="18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107"/>
      <c r="R989" s="154"/>
      <c r="S989" s="107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ht="18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107"/>
      <c r="R990" s="154"/>
      <c r="S990" s="107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ht="18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107"/>
      <c r="R991" s="154"/>
      <c r="S991" s="107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ht="18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107"/>
      <c r="R992" s="154"/>
      <c r="S992" s="107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ht="18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107"/>
      <c r="R993" s="154"/>
      <c r="S993" s="107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ht="18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107"/>
      <c r="R994" s="154"/>
      <c r="S994" s="107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ht="18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107"/>
      <c r="R995" s="154"/>
      <c r="S995" s="107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ht="18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107"/>
      <c r="R996" s="154"/>
      <c r="S996" s="107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ht="18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107"/>
      <c r="R997" s="154"/>
      <c r="S997" s="107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ht="18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107"/>
      <c r="R998" s="154"/>
      <c r="S998" s="107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ht="18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107"/>
      <c r="R999" s="154"/>
      <c r="S999" s="107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ht="18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107"/>
      <c r="R1000" s="154"/>
      <c r="S1000" s="107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</sheetData>
  <mergeCells count="5">
    <mergeCell ref="A1:X1"/>
    <mergeCell ref="A2:M2"/>
    <mergeCell ref="P2:X2"/>
    <mergeCell ref="A36:M36"/>
    <mergeCell ref="F78:F79"/>
  </mergeCells>
  <printOptions horizontalCentered="1" verticalCentered="1"/>
  <pageMargins bottom="0.0" footer="0.0" header="0.0" left="0.0" right="0.0" top="0.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43"/>
    <col customWidth="1" hidden="1" min="2" max="2" width="8.86"/>
    <col customWidth="1" min="3" max="4" width="14.0"/>
    <col customWidth="1" min="5" max="5" width="14.86"/>
    <col customWidth="1" min="6" max="8" width="14.0"/>
    <col customWidth="1" min="9" max="26" width="8.86"/>
  </cols>
  <sheetData>
    <row r="1">
      <c r="A1" s="4"/>
      <c r="B1" s="59"/>
      <c r="C1" s="59"/>
      <c r="D1" s="59"/>
      <c r="E1" s="59"/>
      <c r="F1" s="59"/>
      <c r="G1" s="59"/>
      <c r="H1" s="84" t="s">
        <v>127</v>
      </c>
    </row>
    <row r="2">
      <c r="A2" s="158" t="s">
        <v>128</v>
      </c>
      <c r="B2" s="159"/>
      <c r="C2" s="158" t="s">
        <v>129</v>
      </c>
      <c r="D2" s="158" t="s">
        <v>130</v>
      </c>
      <c r="E2" s="158" t="s">
        <v>131</v>
      </c>
      <c r="F2" s="158" t="s">
        <v>132</v>
      </c>
      <c r="G2" s="158" t="s">
        <v>133</v>
      </c>
      <c r="H2" s="158" t="s">
        <v>134</v>
      </c>
    </row>
    <row r="3">
      <c r="A3" s="160" t="s">
        <v>135</v>
      </c>
      <c r="B3" s="161"/>
      <c r="C3" s="162">
        <f>'Summary sheet- CONSOLIDATED'!R30*10</f>
        <v>13283.21</v>
      </c>
      <c r="D3" s="162">
        <f>'Summary sheet- CONSOLIDATED'!S30*10</f>
        <v>20290.07</v>
      </c>
      <c r="E3" s="162">
        <f>'Summary sheet- CONSOLIDATED'!T30*10</f>
        <v>16234.42</v>
      </c>
      <c r="F3" s="162">
        <f>'Summary sheet- CONSOLIDATED'!U30*10</f>
        <v>22758.7</v>
      </c>
      <c r="G3" s="162">
        <f>'Summary sheet- CONSOLIDATED'!V30*10</f>
        <v>28693.23</v>
      </c>
      <c r="H3" s="162">
        <f>'Summary sheet- CONSOLIDATED'!W30*10</f>
        <v>36773.37</v>
      </c>
    </row>
    <row r="4">
      <c r="A4" s="160" t="s">
        <v>136</v>
      </c>
      <c r="B4" s="161"/>
      <c r="C4" s="162">
        <f>'Summary sheet- CONSOLIDATED'!R32*10</f>
        <v>13442.4</v>
      </c>
      <c r="D4" s="162">
        <f>'Summary sheet- CONSOLIDATED'!S32*10</f>
        <v>15999.77</v>
      </c>
      <c r="E4" s="162">
        <f>'Summary sheet- CONSOLIDATED'!T32*10</f>
        <v>15143.68</v>
      </c>
      <c r="F4" s="162">
        <f>'Summary sheet- CONSOLIDATED'!U32*10</f>
        <v>18854.66</v>
      </c>
      <c r="G4" s="162">
        <f>'Summary sheet- CONSOLIDATED'!V32*10</f>
        <v>19479.34</v>
      </c>
      <c r="H4" s="162">
        <f>'Summary sheet- CONSOLIDATED'!W32*10</f>
        <v>19003.75</v>
      </c>
    </row>
    <row r="5">
      <c r="A5" s="158" t="s">
        <v>137</v>
      </c>
      <c r="B5" s="159"/>
      <c r="C5" s="163">
        <f t="shared" ref="C5:H5" si="1">C3+C4</f>
        <v>26725.61</v>
      </c>
      <c r="D5" s="163">
        <f t="shared" si="1"/>
        <v>36289.84</v>
      </c>
      <c r="E5" s="163">
        <f t="shared" si="1"/>
        <v>31378.1</v>
      </c>
      <c r="F5" s="163">
        <f t="shared" si="1"/>
        <v>41613.36</v>
      </c>
      <c r="G5" s="163">
        <f t="shared" si="1"/>
        <v>48172.57</v>
      </c>
      <c r="H5" s="163">
        <f t="shared" si="1"/>
        <v>55777.12</v>
      </c>
    </row>
    <row r="6">
      <c r="A6" s="160" t="s">
        <v>138</v>
      </c>
      <c r="B6" s="161"/>
      <c r="C6" s="162">
        <f>'Summary sheet- CONSOLIDATED'!R39*10</f>
        <v>6119.29</v>
      </c>
      <c r="D6" s="162">
        <f>'Summary sheet- CONSOLIDATED'!S39*10</f>
        <v>5350.89</v>
      </c>
      <c r="E6" s="162">
        <f>'Summary sheet- CONSOLIDATED'!T39*10</f>
        <v>5563.47</v>
      </c>
      <c r="F6" s="162">
        <f>'Summary sheet- CONSOLIDATED'!U39*10</f>
        <v>7087.3</v>
      </c>
      <c r="G6" s="162">
        <f>'Summary sheet- CONSOLIDATED'!V39*10</f>
        <v>8116.41</v>
      </c>
      <c r="H6" s="162">
        <f>'Summary sheet- CONSOLIDATED'!W39*10</f>
        <v>8692.33</v>
      </c>
    </row>
    <row r="7">
      <c r="A7" s="158" t="s">
        <v>139</v>
      </c>
      <c r="B7" s="159"/>
      <c r="C7" s="163">
        <f t="shared" ref="C7:H7" si="2">C6</f>
        <v>6119.29</v>
      </c>
      <c r="D7" s="163">
        <f t="shared" si="2"/>
        <v>5350.89</v>
      </c>
      <c r="E7" s="163">
        <f t="shared" si="2"/>
        <v>5563.47</v>
      </c>
      <c r="F7" s="163">
        <f t="shared" si="2"/>
        <v>7087.3</v>
      </c>
      <c r="G7" s="163">
        <f t="shared" si="2"/>
        <v>8116.41</v>
      </c>
      <c r="H7" s="163">
        <f t="shared" si="2"/>
        <v>8692.33</v>
      </c>
    </row>
    <row r="8">
      <c r="A8" s="158" t="s">
        <v>140</v>
      </c>
      <c r="B8" s="161"/>
      <c r="C8" s="163">
        <f t="shared" ref="C8:H8" si="3">C5-C7</f>
        <v>20606.32</v>
      </c>
      <c r="D8" s="163">
        <f t="shared" si="3"/>
        <v>30938.95</v>
      </c>
      <c r="E8" s="163">
        <f t="shared" si="3"/>
        <v>25814.63</v>
      </c>
      <c r="F8" s="163">
        <f t="shared" si="3"/>
        <v>34526.06</v>
      </c>
      <c r="G8" s="163">
        <f t="shared" si="3"/>
        <v>40056.16</v>
      </c>
      <c r="H8" s="163">
        <f t="shared" si="3"/>
        <v>47084.79</v>
      </c>
    </row>
    <row r="9">
      <c r="A9" s="164" t="s">
        <v>141</v>
      </c>
      <c r="B9" s="161"/>
      <c r="C9" s="165"/>
      <c r="D9" s="163">
        <f t="shared" ref="D9:H9" si="4">D8-C8</f>
        <v>10332.63</v>
      </c>
      <c r="E9" s="163">
        <f t="shared" si="4"/>
        <v>-5124.32</v>
      </c>
      <c r="F9" s="163">
        <f t="shared" si="4"/>
        <v>8711.43</v>
      </c>
      <c r="G9" s="163">
        <f t="shared" si="4"/>
        <v>5530.1</v>
      </c>
      <c r="H9" s="163">
        <f t="shared" si="4"/>
        <v>7028.63</v>
      </c>
    </row>
    <row r="10">
      <c r="A10" s="160" t="s">
        <v>142</v>
      </c>
      <c r="B10" s="161"/>
      <c r="C10" s="162">
        <f>('Summary sheet- CONSOLIDATED'!R9+'Summary sheet- CONSOLIDATED'!R11)*10</f>
        <v>3057.65</v>
      </c>
      <c r="D10" s="162">
        <f>('Summary sheet- CONSOLIDATED'!S9+'Summary sheet- CONSOLIDATED'!S11)*10</f>
        <v>2116.47</v>
      </c>
      <c r="E10" s="162">
        <f>('Summary sheet- CONSOLIDATED'!T9+'Summary sheet- CONSOLIDATED'!T11)*10</f>
        <v>762.95</v>
      </c>
      <c r="F10" s="162">
        <f>('Summary sheet- CONSOLIDATED'!U9+'Summary sheet- CONSOLIDATED'!U11)*10</f>
        <v>0</v>
      </c>
      <c r="G10" s="162">
        <f>('Summary sheet- CONSOLIDATED'!V9+'Summary sheet- CONSOLIDATED'!V11)*10+500</f>
        <v>5000</v>
      </c>
      <c r="H10" s="162">
        <f>'Summary sheet- CONSOLIDATED'!W9*10+1336</f>
        <v>4500</v>
      </c>
      <c r="K10" s="166"/>
    </row>
    <row r="11">
      <c r="A11" s="160" t="s">
        <v>143</v>
      </c>
      <c r="B11" s="161"/>
      <c r="C11" s="162">
        <f>'Summary sheet- CONSOLIDATED'!R10*10</f>
        <v>10129.61</v>
      </c>
      <c r="D11" s="162">
        <f>'Summary sheet- CONSOLIDATED'!S10*10</f>
        <v>16223.7</v>
      </c>
      <c r="E11" s="162">
        <f>'Summary sheet- CONSOLIDATED'!T10*10</f>
        <v>4311.07</v>
      </c>
      <c r="F11" s="162">
        <f>'Summary sheet- CONSOLIDATED'!U10*10</f>
        <v>7785.9</v>
      </c>
      <c r="G11" s="162">
        <f>'Summary sheet- CONSOLIDATED'!V10*10-500</f>
        <v>8934.88</v>
      </c>
      <c r="H11" s="162">
        <f>'Summary sheet- CONSOLIDATED'!W10*10-1336</f>
        <v>18384.15</v>
      </c>
    </row>
    <row r="12">
      <c r="A12" s="160" t="s">
        <v>144</v>
      </c>
      <c r="B12" s="161"/>
      <c r="C12" s="162">
        <f>'Summary sheet- CONSOLIDATED'!R33*10</f>
        <v>456.97</v>
      </c>
      <c r="D12" s="162">
        <f>'Summary sheet- CONSOLIDATED'!S33*10</f>
        <v>504.61</v>
      </c>
      <c r="E12" s="162">
        <f>'Summary sheet- CONSOLIDATED'!T33*10</f>
        <v>1729.86</v>
      </c>
      <c r="F12" s="162">
        <f>'Summary sheet- CONSOLIDATED'!U33*10</f>
        <v>1538.68</v>
      </c>
      <c r="G12" s="162">
        <f>'Summary sheet- CONSOLIDATED'!V33*10</f>
        <v>661.24</v>
      </c>
      <c r="H12" s="162">
        <f>'Summary sheet- CONSOLIDATED'!W33*10</f>
        <v>1599.44</v>
      </c>
    </row>
    <row r="13">
      <c r="A13" s="158" t="s">
        <v>145</v>
      </c>
      <c r="B13" s="158"/>
      <c r="C13" s="163">
        <f t="shared" ref="C13:H13" si="5">C10+C11-C12</f>
        <v>12730.29</v>
      </c>
      <c r="D13" s="163">
        <f t="shared" si="5"/>
        <v>17835.56</v>
      </c>
      <c r="E13" s="163">
        <f t="shared" si="5"/>
        <v>3344.16</v>
      </c>
      <c r="F13" s="163">
        <f t="shared" si="5"/>
        <v>6247.22</v>
      </c>
      <c r="G13" s="163">
        <f t="shared" si="5"/>
        <v>13273.64</v>
      </c>
      <c r="H13" s="163">
        <f t="shared" si="5"/>
        <v>21284.71</v>
      </c>
    </row>
    <row r="14">
      <c r="A14" s="164" t="s">
        <v>146</v>
      </c>
      <c r="B14" s="158"/>
      <c r="C14" s="165"/>
      <c r="D14" s="163">
        <f t="shared" ref="D14:H14" si="6">D11-C11</f>
        <v>6094.09</v>
      </c>
      <c r="E14" s="163">
        <f t="shared" si="6"/>
        <v>-11912.63</v>
      </c>
      <c r="F14" s="163">
        <f t="shared" si="6"/>
        <v>3474.83</v>
      </c>
      <c r="G14" s="163">
        <f t="shared" si="6"/>
        <v>1148.98</v>
      </c>
      <c r="H14" s="163">
        <f t="shared" si="6"/>
        <v>9449.27</v>
      </c>
    </row>
    <row r="15">
      <c r="A15" s="164" t="s">
        <v>147</v>
      </c>
      <c r="B15" s="158"/>
      <c r="C15" s="163">
        <f>('Summary sheet- CONSOLIDATED'!D24+'Summary sheet- CONSOLIDATED'!D17)*10</f>
        <v>3980.49</v>
      </c>
      <c r="D15" s="163">
        <f>('Summary sheet- CONSOLIDATED'!E24+'Summary sheet- CONSOLIDATED'!E17)*10</f>
        <v>7495.35</v>
      </c>
      <c r="E15" s="163">
        <f>('Summary sheet- CONSOLIDATED'!F24+'Summary sheet- CONSOLIDATED'!F17)*10</f>
        <v>10520.75</v>
      </c>
      <c r="F15" s="163">
        <f>('Summary sheet- CONSOLIDATED'!J24+'Summary sheet- CONSOLIDATED'!J17)*10</f>
        <v>11939.6</v>
      </c>
      <c r="G15" s="163">
        <f>('Summary sheet- CONSOLIDATED'!K24+'Summary sheet- CONSOLIDATED'!K17)*10</f>
        <v>7031.45</v>
      </c>
      <c r="H15" s="163">
        <f>('Summary sheet- CONSOLIDATED'!L24+'Summary sheet- CONSOLIDATED'!L17)*10</f>
        <v>3917.09</v>
      </c>
    </row>
    <row r="16">
      <c r="A16" s="158" t="s">
        <v>34</v>
      </c>
      <c r="B16" s="158"/>
      <c r="C16" s="163">
        <f>'Summary sheet- CONSOLIDATED'!D13*10</f>
        <v>6474.61</v>
      </c>
      <c r="D16" s="163">
        <f>'Summary sheet- CONSOLIDATED'!E13*10</f>
        <v>11500.85</v>
      </c>
      <c r="E16" s="163">
        <f>'Summary sheet- CONSOLIDATED'!F13*10</f>
        <v>12721.05</v>
      </c>
      <c r="F16" s="163">
        <f>'Summary sheet- CONSOLIDATED'!J13*10</f>
        <v>15507.4</v>
      </c>
      <c r="G16" s="163">
        <f>'Summary sheet- CONSOLIDATED'!K13*10</f>
        <v>9252.74</v>
      </c>
      <c r="H16" s="163">
        <f>'Summary sheet- CONSOLIDATED'!L13*10</f>
        <v>5421.34</v>
      </c>
    </row>
    <row r="17">
      <c r="A17" s="158" t="s">
        <v>148</v>
      </c>
      <c r="B17" s="158"/>
      <c r="C17" s="167">
        <f>'Summary sheet- CONSOLIDATED'!R66</f>
        <v>0.3744000228</v>
      </c>
      <c r="D17" s="167">
        <f>'Summary sheet- CONSOLIDATED'!S66</f>
        <v>0.4518705403</v>
      </c>
      <c r="E17" s="167">
        <f>'Summary sheet- CONSOLIDATED'!T66</f>
        <v>0.06383678714</v>
      </c>
      <c r="F17" s="167">
        <f>'Summary sheet- CONSOLIDATED'!U66</f>
        <v>0.1036233049</v>
      </c>
      <c r="G17" s="167">
        <f>'Summary sheet- CONSOLIDATED'!V66</f>
        <v>0.2146842471</v>
      </c>
      <c r="H17" s="167">
        <f>'Summary sheet- CONSOLIDATED'!W66</f>
        <v>0.3383680874</v>
      </c>
    </row>
    <row r="18">
      <c r="A18" s="158" t="s">
        <v>149</v>
      </c>
      <c r="B18" s="158"/>
      <c r="C18" s="167">
        <f t="shared" ref="C18:G18" si="7">C13/C16</f>
        <v>1.96618638</v>
      </c>
      <c r="D18" s="167">
        <f t="shared" si="7"/>
        <v>1.550803636</v>
      </c>
      <c r="E18" s="167">
        <f t="shared" si="7"/>
        <v>0.2628839601</v>
      </c>
      <c r="F18" s="167">
        <f t="shared" si="7"/>
        <v>0.4028541213</v>
      </c>
      <c r="G18" s="167">
        <f t="shared" si="7"/>
        <v>1.434563167</v>
      </c>
      <c r="H18" s="167">
        <f>H13/(H16/9*12)</f>
        <v>2.944573205</v>
      </c>
    </row>
    <row r="19">
      <c r="A19" s="158" t="s">
        <v>53</v>
      </c>
      <c r="B19" s="158"/>
      <c r="C19" s="163">
        <f>'Summary sheet- CONSOLIDATED'!D24*10</f>
        <v>2498.17</v>
      </c>
      <c r="D19" s="163">
        <f>'Summary sheet- CONSOLIDATED'!E24*10</f>
        <v>5715.64</v>
      </c>
      <c r="E19" s="163">
        <f>'Summary sheet- CONSOLIDATED'!F24*10</f>
        <v>8618.89</v>
      </c>
      <c r="F19" s="163">
        <f>'Summary sheet- CONSOLIDATED'!J24*10</f>
        <v>10193.7</v>
      </c>
      <c r="G19" s="163">
        <f>'Summary sheet- CONSOLIDATED'!K24*10</f>
        <v>5330.23</v>
      </c>
      <c r="H19" s="163">
        <f>'Summary sheet- CONSOLIDATED'!L24*10</f>
        <v>1974.29</v>
      </c>
    </row>
    <row r="20">
      <c r="A20" s="158" t="s">
        <v>150</v>
      </c>
      <c r="B20" s="158"/>
      <c r="C20" s="163">
        <f>('Summary sheet- CONSOLIDATED'!R16+'Summary sheet- CONSOLIDATED'!R17+'Summary sheet- CONSOLIDATED'!D17-'Summary sheet- CONSOLIDATED'!Q16-'Summary sheet- CONSOLIDATED'!Q17)*10</f>
        <v>4397.54</v>
      </c>
      <c r="D20" s="163">
        <f>('Summary sheet- CONSOLIDATED'!S16+'Summary sheet- CONSOLIDATED'!S17+'Summary sheet- CONSOLIDATED'!E17-'Summary sheet- CONSOLIDATED'!R16-'Summary sheet- CONSOLIDATED'!R17)*10</f>
        <v>1441.76</v>
      </c>
      <c r="E20" s="163">
        <f>('Summary sheet- CONSOLIDATED'!T16+'Summary sheet- CONSOLIDATED'!T17+'Summary sheet- CONSOLIDATED'!F17-'Summary sheet- CONSOLIDATED'!S16-'Summary sheet- CONSOLIDATED'!S17)*10</f>
        <v>734.64</v>
      </c>
      <c r="F20" s="163">
        <f>('Summary sheet- CONSOLIDATED'!U16+'Summary sheet- CONSOLIDATED'!U17+'Summary sheet- CONSOLIDATED'!J17-'Summary sheet- CONSOLIDATED'!T16-'Summary sheet- CONSOLIDATED'!T17)*10</f>
        <v>3154.62</v>
      </c>
      <c r="G20" s="163">
        <f>('Summary sheet- CONSOLIDATED'!V16+'Summary sheet- CONSOLIDATED'!V17+'Summary sheet- CONSOLIDATED'!K17-'Summary sheet- CONSOLIDATED'!U16-'Summary sheet- CONSOLIDATED'!U17)*10</f>
        <v>5265.17</v>
      </c>
      <c r="H20" s="168">
        <f>('Summary sheet- CONSOLIDATED'!W16+'Summary sheet- CONSOLIDATED'!W17+'Summary sheet- CONSOLIDATED'!L17-'Summary sheet- CONSOLIDATED'!V16-'Summary sheet- CONSOLIDATED'!V17)*10</f>
        <v>4804.36</v>
      </c>
    </row>
    <row r="21" ht="15.75" customHeight="1">
      <c r="A21" s="9" t="s">
        <v>151</v>
      </c>
      <c r="B21" s="9"/>
      <c r="C21" s="169">
        <v>15000.0</v>
      </c>
      <c r="D21" s="169">
        <v>15000.0</v>
      </c>
      <c r="E21" s="169">
        <v>15000.0</v>
      </c>
      <c r="F21" s="169">
        <v>15000.0</v>
      </c>
      <c r="G21" s="169"/>
      <c r="H21" s="169"/>
    </row>
    <row r="22" ht="15.75" customHeight="1">
      <c r="A22" s="9" t="s">
        <v>152</v>
      </c>
      <c r="B22" s="9"/>
      <c r="C22" s="169">
        <f t="shared" ref="C22:H22" si="8">C13+C21</f>
        <v>27730.29</v>
      </c>
      <c r="D22" s="169">
        <f t="shared" si="8"/>
        <v>32835.56</v>
      </c>
      <c r="E22" s="169">
        <f t="shared" si="8"/>
        <v>18344.16</v>
      </c>
      <c r="F22" s="169">
        <f t="shared" si="8"/>
        <v>21247.22</v>
      </c>
      <c r="G22" s="169">
        <f t="shared" si="8"/>
        <v>13273.64</v>
      </c>
      <c r="H22" s="169">
        <f t="shared" si="8"/>
        <v>21284.71</v>
      </c>
    </row>
    <row r="23" ht="15.75" customHeight="1">
      <c r="A23" s="158" t="s">
        <v>153</v>
      </c>
      <c r="B23" s="9"/>
      <c r="C23" s="68">
        <f t="shared" ref="C23:H23" si="9">C22/C16</f>
        <v>4.282928238</v>
      </c>
      <c r="D23" s="68">
        <f t="shared" si="9"/>
        <v>2.855055061</v>
      </c>
      <c r="E23" s="68">
        <f t="shared" si="9"/>
        <v>1.442031908</v>
      </c>
      <c r="F23" s="68">
        <f t="shared" si="9"/>
        <v>1.370134258</v>
      </c>
      <c r="G23" s="68">
        <f t="shared" si="9"/>
        <v>1.434563167</v>
      </c>
      <c r="H23" s="68">
        <f t="shared" si="9"/>
        <v>3.926097607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71"/>
    <col customWidth="1" min="2" max="2" width="12.43"/>
    <col customWidth="1" min="3" max="3" width="10.71"/>
    <col customWidth="1" min="4" max="4" width="10.0"/>
    <col customWidth="1" min="5" max="5" width="10.43"/>
    <col customWidth="1" min="6" max="6" width="10.0"/>
    <col customWidth="1" min="7" max="26" width="8.86"/>
  </cols>
  <sheetData>
    <row r="1">
      <c r="A1" s="170" t="s">
        <v>154</v>
      </c>
      <c r="B1" s="170"/>
      <c r="E1" s="170" t="s">
        <v>127</v>
      </c>
    </row>
    <row r="2">
      <c r="A2" s="171" t="s">
        <v>155</v>
      </c>
      <c r="B2" s="171" t="s">
        <v>156</v>
      </c>
      <c r="C2" s="171" t="s">
        <v>157</v>
      </c>
      <c r="D2" s="171" t="s">
        <v>158</v>
      </c>
      <c r="E2" s="171" t="s">
        <v>159</v>
      </c>
      <c r="F2" s="171" t="s">
        <v>160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3">
      <c r="A3" s="172" t="s">
        <v>161</v>
      </c>
      <c r="B3" s="173">
        <v>-70.98339399997568</v>
      </c>
      <c r="C3" s="173">
        <v>59.17455229999993</v>
      </c>
      <c r="D3" s="173">
        <v>155.1191292</v>
      </c>
      <c r="E3" s="173">
        <v>201.86</v>
      </c>
      <c r="F3" s="173">
        <f t="shared" ref="F3:F4" si="1">C3+D3+E3+B3</f>
        <v>345.1702875</v>
      </c>
    </row>
    <row r="4">
      <c r="A4" s="172" t="s">
        <v>162</v>
      </c>
      <c r="B4" s="173">
        <v>-56.954009699999986</v>
      </c>
      <c r="C4" s="173">
        <v>83.93071479999999</v>
      </c>
      <c r="D4" s="173">
        <v>107.22000000000001</v>
      </c>
      <c r="E4" s="173">
        <v>75.05</v>
      </c>
      <c r="F4" s="173">
        <f t="shared" si="1"/>
        <v>209.2467051</v>
      </c>
    </row>
    <row r="5">
      <c r="A5" s="171" t="s">
        <v>163</v>
      </c>
      <c r="B5" s="174">
        <f>SUM(B3:B4)</f>
        <v>-127.9374037</v>
      </c>
      <c r="C5" s="174">
        <f t="shared" ref="C5:F5" si="2">C3-C4</f>
        <v>-24.7561625</v>
      </c>
      <c r="D5" s="174">
        <f t="shared" si="2"/>
        <v>47.8991292</v>
      </c>
      <c r="E5" s="174">
        <f t="shared" si="2"/>
        <v>126.81</v>
      </c>
      <c r="F5" s="174">
        <f t="shared" si="2"/>
        <v>135.9235824</v>
      </c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</row>
    <row r="8">
      <c r="A8" s="170" t="s">
        <v>154</v>
      </c>
      <c r="B8" s="170"/>
      <c r="E8" s="170"/>
    </row>
    <row r="9">
      <c r="A9" s="170" t="s">
        <v>164</v>
      </c>
      <c r="B9" s="170"/>
      <c r="E9" s="170" t="s">
        <v>127</v>
      </c>
    </row>
    <row r="10">
      <c r="A10" s="171" t="s">
        <v>155</v>
      </c>
      <c r="B10" s="171" t="s">
        <v>165</v>
      </c>
      <c r="C10" s="171" t="s">
        <v>166</v>
      </c>
      <c r="D10" s="171" t="s">
        <v>167</v>
      </c>
      <c r="E10" s="171" t="s">
        <v>168</v>
      </c>
      <c r="F10" s="171" t="s">
        <v>169</v>
      </c>
      <c r="G10" s="171" t="s">
        <v>170</v>
      </c>
    </row>
    <row r="11">
      <c r="A11" s="172" t="s">
        <v>142</v>
      </c>
      <c r="B11" s="172"/>
      <c r="C11" s="175">
        <v>4833.0</v>
      </c>
      <c r="D11" s="175">
        <v>3833.33</v>
      </c>
      <c r="E11" s="176">
        <v>4166.67</v>
      </c>
      <c r="F11" s="176">
        <v>4500.0</v>
      </c>
      <c r="G11" s="176">
        <v>2900.0</v>
      </c>
    </row>
    <row r="12">
      <c r="A12" s="172" t="s">
        <v>171</v>
      </c>
      <c r="B12" s="177"/>
      <c r="C12" s="178">
        <v>18112.3308276</v>
      </c>
      <c r="D12" s="175">
        <v>13194.044861800001</v>
      </c>
      <c r="E12" s="178">
        <v>15615.950000000003</v>
      </c>
      <c r="F12" s="178">
        <v>9434.88</v>
      </c>
      <c r="G12" s="178">
        <v>8632.147771099999</v>
      </c>
    </row>
    <row r="13">
      <c r="A13" s="171" t="s">
        <v>152</v>
      </c>
      <c r="B13" s="179">
        <f t="shared" ref="B13:G13" si="3">SUM(B11:B12)</f>
        <v>0</v>
      </c>
      <c r="C13" s="179">
        <f t="shared" si="3"/>
        <v>22945.33083</v>
      </c>
      <c r="D13" s="179">
        <f t="shared" si="3"/>
        <v>17027.37486</v>
      </c>
      <c r="E13" s="179">
        <f t="shared" si="3"/>
        <v>19782.62</v>
      </c>
      <c r="F13" s="179">
        <f t="shared" si="3"/>
        <v>13934.88</v>
      </c>
      <c r="G13" s="179">
        <f t="shared" si="3"/>
        <v>11532.14777</v>
      </c>
    </row>
    <row r="14">
      <c r="C14" s="180"/>
    </row>
    <row r="16">
      <c r="A16" s="171" t="s">
        <v>155</v>
      </c>
      <c r="B16" s="171"/>
      <c r="C16" s="171" t="s">
        <v>166</v>
      </c>
      <c r="D16" s="171" t="s">
        <v>167</v>
      </c>
      <c r="E16" s="171" t="s">
        <v>168</v>
      </c>
      <c r="F16" s="171" t="s">
        <v>169</v>
      </c>
      <c r="G16" s="171" t="s">
        <v>170</v>
      </c>
    </row>
    <row r="17">
      <c r="A17" s="172" t="s">
        <v>172</v>
      </c>
      <c r="B17" s="172"/>
      <c r="C17" s="175">
        <v>23907.5286277</v>
      </c>
      <c r="D17" s="175">
        <v>20719.853280099996</v>
      </c>
      <c r="E17" s="176">
        <v>24018.728732099997</v>
      </c>
      <c r="F17" s="176">
        <v>19540.4555794</v>
      </c>
      <c r="G17" s="176">
        <v>18635.286080799997</v>
      </c>
    </row>
    <row r="18">
      <c r="A18" s="172" t="s">
        <v>135</v>
      </c>
      <c r="B18" s="177"/>
      <c r="C18" s="178">
        <v>31295.16788535168</v>
      </c>
      <c r="D18" s="175">
        <v>30615.895392984366</v>
      </c>
      <c r="E18" s="178">
        <v>28618.414048610113</v>
      </c>
      <c r="F18" s="178">
        <v>28693.234940443297</v>
      </c>
      <c r="G18" s="178">
        <v>28621.00512906899</v>
      </c>
    </row>
    <row r="19">
      <c r="A19" s="172" t="s">
        <v>173</v>
      </c>
      <c r="B19" s="175">
        <v>6945.7704791594415</v>
      </c>
      <c r="C19" s="175">
        <v>6945.7704791594415</v>
      </c>
      <c r="D19" s="175">
        <v>8175.0</v>
      </c>
      <c r="E19" s="175">
        <v>7473.606870000002</v>
      </c>
      <c r="F19" s="175">
        <v>8170.0</v>
      </c>
      <c r="G19" s="175">
        <v>7872.0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5" width="9.14"/>
    <col customWidth="1" min="6" max="6" width="11.0"/>
    <col customWidth="1" min="7" max="7" width="9.14"/>
    <col customWidth="1" min="8" max="8" width="8.86"/>
    <col customWidth="1" min="9" max="9" width="13.43"/>
    <col customWidth="1" hidden="1" min="10" max="19" width="8.86"/>
    <col customWidth="1" min="20" max="26" width="8.86"/>
  </cols>
  <sheetData>
    <row r="2">
      <c r="A2" s="170" t="s">
        <v>174</v>
      </c>
      <c r="B2" s="181"/>
      <c r="C2" s="181"/>
      <c r="D2" s="181"/>
      <c r="E2" s="181"/>
      <c r="F2" s="181"/>
      <c r="G2" s="181"/>
      <c r="H2" s="182"/>
      <c r="K2" s="183"/>
    </row>
    <row r="3">
      <c r="A3" s="170" t="s">
        <v>16</v>
      </c>
      <c r="B3" s="181"/>
      <c r="C3" s="181"/>
      <c r="D3" s="181"/>
      <c r="E3" s="181"/>
      <c r="F3" s="181"/>
      <c r="G3" s="181"/>
      <c r="H3" s="170"/>
      <c r="I3" s="170" t="s">
        <v>175</v>
      </c>
    </row>
    <row r="4">
      <c r="A4" s="184" t="s">
        <v>128</v>
      </c>
      <c r="B4" s="185" t="s">
        <v>176</v>
      </c>
      <c r="C4" s="186"/>
      <c r="D4" s="186"/>
      <c r="E4" s="186"/>
      <c r="F4" s="186"/>
      <c r="G4" s="186"/>
      <c r="H4" s="186"/>
      <c r="I4" s="187"/>
      <c r="J4" s="185" t="s">
        <v>177</v>
      </c>
      <c r="K4" s="186"/>
      <c r="L4" s="186"/>
      <c r="M4" s="186"/>
      <c r="N4" s="186"/>
      <c r="O4" s="186"/>
      <c r="P4" s="186"/>
      <c r="Q4" s="187"/>
    </row>
    <row r="5">
      <c r="A5" s="188"/>
      <c r="B5" s="189" t="s">
        <v>178</v>
      </c>
      <c r="C5" s="189" t="s">
        <v>179</v>
      </c>
      <c r="D5" s="189" t="s">
        <v>180</v>
      </c>
      <c r="E5" s="189" t="s">
        <v>179</v>
      </c>
      <c r="F5" s="189" t="s">
        <v>181</v>
      </c>
      <c r="G5" s="189" t="s">
        <v>179</v>
      </c>
      <c r="H5" s="189" t="s">
        <v>160</v>
      </c>
      <c r="I5" s="190" t="s">
        <v>182</v>
      </c>
      <c r="J5" s="189" t="s">
        <v>178</v>
      </c>
      <c r="K5" s="189" t="s">
        <v>179</v>
      </c>
      <c r="L5" s="189" t="s">
        <v>180</v>
      </c>
      <c r="M5" s="189" t="s">
        <v>179</v>
      </c>
      <c r="N5" s="189" t="s">
        <v>181</v>
      </c>
      <c r="O5" s="189" t="s">
        <v>179</v>
      </c>
      <c r="P5" s="189" t="s">
        <v>160</v>
      </c>
      <c r="Q5" s="190" t="s">
        <v>182</v>
      </c>
    </row>
    <row r="6">
      <c r="A6" s="172" t="s">
        <v>183</v>
      </c>
      <c r="B6" s="191">
        <v>85.44999999999999</v>
      </c>
      <c r="C6" s="192">
        <f t="shared" ref="C6:C7" si="1">B6/$B$8</f>
        <v>0.2503002431</v>
      </c>
      <c r="D6" s="191">
        <v>314.0</v>
      </c>
      <c r="E6" s="192">
        <f t="shared" ref="E6:E7" si="2">D6/$D$8</f>
        <v>0.8602739726</v>
      </c>
      <c r="F6" s="191">
        <v>107.05000000000001</v>
      </c>
      <c r="G6" s="192">
        <f t="shared" ref="G6:G7" si="3">F6/$F$8</f>
        <v>0.7698669543</v>
      </c>
      <c r="H6" s="191">
        <f t="shared" ref="H6:H7" si="4">F6+D6+B6</f>
        <v>506.5</v>
      </c>
      <c r="I6" s="193">
        <f>H6/H8</f>
        <v>0.5990963285</v>
      </c>
      <c r="J6" s="191"/>
      <c r="K6" s="192"/>
      <c r="L6" s="191"/>
      <c r="M6" s="192"/>
      <c r="N6" s="191"/>
      <c r="O6" s="192"/>
      <c r="P6" s="191"/>
      <c r="Q6" s="194" t="str">
        <f>P6/P8</f>
        <v>#DIV/0!</v>
      </c>
    </row>
    <row r="7">
      <c r="A7" s="172" t="s">
        <v>184</v>
      </c>
      <c r="B7" s="191">
        <v>255.94</v>
      </c>
      <c r="C7" s="192">
        <f t="shared" si="1"/>
        <v>0.7496997569</v>
      </c>
      <c r="D7" s="191">
        <v>51.0</v>
      </c>
      <c r="E7" s="192">
        <f t="shared" si="2"/>
        <v>0.1397260274</v>
      </c>
      <c r="F7" s="191">
        <v>32.0</v>
      </c>
      <c r="G7" s="192">
        <f t="shared" si="3"/>
        <v>0.2301330457</v>
      </c>
      <c r="H7" s="191">
        <f t="shared" si="4"/>
        <v>338.94</v>
      </c>
      <c r="I7" s="193">
        <f>H7/H8</f>
        <v>0.4009036715</v>
      </c>
      <c r="J7" s="191"/>
      <c r="K7" s="192"/>
      <c r="L7" s="191"/>
      <c r="M7" s="192"/>
      <c r="N7" s="191"/>
      <c r="O7" s="192"/>
      <c r="P7" s="191"/>
      <c r="Q7" s="194" t="str">
        <f>P7/P8</f>
        <v>#DIV/0!</v>
      </c>
    </row>
    <row r="8">
      <c r="A8" s="171" t="s">
        <v>160</v>
      </c>
      <c r="B8" s="189">
        <v>341.39</v>
      </c>
      <c r="C8" s="192"/>
      <c r="D8" s="189">
        <f>SUM(D6:D7)</f>
        <v>365</v>
      </c>
      <c r="E8" s="192"/>
      <c r="F8" s="189">
        <v>139.05</v>
      </c>
      <c r="G8" s="192"/>
      <c r="H8" s="189">
        <f>H6+H7</f>
        <v>845.44</v>
      </c>
      <c r="I8" s="195">
        <f t="shared" ref="I8:O8" si="5">SUM(I6:I7)</f>
        <v>1</v>
      </c>
      <c r="J8" s="189">
        <f t="shared" si="5"/>
        <v>0</v>
      </c>
      <c r="K8" s="192">
        <f t="shared" si="5"/>
        <v>0</v>
      </c>
      <c r="L8" s="189">
        <f t="shared" si="5"/>
        <v>0</v>
      </c>
      <c r="M8" s="192">
        <f t="shared" si="5"/>
        <v>0</v>
      </c>
      <c r="N8" s="189">
        <f t="shared" si="5"/>
        <v>0</v>
      </c>
      <c r="O8" s="192">
        <f t="shared" si="5"/>
        <v>0</v>
      </c>
      <c r="P8" s="189">
        <f>P6+P7</f>
        <v>0</v>
      </c>
      <c r="Q8" s="195" t="str">
        <f>SUM(Q6:Q7)</f>
        <v>#DIV/0!</v>
      </c>
      <c r="U8" s="196">
        <f>845</f>
        <v>845</v>
      </c>
      <c r="V8" s="182">
        <f>H8-U8</f>
        <v>0.44</v>
      </c>
    </row>
    <row r="9">
      <c r="B9" s="197"/>
      <c r="C9" s="198"/>
      <c r="D9" s="198"/>
      <c r="E9" s="198"/>
      <c r="F9" s="197"/>
      <c r="H9" s="198"/>
    </row>
    <row r="10">
      <c r="H10" s="182"/>
    </row>
    <row r="11">
      <c r="A11" s="170" t="s">
        <v>174</v>
      </c>
      <c r="B11" s="181"/>
      <c r="C11" s="181"/>
      <c r="D11" s="181"/>
      <c r="E11" s="181"/>
      <c r="F11" s="181"/>
      <c r="G11" s="181"/>
      <c r="H11" s="181"/>
    </row>
    <row r="12">
      <c r="A12" s="170" t="s">
        <v>185</v>
      </c>
      <c r="B12" s="181"/>
      <c r="C12" s="181"/>
      <c r="D12" s="181"/>
      <c r="E12" s="181"/>
      <c r="F12" s="181"/>
      <c r="G12" s="181"/>
      <c r="H12" s="170"/>
      <c r="I12" s="170" t="s">
        <v>175</v>
      </c>
      <c r="J12" s="170"/>
    </row>
    <row r="13">
      <c r="A13" s="199" t="s">
        <v>128</v>
      </c>
      <c r="B13" s="200" t="s">
        <v>186</v>
      </c>
      <c r="C13" s="186"/>
      <c r="D13" s="186"/>
      <c r="E13" s="186"/>
      <c r="F13" s="186"/>
      <c r="G13" s="186"/>
      <c r="H13" s="186"/>
      <c r="I13" s="187"/>
      <c r="J13" s="200" t="s">
        <v>187</v>
      </c>
      <c r="K13" s="186"/>
      <c r="L13" s="186"/>
      <c r="M13" s="186"/>
      <c r="N13" s="186"/>
      <c r="O13" s="186"/>
      <c r="P13" s="186"/>
      <c r="Q13" s="187"/>
    </row>
    <row r="14">
      <c r="A14" s="188"/>
      <c r="B14" s="200" t="s">
        <v>188</v>
      </c>
      <c r="C14" s="186"/>
      <c r="D14" s="187"/>
      <c r="E14" s="201" t="s">
        <v>179</v>
      </c>
      <c r="F14" s="201" t="s">
        <v>181</v>
      </c>
      <c r="G14" s="201" t="s">
        <v>179</v>
      </c>
      <c r="H14" s="201" t="s">
        <v>160</v>
      </c>
      <c r="I14" s="202" t="s">
        <v>189</v>
      </c>
      <c r="J14" s="201" t="s">
        <v>180</v>
      </c>
      <c r="K14" s="201" t="s">
        <v>179</v>
      </c>
      <c r="L14" s="201" t="s">
        <v>178</v>
      </c>
      <c r="M14" s="201" t="s">
        <v>179</v>
      </c>
      <c r="N14" s="201" t="s">
        <v>181</v>
      </c>
      <c r="O14" s="201" t="s">
        <v>179</v>
      </c>
      <c r="P14" s="201" t="s">
        <v>160</v>
      </c>
      <c r="Q14" s="202" t="s">
        <v>190</v>
      </c>
    </row>
    <row r="15">
      <c r="A15" s="172" t="s">
        <v>183</v>
      </c>
      <c r="B15" s="203">
        <f>630.68-329.24-20-101</f>
        <v>180.44</v>
      </c>
      <c r="C15" s="204"/>
      <c r="D15" s="205"/>
      <c r="E15" s="192">
        <f t="shared" ref="E15:E16" si="6">B15/$B$17</f>
        <v>0.3540260556</v>
      </c>
      <c r="F15" s="191">
        <f>121-20</f>
        <v>101</v>
      </c>
      <c r="G15" s="192">
        <f t="shared" ref="G15:G16" si="7">F15/$F$17</f>
        <v>0.8347107438</v>
      </c>
      <c r="H15" s="191">
        <f t="shared" ref="H15:H16" si="8">B15+F15</f>
        <v>281.44</v>
      </c>
      <c r="I15" s="193">
        <f>H15/H17</f>
        <v>0.4462484937</v>
      </c>
      <c r="J15" s="191"/>
      <c r="K15" s="192"/>
      <c r="L15" s="191"/>
      <c r="M15" s="192"/>
      <c r="N15" s="191"/>
      <c r="O15" s="192"/>
      <c r="P15" s="191"/>
      <c r="Q15" s="194" t="str">
        <f>P15/P17</f>
        <v>#DIV/0!</v>
      </c>
    </row>
    <row r="16">
      <c r="A16" s="172" t="s">
        <v>191</v>
      </c>
      <c r="B16" s="203">
        <v>329.24</v>
      </c>
      <c r="C16" s="204"/>
      <c r="D16" s="205"/>
      <c r="E16" s="192">
        <f t="shared" si="6"/>
        <v>0.6459739444</v>
      </c>
      <c r="F16" s="191">
        <v>20.0</v>
      </c>
      <c r="G16" s="192">
        <f t="shared" si="7"/>
        <v>0.1652892562</v>
      </c>
      <c r="H16" s="191">
        <f t="shared" si="8"/>
        <v>349.24</v>
      </c>
      <c r="I16" s="193">
        <f>H16/H17</f>
        <v>0.5537515063</v>
      </c>
      <c r="J16" s="191"/>
      <c r="K16" s="192"/>
      <c r="L16" s="191"/>
      <c r="M16" s="192"/>
      <c r="N16" s="191"/>
      <c r="O16" s="192"/>
      <c r="P16" s="191"/>
      <c r="Q16" s="194" t="str">
        <f>P16/P17</f>
        <v>#DIV/0!</v>
      </c>
    </row>
    <row r="17">
      <c r="A17" s="171" t="s">
        <v>160</v>
      </c>
      <c r="B17" s="203">
        <f>SUM(B15+B16)</f>
        <v>509.68</v>
      </c>
      <c r="C17" s="204"/>
      <c r="D17" s="205"/>
      <c r="E17" s="192"/>
      <c r="F17" s="189">
        <f>SUM(F15:F16)</f>
        <v>121</v>
      </c>
      <c r="G17" s="192"/>
      <c r="H17" s="189">
        <f t="shared" ref="H17:Q17" si="9">SUM(H15:H16)</f>
        <v>630.68</v>
      </c>
      <c r="I17" s="195">
        <f t="shared" si="9"/>
        <v>1</v>
      </c>
      <c r="J17" s="189">
        <f t="shared" si="9"/>
        <v>0</v>
      </c>
      <c r="K17" s="192">
        <f t="shared" si="9"/>
        <v>0</v>
      </c>
      <c r="L17" s="189">
        <f t="shared" si="9"/>
        <v>0</v>
      </c>
      <c r="M17" s="192">
        <f t="shared" si="9"/>
        <v>0</v>
      </c>
      <c r="N17" s="189">
        <f t="shared" si="9"/>
        <v>0</v>
      </c>
      <c r="O17" s="192">
        <f t="shared" si="9"/>
        <v>0</v>
      </c>
      <c r="P17" s="189">
        <f t="shared" si="9"/>
        <v>0</v>
      </c>
      <c r="Q17" s="195" t="str">
        <f t="shared" si="9"/>
        <v>#DIV/0!</v>
      </c>
    </row>
    <row r="20" hidden="1">
      <c r="A20" s="170" t="s">
        <v>174</v>
      </c>
      <c r="B20" s="181"/>
      <c r="C20" s="181"/>
      <c r="D20" s="181"/>
      <c r="E20" s="181"/>
      <c r="F20" s="181"/>
      <c r="G20" s="181"/>
      <c r="H20" s="181"/>
    </row>
    <row r="21" ht="15.75" hidden="1" customHeight="1">
      <c r="A21" s="170" t="str">
        <f>A3</f>
        <v>Revenue from Operations</v>
      </c>
      <c r="B21" s="181"/>
      <c r="C21" s="181"/>
      <c r="D21" s="181"/>
      <c r="E21" s="181"/>
      <c r="F21" s="181"/>
      <c r="G21" s="181"/>
      <c r="H21" s="170" t="s">
        <v>127</v>
      </c>
      <c r="J21" s="170"/>
    </row>
    <row r="22" ht="15.75" hidden="1" customHeight="1">
      <c r="A22" s="199" t="s">
        <v>128</v>
      </c>
      <c r="B22" s="200" t="s">
        <v>192</v>
      </c>
      <c r="C22" s="186"/>
      <c r="D22" s="186"/>
      <c r="E22" s="186"/>
      <c r="F22" s="186"/>
      <c r="G22" s="186"/>
      <c r="H22" s="186"/>
      <c r="I22" s="187"/>
      <c r="J22" s="200" t="s">
        <v>193</v>
      </c>
      <c r="K22" s="186"/>
      <c r="L22" s="186"/>
      <c r="M22" s="186"/>
      <c r="N22" s="186"/>
      <c r="O22" s="186"/>
      <c r="P22" s="186"/>
      <c r="Q22" s="187"/>
    </row>
    <row r="23" ht="15.75" hidden="1" customHeight="1">
      <c r="A23" s="188"/>
      <c r="B23" s="201" t="s">
        <v>180</v>
      </c>
      <c r="C23" s="201" t="s">
        <v>179</v>
      </c>
      <c r="D23" s="201" t="s">
        <v>178</v>
      </c>
      <c r="E23" s="201" t="s">
        <v>179</v>
      </c>
      <c r="F23" s="201" t="s">
        <v>181</v>
      </c>
      <c r="G23" s="201" t="s">
        <v>179</v>
      </c>
      <c r="H23" s="201" t="s">
        <v>160</v>
      </c>
      <c r="I23" s="202" t="s">
        <v>190</v>
      </c>
      <c r="J23" s="201" t="s">
        <v>180</v>
      </c>
      <c r="K23" s="201" t="s">
        <v>179</v>
      </c>
      <c r="L23" s="201" t="s">
        <v>178</v>
      </c>
      <c r="M23" s="201" t="s">
        <v>179</v>
      </c>
      <c r="N23" s="201" t="s">
        <v>181</v>
      </c>
      <c r="O23" s="201" t="s">
        <v>179</v>
      </c>
      <c r="P23" s="201" t="s">
        <v>160</v>
      </c>
      <c r="Q23" s="202" t="s">
        <v>190</v>
      </c>
    </row>
    <row r="24" ht="15.75" hidden="1" customHeight="1">
      <c r="A24" s="172" t="s">
        <v>183</v>
      </c>
      <c r="B24" s="191">
        <v>8534.988328750002</v>
      </c>
      <c r="C24" s="192"/>
      <c r="D24" s="191">
        <v>2334.0</v>
      </c>
      <c r="E24" s="192"/>
      <c r="F24" s="191"/>
      <c r="G24" s="192"/>
      <c r="H24" s="191"/>
      <c r="I24" s="193" t="str">
        <f>H24/H26</f>
        <v>#DIV/0!</v>
      </c>
      <c r="J24" s="191"/>
      <c r="K24" s="192"/>
      <c r="L24" s="191"/>
      <c r="M24" s="192"/>
      <c r="N24" s="191"/>
      <c r="O24" s="192"/>
      <c r="P24" s="191"/>
      <c r="Q24" s="194" t="str">
        <f>P24/P26</f>
        <v>#DIV/0!</v>
      </c>
    </row>
    <row r="25" ht="15.75" hidden="1" customHeight="1">
      <c r="A25" s="172" t="s">
        <v>191</v>
      </c>
      <c r="B25" s="191">
        <v>922.1335767000002</v>
      </c>
      <c r="C25" s="192"/>
      <c r="D25" s="191">
        <v>5010.0</v>
      </c>
      <c r="E25" s="192"/>
      <c r="F25" s="191"/>
      <c r="G25" s="192"/>
      <c r="H25" s="191"/>
      <c r="I25" s="193" t="str">
        <f>H25/H26</f>
        <v>#DIV/0!</v>
      </c>
      <c r="J25" s="191"/>
      <c r="K25" s="192"/>
      <c r="L25" s="191"/>
      <c r="M25" s="192"/>
      <c r="N25" s="191"/>
      <c r="O25" s="192"/>
      <c r="P25" s="191"/>
      <c r="Q25" s="194" t="str">
        <f>P25/P26</f>
        <v>#DIV/0!</v>
      </c>
    </row>
    <row r="26" ht="15.75" hidden="1" customHeight="1">
      <c r="A26" s="171" t="s">
        <v>160</v>
      </c>
      <c r="B26" s="189">
        <f t="shared" ref="B26:Q26" si="10">SUM(B24:B25)</f>
        <v>9457.121905</v>
      </c>
      <c r="C26" s="192">
        <f t="shared" si="10"/>
        <v>0</v>
      </c>
      <c r="D26" s="189">
        <f t="shared" si="10"/>
        <v>7344</v>
      </c>
      <c r="E26" s="192">
        <f t="shared" si="10"/>
        <v>0</v>
      </c>
      <c r="F26" s="189">
        <f t="shared" si="10"/>
        <v>0</v>
      </c>
      <c r="G26" s="192">
        <f t="shared" si="10"/>
        <v>0</v>
      </c>
      <c r="H26" s="189">
        <f t="shared" si="10"/>
        <v>0</v>
      </c>
      <c r="I26" s="195" t="str">
        <f t="shared" si="10"/>
        <v>#DIV/0!</v>
      </c>
      <c r="J26" s="189">
        <f t="shared" si="10"/>
        <v>0</v>
      </c>
      <c r="K26" s="192">
        <f t="shared" si="10"/>
        <v>0</v>
      </c>
      <c r="L26" s="189">
        <f t="shared" si="10"/>
        <v>0</v>
      </c>
      <c r="M26" s="192">
        <f t="shared" si="10"/>
        <v>0</v>
      </c>
      <c r="N26" s="189">
        <f t="shared" si="10"/>
        <v>0</v>
      </c>
      <c r="O26" s="192">
        <f t="shared" si="10"/>
        <v>0</v>
      </c>
      <c r="P26" s="189">
        <f t="shared" si="10"/>
        <v>0</v>
      </c>
      <c r="Q26" s="195" t="str">
        <f t="shared" si="10"/>
        <v>#DIV/0!</v>
      </c>
    </row>
    <row r="27" ht="15.75" hidden="1" customHeight="1"/>
    <row r="28" ht="15.75" hidden="1" customHeight="1"/>
    <row r="29" ht="15.75" hidden="1" customHeight="1"/>
    <row r="30" ht="15.75" hidden="1" customHeight="1">
      <c r="A30" s="170" t="s">
        <v>174</v>
      </c>
      <c r="B30" s="181"/>
      <c r="C30" s="181"/>
      <c r="D30" s="181"/>
      <c r="E30" s="181"/>
      <c r="F30" s="181"/>
      <c r="G30" s="181"/>
      <c r="H30" s="181"/>
    </row>
    <row r="31" ht="15.75" hidden="1" customHeight="1">
      <c r="A31" s="170" t="s">
        <v>194</v>
      </c>
      <c r="B31" s="181"/>
      <c r="C31" s="181"/>
      <c r="D31" s="181"/>
      <c r="E31" s="181"/>
      <c r="F31" s="181"/>
      <c r="G31" s="181"/>
      <c r="H31" s="170" t="s">
        <v>127</v>
      </c>
      <c r="J31" s="170"/>
    </row>
    <row r="32" ht="15.75" hidden="1" customHeight="1">
      <c r="A32" s="199" t="s">
        <v>128</v>
      </c>
      <c r="B32" s="200" t="s">
        <v>192</v>
      </c>
      <c r="C32" s="186"/>
      <c r="D32" s="186"/>
      <c r="E32" s="186"/>
      <c r="F32" s="186"/>
      <c r="G32" s="186"/>
      <c r="H32" s="186"/>
      <c r="I32" s="187"/>
      <c r="J32" s="200" t="s">
        <v>193</v>
      </c>
      <c r="K32" s="186"/>
      <c r="L32" s="186"/>
      <c r="M32" s="186"/>
      <c r="N32" s="186"/>
      <c r="O32" s="186"/>
      <c r="P32" s="186"/>
      <c r="Q32" s="187"/>
    </row>
    <row r="33" ht="15.75" hidden="1" customHeight="1">
      <c r="A33" s="188"/>
      <c r="B33" s="200" t="s">
        <v>188</v>
      </c>
      <c r="C33" s="186"/>
      <c r="D33" s="187"/>
      <c r="E33" s="201" t="s">
        <v>179</v>
      </c>
      <c r="F33" s="201" t="s">
        <v>181</v>
      </c>
      <c r="G33" s="201" t="s">
        <v>179</v>
      </c>
      <c r="H33" s="201" t="s">
        <v>160</v>
      </c>
      <c r="I33" s="202" t="s">
        <v>190</v>
      </c>
      <c r="J33" s="201" t="s">
        <v>180</v>
      </c>
      <c r="K33" s="201" t="s">
        <v>179</v>
      </c>
      <c r="L33" s="201" t="s">
        <v>178</v>
      </c>
      <c r="M33" s="201" t="s">
        <v>179</v>
      </c>
      <c r="N33" s="201" t="s">
        <v>181</v>
      </c>
      <c r="O33" s="201" t="s">
        <v>179</v>
      </c>
      <c r="P33" s="201" t="s">
        <v>160</v>
      </c>
      <c r="Q33" s="202" t="s">
        <v>190</v>
      </c>
    </row>
    <row r="34" ht="15.75" hidden="1" customHeight="1">
      <c r="A34" s="172" t="s">
        <v>183</v>
      </c>
      <c r="B34" s="203"/>
      <c r="C34" s="204"/>
      <c r="D34" s="205"/>
      <c r="E34" s="192"/>
      <c r="F34" s="191"/>
      <c r="G34" s="192"/>
      <c r="H34" s="191"/>
      <c r="I34" s="193" t="str">
        <f>H34/H36</f>
        <v>#DIV/0!</v>
      </c>
      <c r="J34" s="191"/>
      <c r="K34" s="192"/>
      <c r="L34" s="191"/>
      <c r="M34" s="192"/>
      <c r="N34" s="191"/>
      <c r="O34" s="192"/>
      <c r="P34" s="191"/>
      <c r="Q34" s="194" t="str">
        <f>P34/P36</f>
        <v>#DIV/0!</v>
      </c>
    </row>
    <row r="35" ht="15.75" hidden="1" customHeight="1">
      <c r="A35" s="172" t="s">
        <v>191</v>
      </c>
      <c r="B35" s="203"/>
      <c r="C35" s="204"/>
      <c r="D35" s="205"/>
      <c r="E35" s="192"/>
      <c r="F35" s="191"/>
      <c r="G35" s="192"/>
      <c r="H35" s="191"/>
      <c r="I35" s="193" t="str">
        <f>H35/H36</f>
        <v>#DIV/0!</v>
      </c>
      <c r="J35" s="191"/>
      <c r="K35" s="192"/>
      <c r="L35" s="191"/>
      <c r="M35" s="192"/>
      <c r="N35" s="191"/>
      <c r="O35" s="192"/>
      <c r="P35" s="191"/>
      <c r="Q35" s="194" t="str">
        <f>P35/P36</f>
        <v>#DIV/0!</v>
      </c>
    </row>
    <row r="36" ht="15.75" hidden="1" customHeight="1">
      <c r="A36" s="171" t="s">
        <v>160</v>
      </c>
      <c r="B36" s="203">
        <f>SUM(B34+B35)</f>
        <v>0</v>
      </c>
      <c r="C36" s="204"/>
      <c r="D36" s="205"/>
      <c r="E36" s="192">
        <f t="shared" ref="E36:Q36" si="11">SUM(E34:E35)</f>
        <v>0</v>
      </c>
      <c r="F36" s="189">
        <f t="shared" si="11"/>
        <v>0</v>
      </c>
      <c r="G36" s="192">
        <f t="shared" si="11"/>
        <v>0</v>
      </c>
      <c r="H36" s="189">
        <f t="shared" si="11"/>
        <v>0</v>
      </c>
      <c r="I36" s="195" t="str">
        <f t="shared" si="11"/>
        <v>#DIV/0!</v>
      </c>
      <c r="J36" s="189">
        <f t="shared" si="11"/>
        <v>0</v>
      </c>
      <c r="K36" s="192">
        <f t="shared" si="11"/>
        <v>0</v>
      </c>
      <c r="L36" s="189">
        <f t="shared" si="11"/>
        <v>0</v>
      </c>
      <c r="M36" s="192">
        <f t="shared" si="11"/>
        <v>0</v>
      </c>
      <c r="N36" s="189">
        <f t="shared" si="11"/>
        <v>0</v>
      </c>
      <c r="O36" s="192">
        <f t="shared" si="11"/>
        <v>0</v>
      </c>
      <c r="P36" s="189">
        <f t="shared" si="11"/>
        <v>0</v>
      </c>
      <c r="Q36" s="195" t="str">
        <f t="shared" si="11"/>
        <v>#DIV/0!</v>
      </c>
    </row>
    <row r="37" ht="15.75" hidden="1" customHeight="1"/>
    <row r="38" ht="15.75" hidden="1" customHeight="1"/>
    <row r="39" ht="15.75" hidden="1" customHeight="1"/>
    <row r="40" ht="15.75" hidden="1" customHeight="1"/>
    <row r="41" ht="15.75" hidden="1" customHeight="1"/>
    <row r="42" ht="15.75" hidden="1" customHeight="1"/>
    <row r="43" ht="15.75" hidden="1" customHeight="1"/>
    <row r="44" ht="15.75" hidden="1" customHeight="1"/>
    <row r="45" ht="15.75" hidden="1" customHeight="1"/>
    <row r="46" ht="15.75" hidden="1" customHeight="1"/>
    <row r="47" ht="15.75" hidden="1" customHeight="1"/>
    <row r="48" ht="15.75" hidden="1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4:A5"/>
    <mergeCell ref="B4:I4"/>
    <mergeCell ref="J4:Q4"/>
    <mergeCell ref="A13:A14"/>
    <mergeCell ref="B13:I13"/>
    <mergeCell ref="J13:Q13"/>
    <mergeCell ref="B14:D14"/>
    <mergeCell ref="B32:I32"/>
    <mergeCell ref="J32:Q32"/>
    <mergeCell ref="B33:D33"/>
    <mergeCell ref="B34:D34"/>
    <mergeCell ref="B35:D35"/>
    <mergeCell ref="B36:D36"/>
    <mergeCell ref="B15:D15"/>
    <mergeCell ref="B16:D16"/>
    <mergeCell ref="B17:D17"/>
    <mergeCell ref="A22:A23"/>
    <mergeCell ref="B22:I22"/>
    <mergeCell ref="J22:Q22"/>
    <mergeCell ref="A32:A33"/>
  </mergeCells>
  <printOptions/>
  <pageMargins bottom="0.75" footer="0.0" header="0.0" left="0.7" right="0.7" top="0.75"/>
  <pageSetup orientation="landscape"/>
  <drawing r:id="rId1"/>
</worksheet>
</file>