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Yuvraj Laptop\summary sheet\Q3-FY25\ION\"/>
    </mc:Choice>
  </mc:AlternateContent>
  <bookViews>
    <workbookView xWindow="0" yWindow="0" windowWidth="23040" windowHeight="9072" tabRatio="766"/>
  </bookViews>
  <sheets>
    <sheet name="Summary_Sheet_Cons" sheetId="1" r:id="rId1"/>
    <sheet name="Workings" sheetId="8" state="hidden" r:id="rId2"/>
    <sheet name="Peer Analysis" sheetId="9" state="hidden" r:id="rId3"/>
    <sheet name="Segmental" sheetId="10" state="hidden" r:id="rId4"/>
  </sheets>
  <externalReferences>
    <externalReference r:id="rId5"/>
  </externalReferences>
  <definedNames>
    <definedName name="_xlnm.Print_Area" localSheetId="0">Summary_Sheet_Cons!$B$2:$AI$78</definedName>
  </definedNames>
  <calcPr calcId="162913"/>
</workbook>
</file>

<file path=xl/calcChain.xml><?xml version="1.0" encoding="utf-8"?>
<calcChain xmlns="http://schemas.openxmlformats.org/spreadsheetml/2006/main">
  <c r="AJ65" i="1" l="1"/>
  <c r="AJ62" i="1"/>
  <c r="AL62" i="1"/>
  <c r="T29" i="1"/>
  <c r="T9" i="1" l="1"/>
  <c r="AJ19" i="1" l="1"/>
  <c r="AJ20" i="1"/>
  <c r="AB47" i="1" l="1"/>
  <c r="AC47" i="1"/>
  <c r="AD47" i="1"/>
  <c r="AE47" i="1"/>
  <c r="AF47" i="1"/>
  <c r="AF56" i="1" s="1"/>
  <c r="AG47" i="1"/>
  <c r="AH47" i="1"/>
  <c r="AI47" i="1"/>
  <c r="AJ47" i="1"/>
  <c r="AJ56" i="1" s="1"/>
  <c r="AA47" i="1"/>
  <c r="AB40" i="1"/>
  <c r="AC40" i="1"/>
  <c r="AD40" i="1"/>
  <c r="AF40" i="1"/>
  <c r="AG40" i="1"/>
  <c r="AH40" i="1"/>
  <c r="AI40" i="1"/>
  <c r="AJ40" i="1"/>
  <c r="AJ41" i="1"/>
  <c r="AJ15" i="1"/>
  <c r="AJ7" i="1"/>
  <c r="AJ10" i="1"/>
  <c r="T55" i="1" s="1"/>
  <c r="AJ29" i="1"/>
  <c r="T53" i="1"/>
  <c r="T54" i="1" s="1"/>
  <c r="T56" i="1"/>
  <c r="T49" i="1"/>
  <c r="T51" i="1" s="1"/>
  <c r="S41" i="1"/>
  <c r="S46" i="1" s="1"/>
  <c r="T41" i="1" s="1"/>
  <c r="S45" i="1"/>
  <c r="T45" i="1"/>
  <c r="T6" i="1"/>
  <c r="AJ55" i="1" l="1"/>
  <c r="AJ12" i="1" s="1"/>
  <c r="AJ54" i="1"/>
  <c r="T57" i="1"/>
  <c r="T15" i="1"/>
  <c r="T22" i="1" s="1"/>
  <c r="AJ13" i="1" l="1"/>
  <c r="T18" i="1"/>
  <c r="T26" i="1"/>
  <c r="T25" i="1"/>
  <c r="AI62" i="1"/>
  <c r="S54" i="1"/>
  <c r="AI73" i="1"/>
  <c r="R45" i="1"/>
  <c r="AH29" i="1" l="1"/>
  <c r="T30" i="1" l="1"/>
  <c r="T34" i="1"/>
  <c r="AH55" i="1"/>
  <c r="AI29" i="1"/>
  <c r="AI15" i="1"/>
  <c r="AH15" i="1"/>
  <c r="AI10" i="1"/>
  <c r="AI75" i="1" s="1"/>
  <c r="AH10" i="1"/>
  <c r="AH75" i="1" s="1"/>
  <c r="S37" i="1"/>
  <c r="R37" i="1"/>
  <c r="S36" i="1"/>
  <c r="R36" i="1"/>
  <c r="AH12" i="1" l="1"/>
  <c r="R55" i="1"/>
  <c r="AI65" i="1"/>
  <c r="Q36" i="1" l="1"/>
  <c r="S6" i="1"/>
  <c r="AI68" i="1" s="1"/>
  <c r="AI74" i="1" l="1"/>
  <c r="S9" i="1"/>
  <c r="S56" i="1"/>
  <c r="AH62" i="1"/>
  <c r="AI55" i="1" l="1"/>
  <c r="AI12" i="1" s="1"/>
  <c r="AI7" i="1"/>
  <c r="S49" i="1"/>
  <c r="S51" i="1" s="1"/>
  <c r="T46" i="1"/>
  <c r="AI63" i="1" l="1"/>
  <c r="AI56" i="1"/>
  <c r="AI54" i="1"/>
  <c r="AI66" i="1"/>
  <c r="AI72" i="1"/>
  <c r="AI71" i="1"/>
  <c r="S55" i="1"/>
  <c r="S57" i="1" s="1"/>
  <c r="AH61" i="1"/>
  <c r="AH73" i="1" s="1"/>
  <c r="AG61" i="1"/>
  <c r="AF61" i="1"/>
  <c r="AE61" i="1"/>
  <c r="AD62" i="1"/>
  <c r="AC61" i="1"/>
  <c r="AB61" i="1"/>
  <c r="AA61" i="1"/>
  <c r="AG62" i="1"/>
  <c r="AH65" i="1" l="1"/>
  <c r="R54" i="1"/>
  <c r="AI13" i="1"/>
  <c r="K54" i="1"/>
  <c r="L54" i="1"/>
  <c r="P54" i="1"/>
  <c r="Q54" i="1"/>
  <c r="N54" i="1"/>
  <c r="O54" i="1"/>
  <c r="M54" i="1"/>
  <c r="S15" i="1"/>
  <c r="AI67" i="1" s="1"/>
  <c r="S18" i="1" l="1"/>
  <c r="S22" i="1"/>
  <c r="D25" i="10"/>
  <c r="F24" i="10"/>
  <c r="D24" i="10"/>
  <c r="F23" i="10"/>
  <c r="D23" i="10"/>
  <c r="F22" i="10"/>
  <c r="D22" i="10"/>
  <c r="F21" i="10"/>
  <c r="D21" i="10"/>
  <c r="F20" i="10"/>
  <c r="D20" i="10"/>
  <c r="D17" i="10"/>
  <c r="F16" i="10"/>
  <c r="D16" i="10"/>
  <c r="F15" i="10"/>
  <c r="D15" i="10"/>
  <c r="F14" i="10"/>
  <c r="D14" i="10"/>
  <c r="F13" i="10"/>
  <c r="D13" i="10"/>
  <c r="F12" i="10"/>
  <c r="D12" i="10"/>
  <c r="D8" i="10"/>
  <c r="F7" i="10"/>
  <c r="D7" i="10"/>
  <c r="F6" i="10"/>
  <c r="D6" i="10"/>
  <c r="F5" i="10"/>
  <c r="D5" i="10"/>
  <c r="F4" i="10"/>
  <c r="D4" i="10"/>
  <c r="F3" i="10"/>
  <c r="D3" i="10"/>
  <c r="B47" i="9"/>
  <c r="B46" i="9"/>
  <c r="B45" i="9"/>
  <c r="B44" i="9"/>
  <c r="M43" i="9"/>
  <c r="L43" i="9"/>
  <c r="H29" i="9" s="1"/>
  <c r="K43" i="9"/>
  <c r="C42" i="9"/>
  <c r="F41" i="9"/>
  <c r="D41" i="9"/>
  <c r="C41" i="9"/>
  <c r="F39" i="9"/>
  <c r="F40" i="9" s="1"/>
  <c r="E39" i="9"/>
  <c r="E40" i="9" s="1"/>
  <c r="D39" i="9"/>
  <c r="D40" i="9" s="1"/>
  <c r="C39" i="9"/>
  <c r="C40" i="9" s="1"/>
  <c r="C34" i="9" s="1"/>
  <c r="B38" i="9"/>
  <c r="F35" i="9"/>
  <c r="E35" i="9"/>
  <c r="D35" i="9"/>
  <c r="F32" i="9"/>
  <c r="E32" i="9"/>
  <c r="D32" i="9"/>
  <c r="C32" i="9"/>
  <c r="F25" i="9"/>
  <c r="E25" i="9"/>
  <c r="D25" i="9"/>
  <c r="C25" i="9"/>
  <c r="B24" i="9"/>
  <c r="F20" i="9"/>
  <c r="B20" i="9"/>
  <c r="J19" i="9"/>
  <c r="F19" i="9"/>
  <c r="B19" i="9"/>
  <c r="E18" i="9"/>
  <c r="D18" i="9"/>
  <c r="D51" i="9" s="1"/>
  <c r="C18" i="9"/>
  <c r="C51" i="9" s="1"/>
  <c r="J17" i="9"/>
  <c r="B13" i="9"/>
  <c r="F12" i="9"/>
  <c r="E12" i="9"/>
  <c r="D12" i="9"/>
  <c r="C12" i="9"/>
  <c r="F9" i="9"/>
  <c r="E9" i="9"/>
  <c r="D9" i="9"/>
  <c r="C9" i="9"/>
  <c r="B5" i="9"/>
  <c r="M50" i="8"/>
  <c r="J50" i="8"/>
  <c r="C50" i="9" s="1"/>
  <c r="M42" i="8"/>
  <c r="L42" i="8"/>
  <c r="K42" i="8"/>
  <c r="J42" i="8"/>
  <c r="C33" i="9" s="1"/>
  <c r="I42" i="8"/>
  <c r="M39" i="8"/>
  <c r="M33" i="8"/>
  <c r="M35" i="8" s="1"/>
  <c r="M32" i="8"/>
  <c r="M34" i="8" s="1"/>
  <c r="L32" i="8"/>
  <c r="L34" i="8" s="1"/>
  <c r="K32" i="8"/>
  <c r="K34" i="8" s="1"/>
  <c r="J32" i="8"/>
  <c r="J34" i="8" s="1"/>
  <c r="I32" i="8"/>
  <c r="I34" i="8" s="1"/>
  <c r="J29" i="8"/>
  <c r="M28" i="8"/>
  <c r="M27" i="8"/>
  <c r="L27" i="8"/>
  <c r="K27" i="8"/>
  <c r="J27" i="8"/>
  <c r="I27" i="8"/>
  <c r="C27" i="8"/>
  <c r="C11" i="9" s="1"/>
  <c r="F25" i="8"/>
  <c r="F27" i="8" s="1"/>
  <c r="F11" i="9" s="1"/>
  <c r="E25" i="8"/>
  <c r="E27" i="8" s="1"/>
  <c r="E11" i="9" s="1"/>
  <c r="D25" i="8"/>
  <c r="B20" i="8"/>
  <c r="M19" i="8"/>
  <c r="L19" i="8"/>
  <c r="K19" i="8"/>
  <c r="J19" i="8"/>
  <c r="I19" i="8"/>
  <c r="B19" i="8"/>
  <c r="M18" i="8"/>
  <c r="L18" i="8"/>
  <c r="K18" i="8"/>
  <c r="J18" i="8"/>
  <c r="M17" i="8"/>
  <c r="L17" i="8"/>
  <c r="K17" i="8"/>
  <c r="J17" i="8"/>
  <c r="I17" i="8"/>
  <c r="B17" i="8"/>
  <c r="M16" i="8"/>
  <c r="M40" i="8" s="1"/>
  <c r="L16" i="8"/>
  <c r="L29" i="8" s="1"/>
  <c r="K16" i="8"/>
  <c r="K29" i="8" s="1"/>
  <c r="I16" i="8"/>
  <c r="I29" i="8" s="1"/>
  <c r="F16" i="8"/>
  <c r="E16" i="8"/>
  <c r="D16" i="8"/>
  <c r="C16" i="8"/>
  <c r="B16" i="8"/>
  <c r="M15" i="8"/>
  <c r="L15" i="8"/>
  <c r="K15" i="8"/>
  <c r="I15" i="8"/>
  <c r="M14" i="8"/>
  <c r="L14" i="8"/>
  <c r="K14" i="8"/>
  <c r="J14" i="8"/>
  <c r="P18" i="8" s="1"/>
  <c r="I14" i="8"/>
  <c r="C14" i="8"/>
  <c r="C8" i="9" s="1"/>
  <c r="M13" i="8"/>
  <c r="L13" i="8"/>
  <c r="K13" i="8"/>
  <c r="J13" i="8"/>
  <c r="I13" i="8"/>
  <c r="M12" i="8"/>
  <c r="L12" i="8"/>
  <c r="K12" i="8"/>
  <c r="J12" i="8"/>
  <c r="I12" i="8"/>
  <c r="F12" i="8"/>
  <c r="F14" i="8" s="1"/>
  <c r="F8" i="9" s="1"/>
  <c r="E12" i="8"/>
  <c r="E14" i="8" s="1"/>
  <c r="E8" i="9" s="1"/>
  <c r="D12" i="8"/>
  <c r="D14" i="8" s="1"/>
  <c r="D8" i="9" s="1"/>
  <c r="M11" i="8"/>
  <c r="L11" i="8"/>
  <c r="K11" i="8"/>
  <c r="J11" i="8"/>
  <c r="L10" i="8"/>
  <c r="K10" i="8"/>
  <c r="J10" i="8"/>
  <c r="I10" i="8"/>
  <c r="F10" i="8"/>
  <c r="E10" i="8"/>
  <c r="D10" i="8"/>
  <c r="F9" i="8"/>
  <c r="E9" i="8"/>
  <c r="D9" i="8"/>
  <c r="C9" i="8"/>
  <c r="L7" i="8"/>
  <c r="K7" i="8"/>
  <c r="J7" i="8"/>
  <c r="I7" i="8"/>
  <c r="C7" i="8"/>
  <c r="C6" i="9" s="1"/>
  <c r="L6" i="8"/>
  <c r="K6" i="8"/>
  <c r="J6" i="8"/>
  <c r="I6" i="8"/>
  <c r="L5" i="8"/>
  <c r="L33" i="8" s="1"/>
  <c r="L35" i="8" s="1"/>
  <c r="K5" i="8"/>
  <c r="K33" i="8" s="1"/>
  <c r="K35" i="8" s="1"/>
  <c r="J5" i="8"/>
  <c r="F5" i="8"/>
  <c r="E5" i="8"/>
  <c r="D5" i="8"/>
  <c r="Z74" i="1"/>
  <c r="Y74" i="1"/>
  <c r="X74" i="1"/>
  <c r="W74" i="1"/>
  <c r="AG73" i="1"/>
  <c r="AF73" i="1"/>
  <c r="AE73" i="1"/>
  <c r="B33" i="9" s="1"/>
  <c r="AD73" i="1"/>
  <c r="AC73" i="1"/>
  <c r="AB73" i="1"/>
  <c r="AA73" i="1"/>
  <c r="Z73" i="1"/>
  <c r="Y73" i="1"/>
  <c r="AG65" i="1"/>
  <c r="AF63" i="1"/>
  <c r="AF66" i="1" s="1"/>
  <c r="AF62" i="1"/>
  <c r="AF65" i="1" s="1"/>
  <c r="AE62" i="1"/>
  <c r="AE65" i="1" s="1"/>
  <c r="B32" i="9" s="1"/>
  <c r="AD65" i="1"/>
  <c r="AC62" i="1"/>
  <c r="AC65" i="1" s="1"/>
  <c r="AB62" i="1"/>
  <c r="AB65" i="1" s="1"/>
  <c r="AA62" i="1"/>
  <c r="AA65" i="1" s="1"/>
  <c r="Z60" i="1"/>
  <c r="Y60" i="1"/>
  <c r="X60" i="1"/>
  <c r="W60" i="1"/>
  <c r="R56" i="1"/>
  <c r="R57" i="1" s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C55" i="1"/>
  <c r="B27" i="9"/>
  <c r="I54" i="1"/>
  <c r="H54" i="1"/>
  <c r="G54" i="1"/>
  <c r="F54" i="1"/>
  <c r="E54" i="1"/>
  <c r="D54" i="1"/>
  <c r="C54" i="1"/>
  <c r="Q51" i="1"/>
  <c r="P51" i="1"/>
  <c r="O51" i="1"/>
  <c r="N51" i="1"/>
  <c r="M51" i="1"/>
  <c r="L50" i="1"/>
  <c r="L51" i="1" s="1"/>
  <c r="K50" i="1"/>
  <c r="K51" i="1" s="1"/>
  <c r="B25" i="9" s="1"/>
  <c r="J50" i="1"/>
  <c r="J51" i="1" s="1"/>
  <c r="I50" i="1"/>
  <c r="I51" i="1" s="1"/>
  <c r="G50" i="1"/>
  <c r="G51" i="1" s="1"/>
  <c r="F50" i="1"/>
  <c r="E50" i="1"/>
  <c r="D50" i="1"/>
  <c r="R49" i="1"/>
  <c r="R51" i="1" s="1"/>
  <c r="F49" i="1"/>
  <c r="F51" i="1" s="1"/>
  <c r="E49" i="1"/>
  <c r="E51" i="1" s="1"/>
  <c r="D49" i="1"/>
  <c r="D51" i="1" s="1"/>
  <c r="C49" i="1"/>
  <c r="C51" i="1" s="1"/>
  <c r="R48" i="1"/>
  <c r="F48" i="1"/>
  <c r="E48" i="1"/>
  <c r="D48" i="1"/>
  <c r="C48" i="1"/>
  <c r="AF12" i="1"/>
  <c r="P46" i="1"/>
  <c r="N46" i="1"/>
  <c r="M46" i="1"/>
  <c r="L45" i="1"/>
  <c r="K45" i="1"/>
  <c r="J45" i="1"/>
  <c r="I45" i="1"/>
  <c r="I46" i="1" s="1"/>
  <c r="J41" i="1" s="1"/>
  <c r="H45" i="1"/>
  <c r="H46" i="1" s="1"/>
  <c r="G45" i="1"/>
  <c r="G46" i="1" s="1"/>
  <c r="F45" i="1"/>
  <c r="F46" i="1" s="1"/>
  <c r="E45" i="1"/>
  <c r="E46" i="1" s="1"/>
  <c r="D45" i="1"/>
  <c r="D46" i="1" s="1"/>
  <c r="C45" i="1"/>
  <c r="C46" i="1" s="1"/>
  <c r="AE41" i="1"/>
  <c r="AA41" i="1"/>
  <c r="AA40" i="1" s="1"/>
  <c r="Z40" i="1"/>
  <c r="Y40" i="1"/>
  <c r="X40" i="1"/>
  <c r="W40" i="1"/>
  <c r="N40" i="1"/>
  <c r="Q37" i="1"/>
  <c r="P37" i="1"/>
  <c r="N37" i="1"/>
  <c r="M37" i="1"/>
  <c r="L37" i="1"/>
  <c r="K37" i="1"/>
  <c r="J37" i="1"/>
  <c r="P36" i="1"/>
  <c r="O36" i="1"/>
  <c r="N36" i="1"/>
  <c r="M36" i="1"/>
  <c r="L36" i="1"/>
  <c r="K36" i="1"/>
  <c r="J36" i="1"/>
  <c r="I36" i="1"/>
  <c r="H36" i="1"/>
  <c r="M33" i="1"/>
  <c r="L33" i="1"/>
  <c r="AG29" i="1"/>
  <c r="AG55" i="1" s="1"/>
  <c r="AF29" i="1"/>
  <c r="AF55" i="1" s="1"/>
  <c r="AE29" i="1"/>
  <c r="I11" i="8" s="1"/>
  <c r="AD29" i="1"/>
  <c r="AC29" i="1"/>
  <c r="AC55" i="1" s="1"/>
  <c r="AB29" i="1"/>
  <c r="AA29" i="1"/>
  <c r="AA55" i="1" s="1"/>
  <c r="Z29" i="1"/>
  <c r="Y29" i="1"/>
  <c r="X29" i="1"/>
  <c r="W29" i="1"/>
  <c r="M24" i="1"/>
  <c r="L24" i="1"/>
  <c r="G24" i="1"/>
  <c r="Z23" i="1"/>
  <c r="Z22" i="1"/>
  <c r="Y22" i="1"/>
  <c r="X22" i="1"/>
  <c r="W22" i="1"/>
  <c r="AG15" i="1"/>
  <c r="AF15" i="1"/>
  <c r="AE15" i="1"/>
  <c r="AD15" i="1"/>
  <c r="AC15" i="1"/>
  <c r="AB15" i="1"/>
  <c r="AA15" i="1"/>
  <c r="AG10" i="1"/>
  <c r="AF10" i="1"/>
  <c r="AF71" i="1" s="1"/>
  <c r="AE10" i="1"/>
  <c r="AD10" i="1"/>
  <c r="AC10" i="1"/>
  <c r="AB10" i="1"/>
  <c r="AA10" i="1"/>
  <c r="Z10" i="1"/>
  <c r="Z75" i="1" s="1"/>
  <c r="Y10" i="1"/>
  <c r="X10" i="1"/>
  <c r="W10" i="1"/>
  <c r="R9" i="1"/>
  <c r="Q9" i="1"/>
  <c r="O9" i="1"/>
  <c r="N9" i="1"/>
  <c r="M9" i="1"/>
  <c r="L9" i="1"/>
  <c r="K9" i="1"/>
  <c r="J9" i="1"/>
  <c r="B9" i="8" s="1"/>
  <c r="I9" i="1"/>
  <c r="H9" i="1"/>
  <c r="G9" i="1"/>
  <c r="F9" i="1"/>
  <c r="E9" i="1"/>
  <c r="D9" i="1"/>
  <c r="C9" i="1"/>
  <c r="AH7" i="1"/>
  <c r="AG7" i="1"/>
  <c r="AE7" i="1"/>
  <c r="B17" i="9" s="1"/>
  <c r="AD7" i="1"/>
  <c r="AD56" i="1" s="1"/>
  <c r="AC7" i="1"/>
  <c r="AB7" i="1"/>
  <c r="AA7" i="1"/>
  <c r="AA63" i="1" s="1"/>
  <c r="Z7" i="1"/>
  <c r="Z63" i="1" s="1"/>
  <c r="Z66" i="1" s="1"/>
  <c r="Y7" i="1"/>
  <c r="Y63" i="1" s="1"/>
  <c r="Y66" i="1" s="1"/>
  <c r="W7" i="1"/>
  <c r="W63" i="1" s="1"/>
  <c r="W66" i="1" s="1"/>
  <c r="X6" i="1"/>
  <c r="X7" i="1" s="1"/>
  <c r="X63" i="1" s="1"/>
  <c r="X66" i="1" s="1"/>
  <c r="R6" i="1"/>
  <c r="Q6" i="1"/>
  <c r="P6" i="1"/>
  <c r="P15" i="1" s="1"/>
  <c r="P18" i="1" s="1"/>
  <c r="O6" i="1"/>
  <c r="S8" i="1" s="1"/>
  <c r="N6" i="1"/>
  <c r="M6" i="1"/>
  <c r="L6" i="1"/>
  <c r="K6" i="1"/>
  <c r="AE68" i="1" s="1"/>
  <c r="B43" i="9" s="1"/>
  <c r="J6" i="1"/>
  <c r="B5" i="8" s="1"/>
  <c r="I6" i="1"/>
  <c r="AC68" i="1" s="1"/>
  <c r="H6" i="1"/>
  <c r="G6" i="1"/>
  <c r="AA68" i="1" s="1"/>
  <c r="F6" i="1"/>
  <c r="Z68" i="1" s="1"/>
  <c r="E6" i="1"/>
  <c r="Y68" i="1" s="1"/>
  <c r="D6" i="1"/>
  <c r="C6" i="1"/>
  <c r="W68" i="1" s="1"/>
  <c r="X4" i="1"/>
  <c r="W4" i="1"/>
  <c r="I8" i="8" l="1"/>
  <c r="AB63" i="1"/>
  <c r="AB66" i="1" s="1"/>
  <c r="AB56" i="1"/>
  <c r="AG63" i="1"/>
  <c r="AG66" i="1" s="1"/>
  <c r="AG56" i="1"/>
  <c r="M15" i="1"/>
  <c r="AC63" i="1"/>
  <c r="AC66" i="1" s="1"/>
  <c r="AC56" i="1"/>
  <c r="AH63" i="1"/>
  <c r="AH56" i="1"/>
  <c r="AA56" i="1"/>
  <c r="I18" i="8"/>
  <c r="I44" i="8" s="1"/>
  <c r="AE40" i="1"/>
  <c r="AE56" i="1" s="1"/>
  <c r="Q15" i="1"/>
  <c r="AH70" i="1" s="1"/>
  <c r="AG68" i="1"/>
  <c r="AH68" i="1"/>
  <c r="AH74" i="1"/>
  <c r="AH54" i="1"/>
  <c r="X47" i="1"/>
  <c r="AB12" i="1"/>
  <c r="K49" i="8"/>
  <c r="AH66" i="1"/>
  <c r="AH72" i="1"/>
  <c r="AH71" i="1"/>
  <c r="AE72" i="1"/>
  <c r="B49" i="9" s="1"/>
  <c r="Y47" i="1"/>
  <c r="Y54" i="1" s="1"/>
  <c r="R8" i="1"/>
  <c r="R7" i="1"/>
  <c r="S7" i="1"/>
  <c r="AD12" i="1"/>
  <c r="J46" i="1"/>
  <c r="K41" i="1" s="1"/>
  <c r="K46" i="1" s="1"/>
  <c r="L41" i="1" s="1"/>
  <c r="L46" i="1" s="1"/>
  <c r="O8" i="1"/>
  <c r="Y12" i="1"/>
  <c r="N15" i="1"/>
  <c r="N18" i="1" s="1"/>
  <c r="J45" i="8"/>
  <c r="C45" i="9" s="1"/>
  <c r="J49" i="8"/>
  <c r="C43" i="9" s="1"/>
  <c r="AD72" i="1"/>
  <c r="M49" i="8"/>
  <c r="E15" i="1"/>
  <c r="E18" i="1" s="1"/>
  <c r="L20" i="8"/>
  <c r="K43" i="8"/>
  <c r="K8" i="8"/>
  <c r="K39" i="8" s="1"/>
  <c r="AD75" i="1"/>
  <c r="AA12" i="1"/>
  <c r="Z72" i="1"/>
  <c r="R15" i="1"/>
  <c r="AI70" i="1" s="1"/>
  <c r="W47" i="1"/>
  <c r="W54" i="1" s="1"/>
  <c r="L43" i="8"/>
  <c r="L8" i="8"/>
  <c r="L40" i="8" s="1"/>
  <c r="L37" i="8"/>
  <c r="J43" i="8"/>
  <c r="C44" i="9" s="1"/>
  <c r="C48" i="9"/>
  <c r="AG12" i="1"/>
  <c r="W72" i="1"/>
  <c r="J8" i="8"/>
  <c r="J48" i="8" s="1"/>
  <c r="AA72" i="1"/>
  <c r="AA54" i="1"/>
  <c r="M43" i="8"/>
  <c r="L45" i="8"/>
  <c r="AD63" i="1"/>
  <c r="AD66" i="1" s="1"/>
  <c r="D7" i="8"/>
  <c r="D6" i="9" s="1"/>
  <c r="M45" i="8"/>
  <c r="L49" i="8"/>
  <c r="M20" i="8"/>
  <c r="F18" i="9"/>
  <c r="F48" i="9" s="1"/>
  <c r="L9" i="8"/>
  <c r="D7" i="1"/>
  <c r="Q7" i="1"/>
  <c r="Z47" i="1"/>
  <c r="Z54" i="1" s="1"/>
  <c r="J55" i="1"/>
  <c r="J57" i="1" s="1"/>
  <c r="M9" i="8"/>
  <c r="K37" i="8"/>
  <c r="C28" i="9"/>
  <c r="C35" i="9" s="1"/>
  <c r="J39" i="8"/>
  <c r="AB75" i="1"/>
  <c r="H55" i="1"/>
  <c r="AD54" i="1"/>
  <c r="AD55" i="1"/>
  <c r="E49" i="9"/>
  <c r="E48" i="9"/>
  <c r="Q18" i="1"/>
  <c r="Q22" i="1"/>
  <c r="Y75" i="1"/>
  <c r="Y72" i="1"/>
  <c r="Y71" i="1"/>
  <c r="AG75" i="1"/>
  <c r="Q55" i="1"/>
  <c r="Q57" i="1" s="1"/>
  <c r="AG67" i="1" s="1"/>
  <c r="AG72" i="1"/>
  <c r="AG71" i="1"/>
  <c r="H50" i="1"/>
  <c r="H51" i="1" s="1"/>
  <c r="C57" i="1"/>
  <c r="F55" i="1"/>
  <c r="J44" i="8"/>
  <c r="C46" i="9" s="1"/>
  <c r="E51" i="9"/>
  <c r="E55" i="1"/>
  <c r="E57" i="1" s="1"/>
  <c r="X75" i="1"/>
  <c r="AF75" i="1"/>
  <c r="O55" i="1"/>
  <c r="O57" i="1" s="1"/>
  <c r="AF13" i="1" s="1"/>
  <c r="F57" i="1"/>
  <c r="AF72" i="1"/>
  <c r="AC75" i="1"/>
  <c r="I55" i="1"/>
  <c r="I57" i="1" s="1"/>
  <c r="AC13" i="1" s="1"/>
  <c r="AC72" i="1"/>
  <c r="AC71" i="1"/>
  <c r="AC12" i="1"/>
  <c r="P22" i="1"/>
  <c r="P25" i="1" s="1"/>
  <c r="X54" i="1"/>
  <c r="AF68" i="1"/>
  <c r="X72" i="1"/>
  <c r="J9" i="8"/>
  <c r="AB71" i="1"/>
  <c r="J37" i="8"/>
  <c r="J33" i="8"/>
  <c r="J35" i="8" s="1"/>
  <c r="K20" i="8"/>
  <c r="K9" i="8"/>
  <c r="X12" i="1"/>
  <c r="X71" i="1"/>
  <c r="AB72" i="1"/>
  <c r="I28" i="8"/>
  <c r="I30" i="8" s="1"/>
  <c r="K45" i="8"/>
  <c r="J20" i="8"/>
  <c r="G55" i="1"/>
  <c r="G57" i="1" s="1"/>
  <c r="AA13" i="1" s="1"/>
  <c r="K55" i="1"/>
  <c r="K57" i="1" s="1"/>
  <c r="AE13" i="1" s="1"/>
  <c r="AA66" i="1"/>
  <c r="AE63" i="1"/>
  <c r="W75" i="1"/>
  <c r="AA75" i="1"/>
  <c r="AE75" i="1"/>
  <c r="B51" i="9" s="1"/>
  <c r="E7" i="8"/>
  <c r="E6" i="9" s="1"/>
  <c r="D27" i="8"/>
  <c r="D11" i="9" s="1"/>
  <c r="M37" i="8"/>
  <c r="K44" i="8"/>
  <c r="B18" i="9"/>
  <c r="B39" i="9"/>
  <c r="D48" i="9"/>
  <c r="C49" i="9"/>
  <c r="P8" i="1"/>
  <c r="F8" i="1"/>
  <c r="Z12" i="1"/>
  <c r="F15" i="1"/>
  <c r="AB54" i="1"/>
  <c r="H57" i="1"/>
  <c r="AB13" i="1" s="1"/>
  <c r="D55" i="1"/>
  <c r="D57" i="1" s="1"/>
  <c r="X13" i="1" s="1"/>
  <c r="Z71" i="1"/>
  <c r="AD71" i="1"/>
  <c r="F7" i="8"/>
  <c r="F6" i="9" s="1"/>
  <c r="I48" i="8"/>
  <c r="M29" i="8"/>
  <c r="M30" i="8" s="1"/>
  <c r="M36" i="8" s="1"/>
  <c r="L44" i="8"/>
  <c r="D49" i="9"/>
  <c r="N8" i="1"/>
  <c r="Q8" i="1"/>
  <c r="W12" i="1"/>
  <c r="AE12" i="1"/>
  <c r="J15" i="1"/>
  <c r="W71" i="1"/>
  <c r="AA71" i="1"/>
  <c r="AE71" i="1"/>
  <c r="B48" i="9" s="1"/>
  <c r="I5" i="8"/>
  <c r="I39" i="8" s="1"/>
  <c r="M44" i="8"/>
  <c r="I20" i="8"/>
  <c r="I9" i="8"/>
  <c r="I38" i="8" s="1"/>
  <c r="AC54" i="1"/>
  <c r="AE55" i="1"/>
  <c r="AE54" i="1"/>
  <c r="AB55" i="1"/>
  <c r="AG54" i="1"/>
  <c r="S25" i="1"/>
  <c r="S26" i="1"/>
  <c r="AD13" i="1"/>
  <c r="AH13" i="1"/>
  <c r="L15" i="1"/>
  <c r="M16" i="1" s="1"/>
  <c r="L7" i="1"/>
  <c r="L8" i="1"/>
  <c r="M22" i="1"/>
  <c r="M18" i="1"/>
  <c r="E7" i="1"/>
  <c r="N7" i="1"/>
  <c r="M8" i="1"/>
  <c r="D15" i="1"/>
  <c r="X68" i="1"/>
  <c r="I43" i="8"/>
  <c r="I7" i="1"/>
  <c r="I15" i="1"/>
  <c r="H15" i="1"/>
  <c r="H7" i="1"/>
  <c r="AB68" i="1"/>
  <c r="M7" i="1"/>
  <c r="J7" i="1"/>
  <c r="Q17" i="1"/>
  <c r="F7" i="1"/>
  <c r="K7" i="1"/>
  <c r="O7" i="1"/>
  <c r="J8" i="1"/>
  <c r="C15" i="1"/>
  <c r="G15" i="1"/>
  <c r="K15" i="1"/>
  <c r="O15" i="1"/>
  <c r="I45" i="8"/>
  <c r="P7" i="1"/>
  <c r="K8" i="1"/>
  <c r="B6" i="9" s="1"/>
  <c r="AD68" i="1"/>
  <c r="B6" i="8"/>
  <c r="B7" i="8" s="1"/>
  <c r="I49" i="8"/>
  <c r="J40" i="8" l="1"/>
  <c r="L46" i="8"/>
  <c r="R22" i="1"/>
  <c r="J28" i="8"/>
  <c r="J30" i="8" s="1"/>
  <c r="J36" i="8" s="1"/>
  <c r="M46" i="8"/>
  <c r="S17" i="1"/>
  <c r="AF70" i="1"/>
  <c r="AH67" i="1"/>
  <c r="N22" i="1"/>
  <c r="N26" i="1" s="1"/>
  <c r="Y70" i="1"/>
  <c r="E22" i="1"/>
  <c r="E26" i="1" s="1"/>
  <c r="F16" i="1"/>
  <c r="K46" i="8"/>
  <c r="AB67" i="1"/>
  <c r="AG13" i="1"/>
  <c r="AD67" i="1"/>
  <c r="Z70" i="1"/>
  <c r="W67" i="1"/>
  <c r="R18" i="1"/>
  <c r="R17" i="1"/>
  <c r="R16" i="1"/>
  <c r="S16" i="1"/>
  <c r="N16" i="1"/>
  <c r="F22" i="1"/>
  <c r="F26" i="1" s="1"/>
  <c r="S29" i="1"/>
  <c r="K40" i="8"/>
  <c r="K48" i="8"/>
  <c r="Y13" i="1"/>
  <c r="Y67" i="1"/>
  <c r="F18" i="1"/>
  <c r="M17" i="1"/>
  <c r="X67" i="1"/>
  <c r="L39" i="8"/>
  <c r="L28" i="8"/>
  <c r="L30" i="8" s="1"/>
  <c r="L36" i="8" s="1"/>
  <c r="W13" i="1"/>
  <c r="AD70" i="1"/>
  <c r="L48" i="8"/>
  <c r="K28" i="8"/>
  <c r="K30" i="8" s="1"/>
  <c r="K36" i="8" s="1"/>
  <c r="J18" i="1"/>
  <c r="J22" i="1"/>
  <c r="J26" i="1" s="1"/>
  <c r="B40" i="9"/>
  <c r="AE66" i="1"/>
  <c r="B34" i="9" s="1"/>
  <c r="R26" i="1"/>
  <c r="R25" i="1"/>
  <c r="I33" i="8"/>
  <c r="I35" i="8" s="1"/>
  <c r="P26" i="1"/>
  <c r="Q25" i="1"/>
  <c r="Q26" i="1"/>
  <c r="Q29" i="1" s="1"/>
  <c r="AG69" i="1" s="1"/>
  <c r="B28" i="9"/>
  <c r="I40" i="8"/>
  <c r="Z67" i="1"/>
  <c r="Z13" i="1"/>
  <c r="J46" i="8"/>
  <c r="C47" i="9" s="1"/>
  <c r="B35" i="9"/>
  <c r="AA70" i="1"/>
  <c r="G18" i="1"/>
  <c r="G22" i="1"/>
  <c r="J17" i="1"/>
  <c r="X70" i="1"/>
  <c r="D16" i="1"/>
  <c r="D22" i="1"/>
  <c r="D18" i="1"/>
  <c r="B50" i="9"/>
  <c r="AE70" i="1"/>
  <c r="B42" i="9" s="1"/>
  <c r="B7" i="9"/>
  <c r="K16" i="1"/>
  <c r="K22" i="1"/>
  <c r="K17" i="1"/>
  <c r="B8" i="9" s="1"/>
  <c r="K18" i="1"/>
  <c r="B9" i="9" s="1"/>
  <c r="AC70" i="1"/>
  <c r="I22" i="1"/>
  <c r="I18" i="1"/>
  <c r="I16" i="1"/>
  <c r="W70" i="1"/>
  <c r="C22" i="1"/>
  <c r="C18" i="1"/>
  <c r="AB70" i="1"/>
  <c r="H18" i="1"/>
  <c r="H16" i="1"/>
  <c r="H22" i="1"/>
  <c r="AE67" i="1"/>
  <c r="I46" i="8"/>
  <c r="AF67" i="1"/>
  <c r="O17" i="1"/>
  <c r="O18" i="1"/>
  <c r="Q16" i="1"/>
  <c r="O16" i="1"/>
  <c r="O22" i="1"/>
  <c r="AC67" i="1"/>
  <c r="J16" i="1"/>
  <c r="N17" i="1"/>
  <c r="E16" i="1"/>
  <c r="AA67" i="1"/>
  <c r="F17" i="1"/>
  <c r="M26" i="1"/>
  <c r="M25" i="1"/>
  <c r="L17" i="1"/>
  <c r="L22" i="1"/>
  <c r="L16" i="1"/>
  <c r="L18" i="1"/>
  <c r="N25" i="1" l="1"/>
  <c r="E25" i="1"/>
  <c r="F25" i="1"/>
  <c r="S30" i="1"/>
  <c r="AI69" i="1"/>
  <c r="R31" i="1"/>
  <c r="S31" i="1"/>
  <c r="S34" i="1"/>
  <c r="B22" i="8"/>
  <c r="B12" i="8" s="1"/>
  <c r="J25" i="1"/>
  <c r="P32" i="1"/>
  <c r="P29" i="1"/>
  <c r="P30" i="1"/>
  <c r="Q34" i="1"/>
  <c r="Q30" i="1"/>
  <c r="R29" i="1"/>
  <c r="M32" i="1"/>
  <c r="M30" i="1"/>
  <c r="M29" i="1"/>
  <c r="M34" i="1" s="1"/>
  <c r="N30" i="1"/>
  <c r="N29" i="1"/>
  <c r="N34" i="1" s="1"/>
  <c r="N31" i="1"/>
  <c r="L26" i="1"/>
  <c r="M31" i="1" s="1"/>
  <c r="L25" i="1"/>
  <c r="E35" i="1"/>
  <c r="E30" i="1"/>
  <c r="E29" i="1"/>
  <c r="I50" i="8"/>
  <c r="B23" i="8"/>
  <c r="B13" i="8" s="1"/>
  <c r="G25" i="1"/>
  <c r="G26" i="1"/>
  <c r="H25" i="1"/>
  <c r="H26" i="1"/>
  <c r="F30" i="1"/>
  <c r="F29" i="1"/>
  <c r="F31" i="1"/>
  <c r="D26" i="1"/>
  <c r="D25" i="1"/>
  <c r="O26" i="1"/>
  <c r="S32" i="1" s="1"/>
  <c r="O25" i="1"/>
  <c r="C26" i="1"/>
  <c r="F32" i="1" s="1"/>
  <c r="C25" i="1"/>
  <c r="I26" i="1"/>
  <c r="I25" i="1"/>
  <c r="K26" i="1"/>
  <c r="R32" i="1" s="1"/>
  <c r="K25" i="1"/>
  <c r="B25" i="8"/>
  <c r="J30" i="1"/>
  <c r="J29" i="1"/>
  <c r="Q32" i="1"/>
  <c r="R30" i="1" l="1"/>
  <c r="AH69" i="1"/>
  <c r="I30" i="1"/>
  <c r="I29" i="1"/>
  <c r="I31" i="1"/>
  <c r="B14" i="8"/>
  <c r="I36" i="8"/>
  <c r="Z69" i="1"/>
  <c r="F35" i="1"/>
  <c r="F34" i="1"/>
  <c r="Y62" i="1"/>
  <c r="Y65" i="1" s="1"/>
  <c r="I37" i="8"/>
  <c r="O31" i="1"/>
  <c r="O29" i="1"/>
  <c r="O32" i="1"/>
  <c r="Q31" i="1"/>
  <c r="O30" i="1"/>
  <c r="AD69" i="1"/>
  <c r="J34" i="1"/>
  <c r="B26" i="8"/>
  <c r="B27" i="8" s="1"/>
  <c r="G29" i="1"/>
  <c r="G30" i="1"/>
  <c r="B10" i="9"/>
  <c r="K31" i="1"/>
  <c r="K32" i="1"/>
  <c r="B11" i="9" s="1"/>
  <c r="K30" i="1"/>
  <c r="B12" i="9" s="1"/>
  <c r="K29" i="1"/>
  <c r="C35" i="1"/>
  <c r="W62" i="1" s="1"/>
  <c r="W65" i="1" s="1"/>
  <c r="C30" i="1"/>
  <c r="C29" i="1"/>
  <c r="D35" i="1"/>
  <c r="D30" i="1"/>
  <c r="D31" i="1"/>
  <c r="D29" i="1"/>
  <c r="E31" i="1"/>
  <c r="J31" i="1"/>
  <c r="J32" i="1"/>
  <c r="H31" i="1"/>
  <c r="H29" i="1"/>
  <c r="H30" i="1"/>
  <c r="Y69" i="1"/>
  <c r="E34" i="1"/>
  <c r="L31" i="1"/>
  <c r="L32" i="1"/>
  <c r="L30" i="1"/>
  <c r="L29" i="1"/>
  <c r="L34" i="1" s="1"/>
  <c r="P31" i="1"/>
  <c r="N32" i="1"/>
  <c r="X62" i="1" l="1"/>
  <c r="X65" i="1" s="1"/>
  <c r="D36" i="1"/>
  <c r="D34" i="1"/>
  <c r="X69" i="1"/>
  <c r="W69" i="1"/>
  <c r="C34" i="1"/>
  <c r="Z62" i="1"/>
  <c r="Z65" i="1" s="1"/>
  <c r="F37" i="1"/>
  <c r="F36" i="1"/>
  <c r="AF69" i="1"/>
  <c r="O34" i="1"/>
  <c r="E36" i="1"/>
  <c r="AC69" i="1"/>
  <c r="I34" i="1"/>
  <c r="H34" i="1"/>
  <c r="AB69" i="1"/>
  <c r="AE69" i="1"/>
  <c r="B41" i="9" s="1"/>
  <c r="K34" i="1"/>
  <c r="AA69" i="1"/>
  <c r="G34" i="1"/>
</calcChain>
</file>

<file path=xl/sharedStrings.xml><?xml version="1.0" encoding="utf-8"?>
<sst xmlns="http://schemas.openxmlformats.org/spreadsheetml/2006/main" count="392" uniqueCount="236">
  <si>
    <t>Income Statement</t>
  </si>
  <si>
    <t>Balance Sheet</t>
  </si>
  <si>
    <t>Y/E, Mar (Rs. mn)</t>
  </si>
  <si>
    <t>FY12</t>
  </si>
  <si>
    <t>FY13</t>
  </si>
  <si>
    <t>FY14</t>
  </si>
  <si>
    <t>FY15</t>
  </si>
  <si>
    <t>Net sales</t>
  </si>
  <si>
    <t>Share Capital</t>
  </si>
  <si>
    <t>Growth (%)</t>
  </si>
  <si>
    <t>Reserves &amp; Surplus</t>
  </si>
  <si>
    <t>CAGR (%)</t>
  </si>
  <si>
    <t>Networth/Shareholders Fund/ Book Value</t>
  </si>
  <si>
    <t>Expenditure</t>
  </si>
  <si>
    <t>Changes in Inventory</t>
  </si>
  <si>
    <t>Total Debt</t>
  </si>
  <si>
    <t>Employee Benefit expenses</t>
  </si>
  <si>
    <t>Minority Interest</t>
  </si>
  <si>
    <t>Other expense</t>
  </si>
  <si>
    <t>Capital Employed</t>
  </si>
  <si>
    <t>EBITDA</t>
  </si>
  <si>
    <t>EV</t>
  </si>
  <si>
    <t>EBITDA margin (%)</t>
  </si>
  <si>
    <t>Depreciation</t>
  </si>
  <si>
    <t>Finance Cost</t>
  </si>
  <si>
    <t>CURRENT ASSETS, LOANS &amp; ADVANCES</t>
  </si>
  <si>
    <t>PBT</t>
  </si>
  <si>
    <t>Tax</t>
  </si>
  <si>
    <t>Effective tax rate (%)</t>
  </si>
  <si>
    <t>PAT</t>
  </si>
  <si>
    <t>PAT margin (%)</t>
  </si>
  <si>
    <t>CURRENT LIABILITIES &amp; PROVISIONS</t>
  </si>
  <si>
    <t>Creditors</t>
  </si>
  <si>
    <t>EPS</t>
  </si>
  <si>
    <t>Other Current Liabilities</t>
  </si>
  <si>
    <t>Cash Flow</t>
  </si>
  <si>
    <t>Key ratios</t>
  </si>
  <si>
    <t xml:space="preserve">Y/E, Mar 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</si>
  <si>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</si>
  <si>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</si>
  <si>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</si>
  <si>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</si>
  <si>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</t>
  </si>
  <si>
    <t>Cash and Cash Equivalents at End of the year</t>
  </si>
  <si>
    <t>Our Calculations</t>
  </si>
  <si>
    <t>Debtor Days</t>
  </si>
  <si>
    <t>Creditor Days</t>
  </si>
  <si>
    <t xml:space="preserve">Operating Cash Inflow </t>
  </si>
  <si>
    <t>Inventory Days</t>
  </si>
  <si>
    <t xml:space="preserve">Capital Expenditure </t>
  </si>
  <si>
    <t>Working Capital Days</t>
  </si>
  <si>
    <t>FCF</t>
  </si>
  <si>
    <t>Cost of Debt</t>
  </si>
  <si>
    <t>No. of shares</t>
  </si>
  <si>
    <t>Debt</t>
  </si>
  <si>
    <t>Cash</t>
  </si>
  <si>
    <t>NET BLOCK (Fixed Assets)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</si>
  <si>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</si>
  <si>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</si>
  <si>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</si>
  <si>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</si>
  <si>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</si>
  <si>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</si>
  <si>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</si>
  <si>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</si>
  <si>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</si>
  <si>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</si>
  <si>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</si>
  <si>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</si>
  <si>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Short Term Provisions</t>
  </si>
  <si>
    <t>-</t>
  </si>
  <si>
    <t>Gross Block</t>
  </si>
  <si>
    <t>Fixed Asset Turnover</t>
  </si>
  <si>
    <t>Long term</t>
  </si>
  <si>
    <t>Short Term</t>
  </si>
  <si>
    <t>Profit after minority Interest</t>
  </si>
  <si>
    <t>Loss/(profit) of associates (Net)</t>
  </si>
  <si>
    <t>FY16</t>
  </si>
  <si>
    <t>Ion Exchange (India) Limited - Consolidated</t>
  </si>
  <si>
    <t>Other Non-current Liabilities (LT)</t>
  </si>
  <si>
    <t>FY17</t>
  </si>
  <si>
    <t>Other Comprehensive Income</t>
  </si>
  <si>
    <t>Other Financial Liabilities</t>
  </si>
  <si>
    <t>FY18</t>
  </si>
  <si>
    <t>(a) Property, plant and equipment</t>
  </si>
  <si>
    <t>(b) Capital Work-in-Progress</t>
  </si>
  <si>
    <t>-Long Term Loans and Advances</t>
  </si>
  <si>
    <t>-Other Non-current Assets / Trade Recievables</t>
  </si>
  <si>
    <t>- Others</t>
  </si>
  <si>
    <t>(f) Deferred Tax Assets (Net)</t>
  </si>
  <si>
    <t>(g) Other Non-Current Assets</t>
  </si>
  <si>
    <t>(h) Non- Current Tax Assets</t>
  </si>
  <si>
    <t>-Investments</t>
  </si>
  <si>
    <t>-Trade Receivables (Debtors)</t>
  </si>
  <si>
    <t>-Cash &amp; Bank Balances</t>
  </si>
  <si>
    <t>-Bank balances</t>
  </si>
  <si>
    <t>-Short Term Loans &amp; Advances</t>
  </si>
  <si>
    <t>-Others</t>
  </si>
  <si>
    <t>(a) Inventories</t>
  </si>
  <si>
    <t>(b) Financial Assets</t>
  </si>
  <si>
    <t>(c ) Current Tax Assets (net)</t>
  </si>
  <si>
    <t>(d) Other Current Assets</t>
  </si>
  <si>
    <t>Liabilities for current tax (Net)</t>
  </si>
  <si>
    <t>NON-CURRENT LIABILITIES</t>
  </si>
  <si>
    <t>Provisions</t>
  </si>
  <si>
    <t>Deferred Tax Liabilities (Net)</t>
  </si>
  <si>
    <t>Share of profit of equity accounted Investee</t>
  </si>
  <si>
    <t>TotalComprehensive Income</t>
  </si>
  <si>
    <t>Revenue from Operations</t>
  </si>
  <si>
    <t>Other Income</t>
  </si>
  <si>
    <t>FY19</t>
  </si>
  <si>
    <t>Peer Analysis</t>
  </si>
  <si>
    <t xml:space="preserve">Ion Exchange </t>
  </si>
  <si>
    <t>VA Tech Wabag</t>
  </si>
  <si>
    <t>Thermax</t>
  </si>
  <si>
    <t>Praj</t>
  </si>
  <si>
    <t>Triveni</t>
  </si>
  <si>
    <t>Net Worth</t>
  </si>
  <si>
    <t>Long Term Debt</t>
  </si>
  <si>
    <t>CAGR 3 YRS</t>
  </si>
  <si>
    <t>Short Term Debt</t>
  </si>
  <si>
    <t>Loans</t>
  </si>
  <si>
    <t>Purchase</t>
  </si>
  <si>
    <t>Change in Inventories</t>
  </si>
  <si>
    <t>Non Current Asset</t>
  </si>
  <si>
    <t>Current Asset</t>
  </si>
  <si>
    <t>Inventories 2019</t>
  </si>
  <si>
    <t>Inventories 2018</t>
  </si>
  <si>
    <t>Sundry Debtors 2019</t>
  </si>
  <si>
    <t>Sundry Debtors 2018</t>
  </si>
  <si>
    <t>Depriciation 2019</t>
  </si>
  <si>
    <t>Cash &amp; Bank Balances</t>
  </si>
  <si>
    <t>Interest 2019</t>
  </si>
  <si>
    <t>Current Liabilites</t>
  </si>
  <si>
    <t>Trade Payables 2019</t>
  </si>
  <si>
    <t>Depriciation 2016</t>
  </si>
  <si>
    <t>Trade Payables 2018</t>
  </si>
  <si>
    <t>Interest 2016</t>
  </si>
  <si>
    <t>NET CURRENT ASSETS</t>
  </si>
  <si>
    <t>PBT 2019</t>
  </si>
  <si>
    <t>PBT 2016</t>
  </si>
  <si>
    <t>No. of Shares</t>
  </si>
  <si>
    <t>Market Cap</t>
  </si>
  <si>
    <t>DPS</t>
  </si>
  <si>
    <t>Cash Conversion cycle</t>
  </si>
  <si>
    <t>Interest Cost</t>
  </si>
  <si>
    <t>Asset T/O ratio</t>
  </si>
  <si>
    <t>Inerest Coverage Ratio</t>
  </si>
  <si>
    <t>Peer Comparison Analysis - Ion Exchange Ltd.</t>
  </si>
  <si>
    <t>Ion</t>
  </si>
  <si>
    <t>Va Tech Wabag</t>
  </si>
  <si>
    <t>Net Sales</t>
  </si>
  <si>
    <t>3 Years CAGR (%)</t>
  </si>
  <si>
    <t>EBITDA Margin (%)</t>
  </si>
  <si>
    <t>PAT Margin (%)</t>
  </si>
  <si>
    <t>Balance Sheet Comparision</t>
  </si>
  <si>
    <t>Total Networth</t>
  </si>
  <si>
    <t>Long Term</t>
  </si>
  <si>
    <t>CFO</t>
  </si>
  <si>
    <t>Enterprise Value(Cr)</t>
  </si>
  <si>
    <t>VALUATIONS COMPARISION</t>
  </si>
  <si>
    <t>Stock P:E</t>
  </si>
  <si>
    <t>Price:Book Value</t>
  </si>
  <si>
    <t>EV/ EBITDA</t>
  </si>
  <si>
    <t>OPERATIONAL RATIOS COMPARISION</t>
  </si>
  <si>
    <t>CMP (As on XXXX)</t>
  </si>
  <si>
    <t>Book Value (Rs.)</t>
  </si>
  <si>
    <t>Book Value per Share</t>
  </si>
  <si>
    <t>ROE</t>
  </si>
  <si>
    <t>ROCE</t>
  </si>
  <si>
    <t>Receivable days</t>
  </si>
  <si>
    <t>Payable days</t>
  </si>
  <si>
    <t>Cash Conversion Cycle</t>
  </si>
  <si>
    <t>Gross Debt/Equity</t>
  </si>
  <si>
    <t>Net Debt/Equity</t>
  </si>
  <si>
    <t>Interest Coverage Ratio</t>
  </si>
  <si>
    <t>Interest Cost (%)</t>
  </si>
  <si>
    <t>P&amp;L Comparision (As on FY19)</t>
  </si>
  <si>
    <t>NA</t>
  </si>
  <si>
    <t>Total Assets</t>
  </si>
  <si>
    <t>Total Liabilities</t>
  </si>
  <si>
    <t>Purchases of Stock-in-trade</t>
  </si>
  <si>
    <t>-Investments (current + non current)</t>
  </si>
  <si>
    <t>(d ) Other intagible Assets</t>
  </si>
  <si>
    <t>(e) Investments accounted using Equity Method</t>
  </si>
  <si>
    <t>(f) Goodwill</t>
  </si>
  <si>
    <t>(c) Right -of-Use Assets</t>
  </si>
  <si>
    <t>Lease Liabilities</t>
  </si>
  <si>
    <t>As per Managemnt</t>
  </si>
  <si>
    <t>FY20</t>
  </si>
  <si>
    <t>trievni</t>
  </si>
  <si>
    <t>triveni</t>
  </si>
  <si>
    <t>praj</t>
  </si>
  <si>
    <t>Total Income 2020</t>
  </si>
  <si>
    <t>Total Income 2017</t>
  </si>
  <si>
    <t>EBITDA 2020</t>
  </si>
  <si>
    <t>EBITDA 2017</t>
  </si>
  <si>
    <t>PAT 2020</t>
  </si>
  <si>
    <t>PAT 2017</t>
  </si>
  <si>
    <t>Rahul Agarwal</t>
  </si>
  <si>
    <t>Yes, by Monday take time</t>
  </si>
  <si>
    <t>EPS 2020</t>
  </si>
  <si>
    <t>Wabag</t>
  </si>
  <si>
    <t>Q1- FY21</t>
  </si>
  <si>
    <t>Q2-FY21</t>
  </si>
  <si>
    <t>H1-FY21</t>
  </si>
  <si>
    <t>H1- FY21</t>
  </si>
  <si>
    <t>Engineering</t>
  </si>
  <si>
    <t>Revenues</t>
  </si>
  <si>
    <t>EBIT</t>
  </si>
  <si>
    <t>EBIT margins</t>
  </si>
  <si>
    <t>Chemicals</t>
  </si>
  <si>
    <t>Consumers</t>
  </si>
  <si>
    <t>Q3-FY21</t>
  </si>
  <si>
    <t>when will be the next capex for chemicals</t>
  </si>
  <si>
    <t>Adani subsidiary - water</t>
  </si>
  <si>
    <t>consumers- issue</t>
  </si>
  <si>
    <t>MSTC</t>
  </si>
  <si>
    <t>average EPC cost</t>
  </si>
  <si>
    <t>margins for the membrane plant</t>
  </si>
  <si>
    <t>engineerign revenue visibilty</t>
  </si>
  <si>
    <t>working capital</t>
  </si>
  <si>
    <t>shobhit.tiwari@bajajalliaze.co.in</t>
  </si>
  <si>
    <t>FY21</t>
  </si>
  <si>
    <t>H1-FY22</t>
  </si>
  <si>
    <t>FY22</t>
  </si>
  <si>
    <t>FY-23</t>
  </si>
  <si>
    <t>FY23</t>
  </si>
  <si>
    <t>FY24</t>
  </si>
  <si>
    <t>Cost of Materials Consumed</t>
  </si>
  <si>
    <t>H1 FY25</t>
  </si>
  <si>
    <t>Market Capitalisation</t>
  </si>
  <si>
    <t>H1 FY24</t>
  </si>
  <si>
    <t>TTM EPS</t>
  </si>
  <si>
    <t>9M-FY25</t>
  </si>
  <si>
    <t>TTM based P/E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</si>
</sst>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 * #,##0_ ;_ * \-#,##0_ ;_ * &quot;-&quot;_ ;_ @_ "/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0.0"/>
    <numFmt numFmtId="167" formatCode="_ * #,##0.0_ ;_ * \-#,##0.0_ ;_ * &quot;-&quot;??_ ;_ @_ "/>
    <numFmt numFmtId="168" formatCode="0.000%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Univers 55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i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1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403">
    <xf numFmtId="0" fontId="0" fillId="0" borderId="0" xfId="0"/>
    <xf numFmtId="0" fontId="5" fillId="0" borderId="0" xfId="0" applyFont="1"/>
    <xf numFmtId="0" fontId="6" fillId="0" borderId="0" xfId="3" applyFont="1"/>
    <xf numFmtId="0" fontId="8" fillId="0" borderId="0" xfId="4" applyFont="1" applyAlignment="1">
      <alignment horizontal="right"/>
    </xf>
    <xf numFmtId="0" fontId="7" fillId="0" borderId="0" xfId="4" applyFont="1" applyAlignment="1">
      <alignment horizontal="right"/>
    </xf>
    <xf numFmtId="164" fontId="7" fillId="4" borderId="1" xfId="1" applyNumberFormat="1" applyFont="1" applyFill="1" applyBorder="1"/>
    <xf numFmtId="164" fontId="7" fillId="0" borderId="0" xfId="1" applyNumberFormat="1" applyFont="1" applyFill="1" applyBorder="1"/>
    <xf numFmtId="164" fontId="8" fillId="0" borderId="1" xfId="1" applyNumberFormat="1" applyFont="1" applyBorder="1"/>
    <xf numFmtId="165" fontId="8" fillId="0" borderId="1" xfId="2" applyNumberFormat="1" applyFont="1" applyFill="1" applyBorder="1" applyAlignment="1">
      <alignment horizontal="right"/>
    </xf>
    <xf numFmtId="165" fontId="8" fillId="0" borderId="0" xfId="2" applyNumberFormat="1" applyFont="1" applyFill="1" applyBorder="1" applyAlignment="1">
      <alignment horizontal="right"/>
    </xf>
    <xf numFmtId="165" fontId="8" fillId="0" borderId="1" xfId="4" applyNumberFormat="1" applyFont="1" applyBorder="1" applyAlignment="1">
      <alignment horizontal="right"/>
    </xf>
    <xf numFmtId="0" fontId="6" fillId="0" borderId="1" xfId="3" applyFont="1" applyBorder="1"/>
    <xf numFmtId="165" fontId="8" fillId="4" borderId="1" xfId="2" applyNumberFormat="1" applyFont="1" applyFill="1" applyBorder="1" applyAlignment="1">
      <alignment horizontal="right"/>
    </xf>
    <xf numFmtId="3" fontId="8" fillId="0" borderId="1" xfId="4" applyNumberFormat="1" applyFont="1" applyBorder="1" applyAlignment="1">
      <alignment horizontal="right"/>
    </xf>
    <xf numFmtId="1" fontId="7" fillId="4" borderId="1" xfId="4" applyNumberFormat="1" applyFont="1" applyFill="1" applyBorder="1"/>
    <xf numFmtId="1" fontId="7" fillId="0" borderId="0" xfId="4" applyNumberFormat="1" applyFont="1"/>
    <xf numFmtId="164" fontId="7" fillId="0" borderId="1" xfId="1" applyNumberFormat="1" applyFont="1" applyBorder="1"/>
    <xf numFmtId="165" fontId="7" fillId="0" borderId="0" xfId="2" applyNumberFormat="1" applyFont="1" applyFill="1" applyBorder="1" applyAlignment="1">
      <alignment horizontal="right"/>
    </xf>
    <xf numFmtId="165" fontId="7" fillId="4" borderId="1" xfId="2" applyNumberFormat="1" applyFont="1" applyFill="1" applyBorder="1"/>
    <xf numFmtId="165" fontId="7" fillId="0" borderId="0" xfId="2" applyNumberFormat="1" applyFont="1" applyFill="1" applyBorder="1"/>
    <xf numFmtId="1" fontId="8" fillId="0" borderId="1" xfId="4" applyNumberFormat="1" applyFont="1" applyBorder="1"/>
    <xf numFmtId="1" fontId="8" fillId="0" borderId="1" xfId="2" applyNumberFormat="1" applyFont="1" applyBorder="1"/>
    <xf numFmtId="1" fontId="8" fillId="0" borderId="0" xfId="4" applyNumberFormat="1" applyFont="1"/>
    <xf numFmtId="165" fontId="8" fillId="0" borderId="1" xfId="2" applyNumberFormat="1" applyFont="1" applyBorder="1"/>
    <xf numFmtId="164" fontId="11" fillId="0" borderId="1" xfId="1" applyNumberFormat="1" applyFont="1" applyBorder="1"/>
    <xf numFmtId="164" fontId="6" fillId="0" borderId="1" xfId="1" applyNumberFormat="1" applyFont="1" applyBorder="1"/>
    <xf numFmtId="2" fontId="7" fillId="0" borderId="0" xfId="4" applyNumberFormat="1" applyFont="1"/>
    <xf numFmtId="2" fontId="7" fillId="4" borderId="1" xfId="4" applyNumberFormat="1" applyFont="1" applyFill="1" applyBorder="1"/>
    <xf numFmtId="164" fontId="6" fillId="0" borderId="1" xfId="1" applyNumberFormat="1" applyFont="1" applyFill="1" applyBorder="1"/>
    <xf numFmtId="2" fontId="6" fillId="0" borderId="1" xfId="4" applyNumberFormat="1" applyFont="1" applyBorder="1" applyAlignment="1">
      <alignment horizontal="center"/>
    </xf>
    <xf numFmtId="166" fontId="6" fillId="4" borderId="1" xfId="4" applyNumberFormat="1" applyFont="1" applyFill="1" applyBorder="1" applyAlignment="1">
      <alignment horizontal="center"/>
    </xf>
    <xf numFmtId="166" fontId="6" fillId="0" borderId="1" xfId="4" applyNumberFormat="1" applyFont="1" applyBorder="1" applyAlignment="1">
      <alignment horizontal="center"/>
    </xf>
    <xf numFmtId="0" fontId="6" fillId="0" borderId="0" xfId="5" applyFont="1" applyAlignment="1">
      <alignment vertical="center"/>
    </xf>
    <xf numFmtId="164" fontId="6" fillId="0" borderId="0" xfId="5" applyNumberFormat="1" applyFont="1" applyAlignment="1">
      <alignment vertical="center"/>
    </xf>
    <xf numFmtId="165" fontId="6" fillId="4" borderId="1" xfId="2" applyNumberFormat="1" applyFont="1" applyFill="1" applyBorder="1" applyAlignment="1">
      <alignment horizontal="center"/>
    </xf>
    <xf numFmtId="1" fontId="6" fillId="0" borderId="0" xfId="3" applyNumberFormat="1" applyFont="1"/>
    <xf numFmtId="1" fontId="5" fillId="0" borderId="0" xfId="0" applyNumberFormat="1" applyFont="1"/>
    <xf numFmtId="1" fontId="6" fillId="0" borderId="1" xfId="4" applyNumberFormat="1" applyFont="1" applyBorder="1"/>
    <xf numFmtId="164" fontId="7" fillId="4" borderId="4" xfId="1" applyNumberFormat="1" applyFont="1" applyFill="1" applyBorder="1"/>
    <xf numFmtId="164" fontId="8" fillId="0" borderId="4" xfId="1" applyNumberFormat="1" applyFont="1" applyBorder="1"/>
    <xf numFmtId="164" fontId="7" fillId="0" borderId="4" xfId="1" applyNumberFormat="1" applyFont="1" applyBorder="1"/>
    <xf numFmtId="2" fontId="8" fillId="0" borderId="0" xfId="2" applyNumberFormat="1" applyFont="1" applyFill="1" applyBorder="1" applyAlignment="1">
      <alignment horizontal="right"/>
    </xf>
    <xf numFmtId="165" fontId="6" fillId="0" borderId="1" xfId="2" applyNumberFormat="1" applyFont="1" applyBorder="1" applyAlignment="1">
      <alignment horizontal="center"/>
    </xf>
    <xf numFmtId="2" fontId="6" fillId="0" borderId="1" xfId="3" applyNumberFormat="1" applyFont="1" applyBorder="1" applyAlignment="1">
      <alignment horizontal="center"/>
    </xf>
    <xf numFmtId="0" fontId="6" fillId="0" borderId="0" xfId="1" applyNumberFormat="1" applyFont="1" applyBorder="1"/>
    <xf numFmtId="166" fontId="6" fillId="0" borderId="1" xfId="3" applyNumberFormat="1" applyFont="1" applyBorder="1"/>
    <xf numFmtId="1" fontId="6" fillId="0" borderId="1" xfId="3" applyNumberFormat="1" applyFont="1" applyBorder="1"/>
    <xf numFmtId="1" fontId="6" fillId="0" borderId="1" xfId="4" applyNumberFormat="1" applyFont="1" applyBorder="1" applyAlignment="1">
      <alignment horizontal="right"/>
    </xf>
    <xf numFmtId="1" fontId="6" fillId="0" borderId="1" xfId="1" applyNumberFormat="1" applyFont="1" applyBorder="1" applyAlignment="1">
      <alignment horizontal="right"/>
    </xf>
    <xf numFmtId="1" fontId="6" fillId="0" borderId="4" xfId="4" applyNumberFormat="1" applyFont="1" applyBorder="1" applyAlignment="1">
      <alignment horizontal="right"/>
    </xf>
    <xf numFmtId="164" fontId="6" fillId="0" borderId="4" xfId="1" applyNumberFormat="1" applyFont="1" applyBorder="1"/>
    <xf numFmtId="164" fontId="8" fillId="0" borderId="1" xfId="1" applyNumberFormat="1" applyFont="1" applyBorder="1" applyAlignment="1">
      <alignment horizontal="center" vertical="center"/>
    </xf>
    <xf numFmtId="0" fontId="8" fillId="0" borderId="0" xfId="2" applyNumberFormat="1" applyFont="1" applyFill="1" applyBorder="1"/>
    <xf numFmtId="0" fontId="8" fillId="0" borderId="0" xfId="1" applyNumberFormat="1" applyFont="1" applyFill="1" applyBorder="1"/>
    <xf numFmtId="0" fontId="7" fillId="0" borderId="0" xfId="4" applyFont="1"/>
    <xf numFmtId="43" fontId="6" fillId="0" borderId="0" xfId="3" applyNumberFormat="1" applyFont="1"/>
    <xf numFmtId="164" fontId="6" fillId="0" borderId="1" xfId="3" applyNumberFormat="1" applyFont="1" applyBorder="1"/>
    <xf numFmtId="3" fontId="7" fillId="0" borderId="0" xfId="4" applyNumberFormat="1" applyFont="1" applyAlignment="1">
      <alignment horizontal="right"/>
    </xf>
    <xf numFmtId="165" fontId="8" fillId="0" borderId="0" xfId="2" applyNumberFormat="1" applyFont="1" applyFill="1" applyBorder="1"/>
    <xf numFmtId="41" fontId="6" fillId="0" borderId="1" xfId="3" applyNumberFormat="1" applyFont="1" applyBorder="1"/>
    <xf numFmtId="0" fontId="0" fillId="0" borderId="1" xfId="0" applyBorder="1"/>
    <xf numFmtId="164" fontId="11" fillId="4" borderId="1" xfId="1" applyNumberFormat="1" applyFont="1" applyFill="1" applyBorder="1"/>
    <xf numFmtId="1" fontId="0" fillId="0" borderId="1" xfId="0" applyNumberFormat="1" applyBorder="1"/>
    <xf numFmtId="1" fontId="7" fillId="0" borderId="1" xfId="4" applyNumberFormat="1" applyFont="1" applyBorder="1"/>
    <xf numFmtId="1" fontId="7" fillId="0" borderId="4" xfId="4" applyNumberFormat="1" applyFont="1" applyBorder="1"/>
    <xf numFmtId="164" fontId="0" fillId="0" borderId="1" xfId="1" applyNumberFormat="1" applyFont="1" applyBorder="1"/>
    <xf numFmtId="0" fontId="8" fillId="4" borderId="1" xfId="2" applyNumberFormat="1" applyFont="1" applyFill="1" applyBorder="1" applyAlignment="1">
      <alignment horizontal="right"/>
    </xf>
    <xf numFmtId="164" fontId="7" fillId="0" borderId="0" xfId="1" applyNumberFormat="1" applyFont="1" applyBorder="1"/>
    <xf numFmtId="2" fontId="6" fillId="0" borderId="0" xfId="3" applyNumberFormat="1" applyFont="1" applyAlignment="1">
      <alignment horizontal="center"/>
    </xf>
    <xf numFmtId="1" fontId="11" fillId="0" borderId="1" xfId="3" applyNumberFormat="1" applyFont="1" applyBorder="1"/>
    <xf numFmtId="1" fontId="7" fillId="4" borderId="1" xfId="2" applyNumberFormat="1" applyFont="1" applyFill="1" applyBorder="1" applyAlignment="1">
      <alignment horizontal="right"/>
    </xf>
    <xf numFmtId="0" fontId="7" fillId="4" borderId="1" xfId="2" applyNumberFormat="1" applyFont="1" applyFill="1" applyBorder="1" applyAlignment="1">
      <alignment horizontal="right"/>
    </xf>
    <xf numFmtId="43" fontId="0" fillId="0" borderId="1" xfId="1" applyFont="1" applyBorder="1"/>
    <xf numFmtId="10" fontId="0" fillId="4" borderId="1" xfId="2" applyNumberFormat="1" applyFont="1" applyFill="1" applyBorder="1"/>
    <xf numFmtId="10" fontId="0" fillId="0" borderId="1" xfId="2" applyNumberFormat="1" applyFont="1" applyBorder="1"/>
    <xf numFmtId="168" fontId="0" fillId="4" borderId="1" xfId="2" applyNumberFormat="1" applyFont="1" applyFill="1" applyBorder="1"/>
    <xf numFmtId="0" fontId="14" fillId="8" borderId="1" xfId="0" applyFont="1" applyFill="1" applyBorder="1" applyAlignment="1">
      <alignment horizontal="center"/>
    </xf>
    <xf numFmtId="0" fontId="15" fillId="6" borderId="1" xfId="0" applyFont="1" applyFill="1" applyBorder="1"/>
    <xf numFmtId="10" fontId="15" fillId="6" borderId="1" xfId="2" applyNumberFormat="1" applyFont="1" applyFill="1" applyBorder="1"/>
    <xf numFmtId="4" fontId="15" fillId="6" borderId="1" xfId="0" applyNumberFormat="1" applyFont="1" applyFill="1" applyBorder="1"/>
    <xf numFmtId="0" fontId="15" fillId="6" borderId="1" xfId="0" applyFont="1" applyFill="1" applyBorder="1" applyAlignment="1">
      <alignment horizontal="right"/>
    </xf>
    <xf numFmtId="2" fontId="15" fillId="6" borderId="1" xfId="0" applyNumberFormat="1" applyFont="1" applyFill="1" applyBorder="1"/>
    <xf numFmtId="2" fontId="15" fillId="6" borderId="1" xfId="1" applyNumberFormat="1" applyFont="1" applyFill="1" applyBorder="1"/>
    <xf numFmtId="2" fontId="15" fillId="6" borderId="1" xfId="2" applyNumberFormat="1" applyFont="1" applyFill="1" applyBorder="1"/>
    <xf numFmtId="0" fontId="16" fillId="6" borderId="1" xfId="0" applyFont="1" applyFill="1" applyBorder="1"/>
    <xf numFmtId="43" fontId="0" fillId="4" borderId="1" xfId="1" applyFont="1" applyFill="1" applyBorder="1"/>
    <xf numFmtId="0" fontId="0" fillId="4" borderId="1" xfId="0" applyFill="1" applyBorder="1"/>
    <xf numFmtId="43" fontId="0" fillId="4" borderId="1" xfId="0" applyNumberFormat="1" applyFill="1" applyBorder="1"/>
    <xf numFmtId="167" fontId="13" fillId="4" borderId="1" xfId="1" applyNumberFormat="1" applyFont="1" applyFill="1" applyBorder="1"/>
    <xf numFmtId="167" fontId="0" fillId="0" borderId="1" xfId="1" applyNumberFormat="1" applyFont="1" applyBorder="1"/>
    <xf numFmtId="43" fontId="15" fillId="6" borderId="1" xfId="0" applyNumberFormat="1" applyFont="1" applyFill="1" applyBorder="1"/>
    <xf numFmtId="0" fontId="17" fillId="0" borderId="1" xfId="0" applyFont="1" applyBorder="1"/>
    <xf numFmtId="43" fontId="17" fillId="0" borderId="1" xfId="1" applyFont="1" applyBorder="1"/>
    <xf numFmtId="0" fontId="17" fillId="4" borderId="1" xfId="0" applyFont="1" applyFill="1" applyBorder="1"/>
    <xf numFmtId="43" fontId="17" fillId="4" borderId="1" xfId="1" applyFont="1" applyFill="1" applyBorder="1"/>
    <xf numFmtId="164" fontId="17" fillId="4" borderId="1" xfId="1" applyNumberFormat="1" applyFont="1" applyFill="1" applyBorder="1"/>
    <xf numFmtId="165" fontId="17" fillId="4" borderId="1" xfId="2" applyNumberFormat="1" applyFont="1" applyFill="1" applyBorder="1"/>
    <xf numFmtId="2" fontId="15" fillId="6" borderId="1" xfId="0" applyNumberFormat="1" applyFont="1" applyFill="1" applyBorder="1" applyAlignment="1">
      <alignment wrapText="1"/>
    </xf>
    <xf numFmtId="166" fontId="0" fillId="0" borderId="1" xfId="0" applyNumberFormat="1" applyBorder="1"/>
    <xf numFmtId="0" fontId="0" fillId="0" borderId="1" xfId="1" applyNumberFormat="1" applyFont="1" applyBorder="1"/>
    <xf numFmtId="0" fontId="0" fillId="4" borderId="1" xfId="1" applyNumberFormat="1" applyFont="1" applyFill="1" applyBorder="1"/>
    <xf numFmtId="1" fontId="6" fillId="4" borderId="1" xfId="4" applyNumberFormat="1" applyFont="1" applyFill="1" applyBorder="1" applyAlignment="1">
      <alignment horizontal="center"/>
    </xf>
    <xf numFmtId="1" fontId="15" fillId="6" borderId="1" xfId="1" applyNumberFormat="1" applyFont="1" applyFill="1" applyBorder="1"/>
    <xf numFmtId="43" fontId="0" fillId="6" borderId="1" xfId="1" applyFont="1" applyFill="1" applyBorder="1"/>
    <xf numFmtId="10" fontId="15" fillId="6" borderId="1" xfId="0" applyNumberFormat="1" applyFont="1" applyFill="1" applyBorder="1" applyAlignment="1">
      <alignment horizontal="right" vertical="center" wrapText="1"/>
    </xf>
    <xf numFmtId="10" fontId="15" fillId="6" borderId="1" xfId="2" applyNumberFormat="1" applyFont="1" applyFill="1" applyBorder="1" applyAlignment="1">
      <alignment vertical="center" wrapText="1"/>
    </xf>
    <xf numFmtId="43" fontId="0" fillId="0" borderId="0" xfId="0" applyNumberFormat="1"/>
    <xf numFmtId="10" fontId="0" fillId="0" borderId="0" xfId="2" applyNumberFormat="1" applyFont="1"/>
    <xf numFmtId="0" fontId="15" fillId="6" borderId="1" xfId="2" applyNumberFormat="1" applyFont="1" applyFill="1" applyBorder="1"/>
    <xf numFmtId="4" fontId="0" fillId="4" borderId="1" xfId="0" applyNumberFormat="1" applyFill="1" applyBorder="1"/>
    <xf numFmtId="4" fontId="0" fillId="0" borderId="1" xfId="0" applyNumberFormat="1" applyBorder="1"/>
    <xf numFmtId="0" fontId="18" fillId="0" borderId="0" xfId="6"/>
    <xf numFmtId="164" fontId="6" fillId="0" borderId="2" xfId="1" applyNumberFormat="1" applyFont="1" applyFill="1" applyBorder="1"/>
    <xf numFmtId="164" fontId="11" fillId="0" borderId="3" xfId="1" applyNumberFormat="1" applyFont="1" applyFill="1" applyBorder="1"/>
    <xf numFmtId="164" fontId="11" fillId="0" borderId="11" xfId="1" applyNumberFormat="1" applyFont="1" applyFill="1" applyBorder="1"/>
    <xf numFmtId="0" fontId="19" fillId="0" borderId="0" xfId="0" applyFont="1"/>
    <xf numFmtId="1" fontId="0" fillId="0" borderId="0" xfId="0" applyNumberFormat="1"/>
    <xf numFmtId="165" fontId="0" fillId="0" borderId="0" xfId="2" applyNumberFormat="1" applyFont="1"/>
    <xf numFmtId="166" fontId="0" fillId="0" borderId="0" xfId="0" applyNumberFormat="1"/>
    <xf numFmtId="9" fontId="0" fillId="0" borderId="0" xfId="2" applyFont="1"/>
    <xf numFmtId="166" fontId="6" fillId="0" borderId="0" xfId="4" applyNumberFormat="1" applyFont="1" applyAlignment="1">
      <alignment horizontal="center"/>
    </xf>
    <xf numFmtId="164" fontId="8" fillId="0" borderId="5" xfId="1" applyNumberFormat="1" applyFont="1" applyBorder="1"/>
    <xf numFmtId="167" fontId="8" fillId="0" borderId="5" xfId="1" applyNumberFormat="1" applyFont="1" applyFill="1" applyBorder="1"/>
    <xf numFmtId="0" fontId="18" fillId="0" borderId="0" xfId="6" applyFill="1"/>
    <xf numFmtId="9" fontId="6" fillId="0" borderId="3" xfId="2" applyFont="1" applyBorder="1" applyAlignment="1">
      <alignment horizontal="center"/>
    </xf>
    <xf numFmtId="3" fontId="5" fillId="0" borderId="0" xfId="0" applyNumberFormat="1" applyFont="1"/>
    <xf numFmtId="164" fontId="11" fillId="0" borderId="3" xfId="1" applyNumberFormat="1" applyFont="1" applyBorder="1"/>
    <xf numFmtId="164" fontId="7" fillId="4" borderId="1" xfId="1" applyNumberFormat="1" applyFont="1" applyFill="1" applyBorder="1" applyAlignment="1">
      <alignment horizontal="right"/>
    </xf>
    <xf numFmtId="164" fontId="11" fillId="4" borderId="4" xfId="1" applyNumberFormat="1" applyFont="1" applyFill="1" applyBorder="1"/>
    <xf numFmtId="3" fontId="7" fillId="4" borderId="1" xfId="4" applyNumberFormat="1" applyFont="1" applyFill="1" applyBorder="1" applyAlignment="1">
      <alignment horizontal="right"/>
    </xf>
    <xf numFmtId="0" fontId="0" fillId="6" borderId="0" xfId="0" applyFill="1"/>
    <xf numFmtId="164" fontId="8" fillId="0" borderId="1" xfId="1" applyNumberFormat="1" applyFont="1" applyBorder="1" applyAlignment="1">
      <alignment horizontal="right"/>
    </xf>
    <xf numFmtId="43" fontId="8" fillId="0" borderId="5" xfId="1" applyFont="1" applyFill="1" applyBorder="1"/>
    <xf numFmtId="164" fontId="8" fillId="0" borderId="1" xfId="1" applyNumberFormat="1" applyFont="1" applyFill="1" applyBorder="1" applyAlignment="1">
      <alignment horizontal="right"/>
    </xf>
    <xf numFmtId="0" fontId="7" fillId="3" borderId="5" xfId="4" applyFont="1" applyFill="1" applyBorder="1" applyAlignment="1">
      <alignment horizontal="right"/>
    </xf>
    <xf numFmtId="164" fontId="7" fillId="4" borderId="2" xfId="1" applyNumberFormat="1" applyFont="1" applyFill="1" applyBorder="1"/>
    <xf numFmtId="165" fontId="8" fillId="4" borderId="2" xfId="2" applyNumberFormat="1" applyFont="1" applyFill="1" applyBorder="1" applyAlignment="1">
      <alignment horizontal="right"/>
    </xf>
    <xf numFmtId="164" fontId="7" fillId="0" borderId="2" xfId="1" applyNumberFormat="1" applyFont="1" applyFill="1" applyBorder="1"/>
    <xf numFmtId="165" fontId="8" fillId="0" borderId="3" xfId="4" applyNumberFormat="1" applyFont="1" applyBorder="1" applyAlignment="1">
      <alignment horizontal="right"/>
    </xf>
    <xf numFmtId="0" fontId="6" fillId="0" borderId="3" xfId="3" applyFont="1" applyBorder="1"/>
    <xf numFmtId="165" fontId="8" fillId="4" borderId="3" xfId="2" applyNumberFormat="1" applyFont="1" applyFill="1" applyBorder="1" applyAlignment="1">
      <alignment horizontal="right"/>
    </xf>
    <xf numFmtId="165" fontId="8" fillId="4" borderId="11" xfId="2" applyNumberFormat="1" applyFont="1" applyFill="1" applyBorder="1" applyAlignment="1">
      <alignment horizontal="right"/>
    </xf>
    <xf numFmtId="164" fontId="6" fillId="0" borderId="15" xfId="1" applyNumberFormat="1" applyFont="1" applyFill="1" applyBorder="1"/>
    <xf numFmtId="164" fontId="5" fillId="0" borderId="2" xfId="1" applyNumberFormat="1" applyFont="1" applyFill="1" applyBorder="1"/>
    <xf numFmtId="164" fontId="11" fillId="4" borderId="3" xfId="1" applyNumberFormat="1" applyFont="1" applyFill="1" applyBorder="1"/>
    <xf numFmtId="164" fontId="12" fillId="4" borderId="3" xfId="1" applyNumberFormat="1" applyFont="1" applyFill="1" applyBorder="1"/>
    <xf numFmtId="164" fontId="0" fillId="0" borderId="2" xfId="1" applyNumberFormat="1" applyFont="1" applyFill="1" applyBorder="1"/>
    <xf numFmtId="164" fontId="0" fillId="4" borderId="2" xfId="1" applyNumberFormat="1" applyFont="1" applyFill="1" applyBorder="1"/>
    <xf numFmtId="164" fontId="12" fillId="4" borderId="2" xfId="1" applyNumberFormat="1" applyFont="1" applyFill="1" applyBorder="1"/>
    <xf numFmtId="164" fontId="11" fillId="4" borderId="2" xfId="1" applyNumberFormat="1" applyFont="1" applyFill="1" applyBorder="1"/>
    <xf numFmtId="164" fontId="11" fillId="0" borderId="18" xfId="1" applyNumberFormat="1" applyFont="1" applyFill="1" applyBorder="1"/>
    <xf numFmtId="164" fontId="12" fillId="4" borderId="19" xfId="1" applyNumberFormat="1" applyFont="1" applyFill="1" applyBorder="1"/>
    <xf numFmtId="43" fontId="8" fillId="0" borderId="14" xfId="1" applyFont="1" applyFill="1" applyBorder="1"/>
    <xf numFmtId="164" fontId="6" fillId="0" borderId="16" xfId="1" applyNumberFormat="1" applyFont="1" applyFill="1" applyBorder="1"/>
    <xf numFmtId="164" fontId="11" fillId="0" borderId="19" xfId="1" applyNumberFormat="1" applyFont="1" applyFill="1" applyBorder="1"/>
    <xf numFmtId="0" fontId="7" fillId="3" borderId="8" xfId="4" applyFont="1" applyFill="1" applyBorder="1" applyAlignment="1">
      <alignment horizontal="center"/>
    </xf>
    <xf numFmtId="0" fontId="7" fillId="3" borderId="9" xfId="4" applyFont="1" applyFill="1" applyBorder="1" applyAlignment="1">
      <alignment horizontal="center"/>
    </xf>
    <xf numFmtId="165" fontId="8" fillId="4" borderId="1" xfId="4" applyNumberFormat="1" applyFont="1" applyFill="1" applyBorder="1" applyAlignment="1">
      <alignment horizontal="right"/>
    </xf>
    <xf numFmtId="0" fontId="6" fillId="4" borderId="1" xfId="3" applyFont="1" applyFill="1" applyBorder="1"/>
    <xf numFmtId="164" fontId="7" fillId="0" borderId="1" xfId="1" applyNumberFormat="1" applyFont="1" applyFill="1" applyBorder="1" applyAlignment="1">
      <alignment horizontal="right"/>
    </xf>
    <xf numFmtId="164" fontId="5" fillId="5" borderId="1" xfId="1" applyNumberFormat="1" applyFont="1" applyFill="1" applyBorder="1" applyAlignment="1">
      <alignment horizontal="right"/>
    </xf>
    <xf numFmtId="164" fontId="6" fillId="6" borderId="1" xfId="1" applyNumberFormat="1" applyFont="1" applyFill="1" applyBorder="1" applyAlignment="1">
      <alignment horizontal="right"/>
    </xf>
    <xf numFmtId="164" fontId="5" fillId="6" borderId="1" xfId="1" applyNumberFormat="1" applyFont="1" applyFill="1" applyBorder="1" applyAlignment="1">
      <alignment horizontal="right"/>
    </xf>
    <xf numFmtId="167" fontId="6" fillId="0" borderId="2" xfId="1" applyNumberFormat="1" applyFont="1" applyFill="1" applyBorder="1"/>
    <xf numFmtId="0" fontId="7" fillId="3" borderId="22" xfId="4" applyFont="1" applyFill="1" applyBorder="1"/>
    <xf numFmtId="164" fontId="11" fillId="0" borderId="10" xfId="1" applyNumberFormat="1" applyFont="1" applyFill="1" applyBorder="1"/>
    <xf numFmtId="0" fontId="7" fillId="3" borderId="8" xfId="4" applyFont="1" applyFill="1" applyBorder="1" applyAlignment="1">
      <alignment horizontal="right"/>
    </xf>
    <xf numFmtId="0" fontId="7" fillId="3" borderId="9" xfId="4" applyFont="1" applyFill="1" applyBorder="1" applyAlignment="1">
      <alignment horizontal="right"/>
    </xf>
    <xf numFmtId="0" fontId="7" fillId="3" borderId="27" xfId="4" applyFont="1" applyFill="1" applyBorder="1" applyAlignment="1">
      <alignment horizontal="center"/>
    </xf>
    <xf numFmtId="0" fontId="7" fillId="0" borderId="28" xfId="4" applyFont="1" applyBorder="1" applyAlignment="1">
      <alignment horizontal="center"/>
    </xf>
    <xf numFmtId="0" fontId="7" fillId="3" borderId="29" xfId="4" applyFont="1" applyFill="1" applyBorder="1" applyAlignment="1">
      <alignment horizontal="center"/>
    </xf>
    <xf numFmtId="164" fontId="11" fillId="0" borderId="26" xfId="1" applyNumberFormat="1" applyFont="1" applyFill="1" applyBorder="1"/>
    <xf numFmtId="164" fontId="6" fillId="0" borderId="30" xfId="1" applyNumberFormat="1" applyFont="1" applyFill="1" applyBorder="1"/>
    <xf numFmtId="164" fontId="11" fillId="0" borderId="31" xfId="1" applyNumberFormat="1" applyFont="1" applyFill="1" applyBorder="1"/>
    <xf numFmtId="166" fontId="11" fillId="0" borderId="32" xfId="4" applyNumberFormat="1" applyFont="1" applyBorder="1"/>
    <xf numFmtId="166" fontId="6" fillId="0" borderId="33" xfId="4" applyNumberFormat="1" applyFont="1" applyBorder="1"/>
    <xf numFmtId="166" fontId="11" fillId="0" borderId="34" xfId="4" applyNumberFormat="1" applyFont="1" applyBorder="1"/>
    <xf numFmtId="164" fontId="11" fillId="0" borderId="35" xfId="1" applyNumberFormat="1" applyFont="1" applyFill="1" applyBorder="1"/>
    <xf numFmtId="164" fontId="11" fillId="0" borderId="5" xfId="1" applyNumberFormat="1" applyFont="1" applyFill="1" applyBorder="1"/>
    <xf numFmtId="164" fontId="11" fillId="0" borderId="6" xfId="1" applyNumberFormat="1" applyFont="1" applyFill="1" applyBorder="1"/>
    <xf numFmtId="164" fontId="11" fillId="0" borderId="14" xfId="1" applyNumberFormat="1" applyFont="1" applyFill="1" applyBorder="1"/>
    <xf numFmtId="164" fontId="6" fillId="0" borderId="14" xfId="1" applyNumberFormat="1" applyFont="1" applyFill="1" applyBorder="1"/>
    <xf numFmtId="164" fontId="6" fillId="0" borderId="21" xfId="1" applyNumberFormat="1" applyFont="1" applyFill="1" applyBorder="1"/>
    <xf numFmtId="164" fontId="6" fillId="0" borderId="6" xfId="1" applyNumberFormat="1" applyFont="1" applyFill="1" applyBorder="1"/>
    <xf numFmtId="167" fontId="6" fillId="0" borderId="16" xfId="1" applyNumberFormat="1" applyFont="1" applyFill="1" applyBorder="1"/>
    <xf numFmtId="167" fontId="11" fillId="0" borderId="19" xfId="1" applyNumberFormat="1" applyFont="1" applyFill="1" applyBorder="1"/>
    <xf numFmtId="167" fontId="6" fillId="0" borderId="14" xfId="1" applyNumberFormat="1" applyFont="1" applyFill="1" applyBorder="1"/>
    <xf numFmtId="167" fontId="6" fillId="0" borderId="6" xfId="1" applyNumberFormat="1" applyFont="1" applyFill="1" applyBorder="1"/>
    <xf numFmtId="0" fontId="7" fillId="3" borderId="35" xfId="4" applyFont="1" applyFill="1" applyBorder="1" applyAlignment="1">
      <alignment horizontal="right"/>
    </xf>
    <xf numFmtId="164" fontId="11" fillId="0" borderId="30" xfId="1" applyNumberFormat="1" applyFont="1" applyBorder="1"/>
    <xf numFmtId="164" fontId="6" fillId="0" borderId="30" xfId="1" applyNumberFormat="1" applyFont="1" applyBorder="1"/>
    <xf numFmtId="0" fontId="11" fillId="0" borderId="33" xfId="3" applyFont="1" applyBorder="1"/>
    <xf numFmtId="164" fontId="11" fillId="4" borderId="31" xfId="1" applyNumberFormat="1" applyFont="1" applyFill="1" applyBorder="1"/>
    <xf numFmtId="0" fontId="6" fillId="0" borderId="33" xfId="3" applyFont="1" applyBorder="1"/>
    <xf numFmtId="0" fontId="11" fillId="4" borderId="34" xfId="3" applyFont="1" applyFill="1" applyBorder="1"/>
    <xf numFmtId="164" fontId="11" fillId="0" borderId="2" xfId="1" applyNumberFormat="1" applyFont="1" applyBorder="1"/>
    <xf numFmtId="164" fontId="6" fillId="0" borderId="2" xfId="1" applyNumberFormat="1" applyFont="1" applyBorder="1"/>
    <xf numFmtId="164" fontId="11" fillId="4" borderId="11" xfId="1" applyNumberFormat="1" applyFont="1" applyFill="1" applyBorder="1"/>
    <xf numFmtId="164" fontId="11" fillId="0" borderId="16" xfId="1" applyNumberFormat="1" applyFont="1" applyBorder="1"/>
    <xf numFmtId="164" fontId="6" fillId="0" borderId="16" xfId="1" applyNumberFormat="1" applyFont="1" applyBorder="1"/>
    <xf numFmtId="164" fontId="11" fillId="4" borderId="19" xfId="1" applyNumberFormat="1" applyFont="1" applyFill="1" applyBorder="1"/>
    <xf numFmtId="164" fontId="12" fillId="4" borderId="31" xfId="1" applyNumberFormat="1" applyFont="1" applyFill="1" applyBorder="1"/>
    <xf numFmtId="164" fontId="5" fillId="0" borderId="30" xfId="1" applyNumberFormat="1" applyFont="1" applyFill="1" applyBorder="1"/>
    <xf numFmtId="164" fontId="12" fillId="4" borderId="11" xfId="1" applyNumberFormat="1" applyFont="1" applyFill="1" applyBorder="1"/>
    <xf numFmtId="164" fontId="11" fillId="0" borderId="16" xfId="1" applyNumberFormat="1" applyFont="1" applyFill="1" applyBorder="1"/>
    <xf numFmtId="164" fontId="5" fillId="0" borderId="16" xfId="1" applyNumberFormat="1" applyFont="1" applyFill="1" applyBorder="1"/>
    <xf numFmtId="0" fontId="11" fillId="0" borderId="36" xfId="3" applyFont="1" applyBorder="1"/>
    <xf numFmtId="164" fontId="11" fillId="0" borderId="26" xfId="1" applyNumberFormat="1" applyFont="1" applyBorder="1"/>
    <xf numFmtId="164" fontId="11" fillId="0" borderId="10" xfId="1" applyNumberFormat="1" applyFont="1" applyBorder="1"/>
    <xf numFmtId="164" fontId="11" fillId="0" borderId="12" xfId="1" applyNumberFormat="1" applyFont="1" applyBorder="1"/>
    <xf numFmtId="164" fontId="11" fillId="0" borderId="17" xfId="1" applyNumberFormat="1" applyFont="1" applyBorder="1"/>
    <xf numFmtId="164" fontId="12" fillId="0" borderId="17" xfId="1" applyNumberFormat="1" applyFont="1" applyBorder="1"/>
    <xf numFmtId="164" fontId="12" fillId="0" borderId="10" xfId="1" applyNumberFormat="1" applyFont="1" applyFill="1" applyBorder="1"/>
    <xf numFmtId="164" fontId="11" fillId="0" borderId="12" xfId="1" applyNumberFormat="1" applyFont="1" applyFill="1" applyBorder="1"/>
    <xf numFmtId="164" fontId="11" fillId="0" borderId="17" xfId="1" applyNumberFormat="1" applyFont="1" applyFill="1" applyBorder="1"/>
    <xf numFmtId="0" fontId="11" fillId="3" borderId="22" xfId="3" applyFont="1" applyFill="1" applyBorder="1"/>
    <xf numFmtId="0" fontId="7" fillId="3" borderId="27" xfId="4" applyFont="1" applyFill="1" applyBorder="1" applyAlignment="1">
      <alignment horizontal="right"/>
    </xf>
    <xf numFmtId="0" fontId="7" fillId="3" borderId="28" xfId="4" applyFont="1" applyFill="1" applyBorder="1" applyAlignment="1">
      <alignment horizontal="right"/>
    </xf>
    <xf numFmtId="0" fontId="7" fillId="3" borderId="28" xfId="4" applyFont="1" applyFill="1" applyBorder="1" applyAlignment="1">
      <alignment horizontal="center"/>
    </xf>
    <xf numFmtId="164" fontId="8" fillId="0" borderId="35" xfId="1" applyNumberFormat="1" applyFont="1" applyBorder="1"/>
    <xf numFmtId="41" fontId="6" fillId="0" borderId="30" xfId="3" applyNumberFormat="1" applyFont="1" applyBorder="1"/>
    <xf numFmtId="1" fontId="6" fillId="0" borderId="30" xfId="3" applyNumberFormat="1" applyFont="1" applyBorder="1"/>
    <xf numFmtId="164" fontId="6" fillId="0" borderId="30" xfId="3" applyNumberFormat="1" applyFont="1" applyBorder="1"/>
    <xf numFmtId="164" fontId="11" fillId="0" borderId="31" xfId="1" applyNumberFormat="1" applyFont="1" applyBorder="1"/>
    <xf numFmtId="0" fontId="6" fillId="0" borderId="32" xfId="3" applyFont="1" applyBorder="1"/>
    <xf numFmtId="1" fontId="11" fillId="0" borderId="34" xfId="3" applyNumberFormat="1" applyFont="1" applyBorder="1"/>
    <xf numFmtId="43" fontId="8" fillId="0" borderId="35" xfId="1" applyFont="1" applyFill="1" applyBorder="1"/>
    <xf numFmtId="43" fontId="8" fillId="0" borderId="6" xfId="1" applyFont="1" applyFill="1" applyBorder="1"/>
    <xf numFmtId="164" fontId="11" fillId="0" borderId="11" xfId="1" applyNumberFormat="1" applyFont="1" applyBorder="1"/>
    <xf numFmtId="164" fontId="11" fillId="0" borderId="19" xfId="1" applyNumberFormat="1" applyFont="1" applyBorder="1"/>
    <xf numFmtId="0" fontId="4" fillId="0" borderId="0" xfId="0" applyFont="1" applyFill="1" applyAlignment="1"/>
    <xf numFmtId="0" fontId="5" fillId="0" borderId="0" xfId="0" applyFont="1" applyFill="1"/>
    <xf numFmtId="164" fontId="7" fillId="4" borderId="30" xfId="1" applyNumberFormat="1" applyFont="1" applyFill="1" applyBorder="1"/>
    <xf numFmtId="165" fontId="8" fillId="4" borderId="30" xfId="2" applyNumberFormat="1" applyFont="1" applyFill="1" applyBorder="1" applyAlignment="1">
      <alignment horizontal="right"/>
    </xf>
    <xf numFmtId="165" fontId="8" fillId="0" borderId="30" xfId="2" applyNumberFormat="1" applyFont="1" applyBorder="1" applyAlignment="1">
      <alignment horizontal="right"/>
    </xf>
    <xf numFmtId="3" fontId="7" fillId="4" borderId="30" xfId="4" applyNumberFormat="1" applyFont="1" applyFill="1" applyBorder="1" applyAlignment="1">
      <alignment horizontal="right"/>
    </xf>
    <xf numFmtId="3" fontId="8" fillId="0" borderId="30" xfId="4" applyNumberFormat="1" applyFont="1" applyBorder="1" applyAlignment="1">
      <alignment horizontal="right"/>
    </xf>
    <xf numFmtId="164" fontId="8" fillId="0" borderId="30" xfId="1" applyNumberFormat="1" applyFont="1" applyBorder="1"/>
    <xf numFmtId="1" fontId="7" fillId="4" borderId="30" xfId="4" applyNumberFormat="1" applyFont="1" applyFill="1" applyBorder="1"/>
    <xf numFmtId="165" fontId="7" fillId="4" borderId="30" xfId="2" applyNumberFormat="1" applyFont="1" applyFill="1" applyBorder="1"/>
    <xf numFmtId="1" fontId="8" fillId="0" borderId="30" xfId="2" applyNumberFormat="1" applyFont="1" applyBorder="1"/>
    <xf numFmtId="164" fontId="5" fillId="5" borderId="30" xfId="1" applyNumberFormat="1" applyFont="1" applyFill="1" applyBorder="1" applyAlignment="1">
      <alignment horizontal="right"/>
    </xf>
    <xf numFmtId="1" fontId="8" fillId="0" borderId="30" xfId="4" applyNumberFormat="1" applyFont="1" applyBorder="1"/>
    <xf numFmtId="165" fontId="8" fillId="0" borderId="30" xfId="2" applyNumberFormat="1" applyFont="1" applyBorder="1"/>
    <xf numFmtId="0" fontId="6" fillId="0" borderId="30" xfId="3" applyFont="1" applyBorder="1"/>
    <xf numFmtId="1" fontId="7" fillId="4" borderId="30" xfId="2" applyNumberFormat="1" applyFont="1" applyFill="1" applyBorder="1" applyAlignment="1">
      <alignment horizontal="right"/>
    </xf>
    <xf numFmtId="2" fontId="7" fillId="4" borderId="30" xfId="4" applyNumberFormat="1" applyFont="1" applyFill="1" applyBorder="1"/>
    <xf numFmtId="165" fontId="8" fillId="0" borderId="30" xfId="2" applyNumberFormat="1" applyFont="1" applyFill="1" applyBorder="1" applyAlignment="1">
      <alignment horizontal="right"/>
    </xf>
    <xf numFmtId="0" fontId="7" fillId="0" borderId="33" xfId="4" applyFont="1" applyBorder="1"/>
    <xf numFmtId="0" fontId="7" fillId="4" borderId="33" xfId="4" applyFont="1" applyFill="1" applyBorder="1"/>
    <xf numFmtId="0" fontId="9" fillId="4" borderId="33" xfId="4" applyFont="1" applyFill="1" applyBorder="1"/>
    <xf numFmtId="0" fontId="8" fillId="0" borderId="33" xfId="4" applyFont="1" applyBorder="1"/>
    <xf numFmtId="0" fontId="10" fillId="4" borderId="33" xfId="4" applyFont="1" applyFill="1" applyBorder="1"/>
    <xf numFmtId="0" fontId="9" fillId="0" borderId="33" xfId="4" applyFont="1" applyBorder="1"/>
    <xf numFmtId="0" fontId="9" fillId="4" borderId="34" xfId="4" applyFont="1" applyFill="1" applyBorder="1"/>
    <xf numFmtId="0" fontId="7" fillId="0" borderId="36" xfId="4" applyFont="1" applyBorder="1"/>
    <xf numFmtId="165" fontId="8" fillId="0" borderId="31" xfId="2" applyNumberFormat="1" applyFont="1" applyBorder="1" applyAlignment="1">
      <alignment horizontal="right"/>
    </xf>
    <xf numFmtId="164" fontId="7" fillId="4" borderId="30" xfId="1" applyNumberFormat="1" applyFont="1" applyFill="1" applyBorder="1" applyAlignment="1">
      <alignment horizontal="right"/>
    </xf>
    <xf numFmtId="164" fontId="8" fillId="0" borderId="30" xfId="1" applyNumberFormat="1" applyFont="1" applyBorder="1" applyAlignment="1">
      <alignment horizontal="right"/>
    </xf>
    <xf numFmtId="164" fontId="5" fillId="6" borderId="30" xfId="1" applyNumberFormat="1" applyFont="1" applyFill="1" applyBorder="1" applyAlignment="1">
      <alignment horizontal="right"/>
    </xf>
    <xf numFmtId="164" fontId="8" fillId="0" borderId="30" xfId="1" applyNumberFormat="1" applyFont="1" applyFill="1" applyBorder="1" applyAlignment="1">
      <alignment horizontal="right"/>
    </xf>
    <xf numFmtId="164" fontId="7" fillId="0" borderId="30" xfId="1" applyNumberFormat="1" applyFont="1" applyFill="1" applyBorder="1" applyAlignment="1">
      <alignment horizontal="right"/>
    </xf>
    <xf numFmtId="165" fontId="8" fillId="4" borderId="31" xfId="2" applyNumberFormat="1" applyFont="1" applyFill="1" applyBorder="1" applyAlignment="1">
      <alignment horizontal="right"/>
    </xf>
    <xf numFmtId="164" fontId="7" fillId="4" borderId="2" xfId="1" applyNumberFormat="1" applyFont="1" applyFill="1" applyBorder="1" applyAlignment="1">
      <alignment horizontal="right"/>
    </xf>
    <xf numFmtId="164" fontId="8" fillId="0" borderId="2" xfId="1" applyNumberFormat="1" applyFont="1" applyBorder="1" applyAlignment="1">
      <alignment horizontal="right"/>
    </xf>
    <xf numFmtId="164" fontId="8" fillId="0" borderId="2" xfId="1" applyNumberFormat="1" applyFont="1" applyBorder="1"/>
    <xf numFmtId="165" fontId="7" fillId="4" borderId="2" xfId="2" applyNumberFormat="1" applyFont="1" applyFill="1" applyBorder="1"/>
    <xf numFmtId="164" fontId="5" fillId="6" borderId="2" xfId="1" applyNumberFormat="1" applyFont="1" applyFill="1" applyBorder="1" applyAlignment="1">
      <alignment horizontal="right"/>
    </xf>
    <xf numFmtId="165" fontId="8" fillId="0" borderId="2" xfId="2" applyNumberFormat="1" applyFont="1" applyBorder="1"/>
    <xf numFmtId="164" fontId="8" fillId="0" borderId="2" xfId="1" applyNumberFormat="1" applyFont="1" applyFill="1" applyBorder="1" applyAlignment="1">
      <alignment horizontal="right"/>
    </xf>
    <xf numFmtId="164" fontId="7" fillId="0" borderId="2" xfId="1" applyNumberFormat="1" applyFont="1" applyFill="1" applyBorder="1" applyAlignment="1">
      <alignment horizontal="right"/>
    </xf>
    <xf numFmtId="2" fontId="7" fillId="4" borderId="2" xfId="4" applyNumberFormat="1" applyFont="1" applyFill="1" applyBorder="1"/>
    <xf numFmtId="164" fontId="7" fillId="4" borderId="16" xfId="1" applyNumberFormat="1" applyFont="1" applyFill="1" applyBorder="1"/>
    <xf numFmtId="165" fontId="8" fillId="4" borderId="16" xfId="2" applyNumberFormat="1" applyFont="1" applyFill="1" applyBorder="1" applyAlignment="1">
      <alignment horizontal="right"/>
    </xf>
    <xf numFmtId="164" fontId="7" fillId="4" borderId="16" xfId="1" applyNumberFormat="1" applyFont="1" applyFill="1" applyBorder="1" applyAlignment="1">
      <alignment horizontal="right"/>
    </xf>
    <xf numFmtId="164" fontId="8" fillId="0" borderId="16" xfId="1" applyNumberFormat="1" applyFont="1" applyBorder="1" applyAlignment="1">
      <alignment horizontal="right"/>
    </xf>
    <xf numFmtId="164" fontId="8" fillId="0" borderId="16" xfId="1" applyNumberFormat="1" applyFont="1" applyBorder="1"/>
    <xf numFmtId="165" fontId="7" fillId="4" borderId="16" xfId="2" applyNumberFormat="1" applyFont="1" applyFill="1" applyBorder="1"/>
    <xf numFmtId="164" fontId="5" fillId="6" borderId="16" xfId="1" applyNumberFormat="1" applyFont="1" applyFill="1" applyBorder="1" applyAlignment="1">
      <alignment horizontal="right"/>
    </xf>
    <xf numFmtId="165" fontId="8" fillId="0" borderId="16" xfId="2" applyNumberFormat="1" applyFont="1" applyBorder="1"/>
    <xf numFmtId="164" fontId="8" fillId="0" borderId="16" xfId="1" applyNumberFormat="1" applyFont="1" applyFill="1" applyBorder="1" applyAlignment="1">
      <alignment horizontal="right"/>
    </xf>
    <xf numFmtId="164" fontId="7" fillId="0" borderId="16" xfId="1" applyNumberFormat="1" applyFont="1" applyFill="1" applyBorder="1" applyAlignment="1">
      <alignment horizontal="right"/>
    </xf>
    <xf numFmtId="2" fontId="7" fillId="4" borderId="16" xfId="4" applyNumberFormat="1" applyFont="1" applyFill="1" applyBorder="1"/>
    <xf numFmtId="165" fontId="8" fillId="4" borderId="19" xfId="2" applyNumberFormat="1" applyFont="1" applyFill="1" applyBorder="1" applyAlignment="1">
      <alignment horizontal="right"/>
    </xf>
    <xf numFmtId="164" fontId="7" fillId="4" borderId="15" xfId="1" applyNumberFormat="1" applyFont="1" applyFill="1" applyBorder="1"/>
    <xf numFmtId="164" fontId="7" fillId="4" borderId="15" xfId="1" applyNumberFormat="1" applyFont="1" applyFill="1" applyBorder="1" applyAlignment="1">
      <alignment horizontal="right"/>
    </xf>
    <xf numFmtId="164" fontId="8" fillId="6" borderId="15" xfId="1" applyNumberFormat="1" applyFont="1" applyFill="1" applyBorder="1" applyAlignment="1">
      <alignment horizontal="right"/>
    </xf>
    <xf numFmtId="164" fontId="8" fillId="6" borderId="15" xfId="1" applyNumberFormat="1" applyFont="1" applyFill="1" applyBorder="1"/>
    <xf numFmtId="165" fontId="8" fillId="4" borderId="15" xfId="2" applyNumberFormat="1" applyFont="1" applyFill="1" applyBorder="1" applyAlignment="1">
      <alignment horizontal="right"/>
    </xf>
    <xf numFmtId="165" fontId="7" fillId="4" borderId="15" xfId="2" applyNumberFormat="1" applyFont="1" applyFill="1" applyBorder="1"/>
    <xf numFmtId="164" fontId="8" fillId="0" borderId="15" xfId="1" applyNumberFormat="1" applyFont="1" applyBorder="1"/>
    <xf numFmtId="164" fontId="5" fillId="6" borderId="15" xfId="1" applyNumberFormat="1" applyFont="1" applyFill="1" applyBorder="1" applyAlignment="1">
      <alignment horizontal="right"/>
    </xf>
    <xf numFmtId="165" fontId="8" fillId="0" borderId="15" xfId="2" applyNumberFormat="1" applyFont="1" applyBorder="1"/>
    <xf numFmtId="164" fontId="11" fillId="6" borderId="30" xfId="1" applyNumberFormat="1" applyFont="1" applyFill="1" applyBorder="1"/>
    <xf numFmtId="164" fontId="8" fillId="0" borderId="15" xfId="1" applyNumberFormat="1" applyFont="1" applyFill="1" applyBorder="1" applyAlignment="1">
      <alignment horizontal="right"/>
    </xf>
    <xf numFmtId="164" fontId="7" fillId="0" borderId="15" xfId="1" applyNumberFormat="1" applyFont="1" applyFill="1" applyBorder="1" applyAlignment="1">
      <alignment horizontal="right"/>
    </xf>
    <xf numFmtId="2" fontId="7" fillId="4" borderId="15" xfId="4" applyNumberFormat="1" applyFont="1" applyFill="1" applyBorder="1"/>
    <xf numFmtId="164" fontId="8" fillId="6" borderId="2" xfId="1" applyNumberFormat="1" applyFont="1" applyFill="1" applyBorder="1" applyAlignment="1">
      <alignment horizontal="right"/>
    </xf>
    <xf numFmtId="164" fontId="8" fillId="6" borderId="2" xfId="1" applyNumberFormat="1" applyFont="1" applyFill="1" applyBorder="1"/>
    <xf numFmtId="164" fontId="11" fillId="6" borderId="2" xfId="1" applyNumberFormat="1" applyFont="1" applyFill="1" applyBorder="1"/>
    <xf numFmtId="164" fontId="8" fillId="0" borderId="16" xfId="1" applyNumberFormat="1" applyFont="1" applyFill="1" applyBorder="1"/>
    <xf numFmtId="164" fontId="5" fillId="0" borderId="16" xfId="1" applyNumberFormat="1" applyFont="1" applyFill="1" applyBorder="1" applyAlignment="1">
      <alignment horizontal="right"/>
    </xf>
    <xf numFmtId="165" fontId="8" fillId="0" borderId="16" xfId="2" applyNumberFormat="1" applyFont="1" applyFill="1" applyBorder="1"/>
    <xf numFmtId="164" fontId="6" fillId="0" borderId="16" xfId="1" applyNumberFormat="1" applyFont="1" applyFill="1" applyBorder="1" applyAlignment="1">
      <alignment horizontal="right"/>
    </xf>
    <xf numFmtId="164" fontId="12" fillId="5" borderId="26" xfId="1" applyNumberFormat="1" applyFont="1" applyFill="1" applyBorder="1" applyAlignment="1">
      <alignment horizontal="right"/>
    </xf>
    <xf numFmtId="164" fontId="12" fillId="5" borderId="10" xfId="1" applyNumberFormat="1" applyFont="1" applyFill="1" applyBorder="1" applyAlignment="1">
      <alignment horizontal="right"/>
    </xf>
    <xf numFmtId="164" fontId="12" fillId="6" borderId="12" xfId="1" applyNumberFormat="1" applyFont="1" applyFill="1" applyBorder="1"/>
    <xf numFmtId="164" fontId="12" fillId="6" borderId="17" xfId="1" applyNumberFormat="1" applyFont="1" applyFill="1" applyBorder="1"/>
    <xf numFmtId="164" fontId="12" fillId="6" borderId="26" xfId="1" applyNumberFormat="1" applyFont="1" applyFill="1" applyBorder="1"/>
    <xf numFmtId="164" fontId="12" fillId="6" borderId="10" xfId="1" applyNumberFormat="1" applyFont="1" applyFill="1" applyBorder="1"/>
    <xf numFmtId="164" fontId="12" fillId="0" borderId="12" xfId="1" applyNumberFormat="1" applyFont="1" applyFill="1" applyBorder="1"/>
    <xf numFmtId="164" fontId="12" fillId="6" borderId="20" xfId="1" applyNumberFormat="1" applyFont="1" applyFill="1" applyBorder="1"/>
    <xf numFmtId="164" fontId="12" fillId="0" borderId="17" xfId="1" applyNumberFormat="1" applyFont="1" applyFill="1" applyBorder="1"/>
    <xf numFmtId="164" fontId="7" fillId="0" borderId="30" xfId="1" applyNumberFormat="1" applyFont="1" applyBorder="1"/>
    <xf numFmtId="1" fontId="7" fillId="0" borderId="30" xfId="4" applyNumberFormat="1" applyFont="1" applyBorder="1"/>
    <xf numFmtId="1" fontId="6" fillId="0" borderId="30" xfId="4" applyNumberFormat="1" applyFont="1" applyBorder="1" applyAlignment="1">
      <alignment horizontal="right"/>
    </xf>
    <xf numFmtId="1" fontId="6" fillId="0" borderId="30" xfId="1" applyNumberFormat="1" applyFont="1" applyBorder="1" applyAlignment="1">
      <alignment horizontal="right"/>
    </xf>
    <xf numFmtId="164" fontId="11" fillId="4" borderId="30" xfId="1" applyNumberFormat="1" applyFont="1" applyFill="1" applyBorder="1"/>
    <xf numFmtId="0" fontId="8" fillId="0" borderId="36" xfId="4" applyFont="1" applyBorder="1"/>
    <xf numFmtId="0" fontId="6" fillId="0" borderId="33" xfId="4" quotePrefix="1" applyFont="1" applyBorder="1"/>
    <xf numFmtId="1" fontId="6" fillId="0" borderId="33" xfId="4" quotePrefix="1" applyNumberFormat="1" applyFont="1" applyBorder="1"/>
    <xf numFmtId="0" fontId="8" fillId="0" borderId="33" xfId="4" quotePrefix="1" applyFont="1" applyBorder="1"/>
    <xf numFmtId="0" fontId="11" fillId="4" borderId="33" xfId="3" applyFont="1" applyFill="1" applyBorder="1"/>
    <xf numFmtId="164" fontId="7" fillId="0" borderId="2" xfId="1" applyNumberFormat="1" applyFont="1" applyBorder="1"/>
    <xf numFmtId="164" fontId="7" fillId="0" borderId="16" xfId="1" applyNumberFormat="1" applyFont="1" applyBorder="1"/>
    <xf numFmtId="164" fontId="11" fillId="4" borderId="16" xfId="1" applyNumberFormat="1" applyFont="1" applyFill="1" applyBorder="1"/>
    <xf numFmtId="164" fontId="0" fillId="0" borderId="16" xfId="1" applyNumberFormat="1" applyFont="1" applyBorder="1"/>
    <xf numFmtId="164" fontId="5" fillId="0" borderId="16" xfId="1" applyNumberFormat="1" applyFont="1" applyBorder="1"/>
    <xf numFmtId="164" fontId="6" fillId="0" borderId="16" xfId="1" applyNumberFormat="1" applyFont="1" applyBorder="1" applyAlignment="1">
      <alignment horizontal="center"/>
    </xf>
    <xf numFmtId="164" fontId="12" fillId="4" borderId="16" xfId="1" applyNumberFormat="1" applyFont="1" applyFill="1" applyBorder="1"/>
    <xf numFmtId="164" fontId="6" fillId="6" borderId="16" xfId="1" applyNumberFormat="1" applyFont="1" applyFill="1" applyBorder="1" applyAlignment="1">
      <alignment horizontal="center"/>
    </xf>
    <xf numFmtId="164" fontId="6" fillId="6" borderId="16" xfId="1" applyNumberFormat="1" applyFont="1" applyFill="1" applyBorder="1"/>
    <xf numFmtId="164" fontId="7" fillId="0" borderId="16" xfId="1" applyNumberFormat="1" applyFont="1" applyFill="1" applyBorder="1"/>
    <xf numFmtId="164" fontId="0" fillId="6" borderId="16" xfId="1" applyNumberFormat="1" applyFont="1" applyFill="1" applyBorder="1"/>
    <xf numFmtId="164" fontId="0" fillId="0" borderId="16" xfId="1" applyNumberFormat="1" applyFont="1" applyFill="1" applyBorder="1"/>
    <xf numFmtId="164" fontId="0" fillId="4" borderId="16" xfId="1" applyNumberFormat="1" applyFont="1" applyFill="1" applyBorder="1"/>
    <xf numFmtId="0" fontId="7" fillId="3" borderId="13" xfId="4" applyFont="1" applyFill="1" applyBorder="1" applyAlignment="1">
      <alignment horizontal="right"/>
    </xf>
    <xf numFmtId="164" fontId="6" fillId="0" borderId="12" xfId="1" applyNumberFormat="1" applyFont="1" applyBorder="1"/>
    <xf numFmtId="164" fontId="6" fillId="0" borderId="17" xfId="1" applyNumberFormat="1" applyFont="1" applyBorder="1"/>
    <xf numFmtId="164" fontId="0" fillId="0" borderId="17" xfId="1" applyNumberFormat="1" applyFont="1" applyBorder="1"/>
    <xf numFmtId="164" fontId="0" fillId="0" borderId="17" xfId="1" applyNumberFormat="1" applyFont="1" applyFill="1" applyBorder="1"/>
    <xf numFmtId="164" fontId="0" fillId="0" borderId="12" xfId="1" applyNumberFormat="1" applyFont="1" applyFill="1" applyBorder="1"/>
    <xf numFmtId="0" fontId="7" fillId="3" borderId="22" xfId="4" applyFont="1" applyFill="1" applyBorder="1" applyAlignment="1">
      <alignment horizontal="right"/>
    </xf>
    <xf numFmtId="0" fontId="7" fillId="4" borderId="34" xfId="4" applyFont="1" applyFill="1" applyBorder="1"/>
    <xf numFmtId="164" fontId="7" fillId="4" borderId="31" xfId="1" applyNumberFormat="1" applyFont="1" applyFill="1" applyBorder="1"/>
    <xf numFmtId="164" fontId="7" fillId="4" borderId="3" xfId="1" applyNumberFormat="1" applyFont="1" applyFill="1" applyBorder="1"/>
    <xf numFmtId="164" fontId="7" fillId="4" borderId="11" xfId="1" applyNumberFormat="1" applyFont="1" applyFill="1" applyBorder="1"/>
    <xf numFmtId="2" fontId="6" fillId="0" borderId="30" xfId="4" applyNumberFormat="1" applyFont="1" applyBorder="1" applyAlignment="1">
      <alignment horizontal="center"/>
    </xf>
    <xf numFmtId="166" fontId="6" fillId="4" borderId="30" xfId="4" applyNumberFormat="1" applyFont="1" applyFill="1" applyBorder="1" applyAlignment="1">
      <alignment horizontal="center"/>
    </xf>
    <xf numFmtId="2" fontId="6" fillId="0" borderId="30" xfId="3" applyNumberFormat="1" applyFont="1" applyBorder="1" applyAlignment="1">
      <alignment horizontal="center"/>
    </xf>
    <xf numFmtId="166" fontId="6" fillId="0" borderId="30" xfId="4" applyNumberFormat="1" applyFont="1" applyBorder="1" applyAlignment="1">
      <alignment horizontal="center"/>
    </xf>
    <xf numFmtId="165" fontId="6" fillId="4" borderId="30" xfId="2" applyNumberFormat="1" applyFont="1" applyFill="1" applyBorder="1" applyAlignment="1">
      <alignment horizontal="center"/>
    </xf>
    <xf numFmtId="165" fontId="6" fillId="0" borderId="30" xfId="2" applyNumberFormat="1" applyFont="1" applyBorder="1" applyAlignment="1">
      <alignment horizontal="center"/>
    </xf>
    <xf numFmtId="1" fontId="6" fillId="4" borderId="30" xfId="4" applyNumberFormat="1" applyFont="1" applyFill="1" applyBorder="1" applyAlignment="1">
      <alignment horizontal="center"/>
    </xf>
    <xf numFmtId="9" fontId="6" fillId="0" borderId="31" xfId="2" applyFont="1" applyBorder="1" applyAlignment="1">
      <alignment horizontal="center"/>
    </xf>
    <xf numFmtId="0" fontId="8" fillId="4" borderId="33" xfId="4" applyFont="1" applyFill="1" applyBorder="1"/>
    <xf numFmtId="0" fontId="8" fillId="0" borderId="34" xfId="4" applyFont="1" applyBorder="1"/>
    <xf numFmtId="0" fontId="6" fillId="0" borderId="26" xfId="4" applyFont="1" applyBorder="1" applyAlignment="1">
      <alignment horizontal="center"/>
    </xf>
    <xf numFmtId="0" fontId="6" fillId="0" borderId="10" xfId="4" applyFont="1" applyBorder="1" applyAlignment="1">
      <alignment horizontal="center"/>
    </xf>
    <xf numFmtId="0" fontId="7" fillId="3" borderId="29" xfId="4" applyFont="1" applyFill="1" applyBorder="1" applyAlignment="1">
      <alignment horizontal="right"/>
    </xf>
    <xf numFmtId="2" fontId="6" fillId="0" borderId="12" xfId="3" applyNumberFormat="1" applyFont="1" applyBorder="1" applyAlignment="1">
      <alignment horizontal="right"/>
    </xf>
    <xf numFmtId="2" fontId="6" fillId="0" borderId="17" xfId="3" applyNumberFormat="1" applyFont="1" applyBorder="1" applyAlignment="1">
      <alignment horizontal="right"/>
    </xf>
    <xf numFmtId="2" fontId="5" fillId="0" borderId="17" xfId="0" applyNumberFormat="1" applyFont="1" applyBorder="1" applyAlignment="1">
      <alignment horizontal="right"/>
    </xf>
    <xf numFmtId="166" fontId="6" fillId="0" borderId="17" xfId="4" applyNumberFormat="1" applyFont="1" applyBorder="1" applyAlignment="1">
      <alignment horizontal="right"/>
    </xf>
    <xf numFmtId="0" fontId="6" fillId="0" borderId="17" xfId="3" applyFont="1" applyBorder="1" applyAlignment="1">
      <alignment horizontal="right"/>
    </xf>
    <xf numFmtId="0" fontId="5" fillId="0" borderId="17" xfId="3" applyFont="1" applyBorder="1" applyAlignment="1">
      <alignment horizontal="right"/>
    </xf>
    <xf numFmtId="2" fontId="6" fillId="0" borderId="2" xfId="4" applyNumberFormat="1" applyFont="1" applyBorder="1" applyAlignment="1">
      <alignment horizontal="right"/>
    </xf>
    <xf numFmtId="2" fontId="6" fillId="0" borderId="16" xfId="4" applyNumberFormat="1" applyFont="1" applyBorder="1" applyAlignment="1">
      <alignment horizontal="right"/>
    </xf>
    <xf numFmtId="166" fontId="6" fillId="0" borderId="16" xfId="4" applyNumberFormat="1" applyFont="1" applyBorder="1" applyAlignment="1">
      <alignment horizontal="right"/>
    </xf>
    <xf numFmtId="2" fontId="6" fillId="0" borderId="16" xfId="3" applyNumberFormat="1" applyFont="1" applyBorder="1" applyAlignment="1">
      <alignment horizontal="right"/>
    </xf>
    <xf numFmtId="1" fontId="6" fillId="4" borderId="2" xfId="4" applyNumberFormat="1" applyFont="1" applyFill="1" applyBorder="1" applyAlignment="1">
      <alignment horizontal="right"/>
    </xf>
    <xf numFmtId="1" fontId="6" fillId="4" borderId="16" xfId="4" applyNumberFormat="1" applyFont="1" applyFill="1" applyBorder="1" applyAlignment="1">
      <alignment horizontal="right"/>
    </xf>
    <xf numFmtId="166" fontId="6" fillId="0" borderId="2" xfId="3" applyNumberFormat="1" applyFont="1" applyBorder="1" applyAlignment="1">
      <alignment horizontal="right"/>
    </xf>
    <xf numFmtId="166" fontId="6" fillId="0" borderId="16" xfId="3" applyNumberFormat="1" applyFont="1" applyBorder="1" applyAlignment="1">
      <alignment horizontal="right"/>
    </xf>
    <xf numFmtId="166" fontId="5" fillId="0" borderId="16" xfId="0" applyNumberFormat="1" applyFont="1" applyBorder="1" applyAlignment="1">
      <alignment horizontal="right"/>
    </xf>
    <xf numFmtId="166" fontId="6" fillId="0" borderId="2" xfId="4" applyNumberFormat="1" applyFont="1" applyBorder="1" applyAlignment="1">
      <alignment horizontal="right"/>
    </xf>
    <xf numFmtId="165" fontId="6" fillId="4" borderId="2" xfId="2" applyNumberFormat="1" applyFont="1" applyFill="1" applyBorder="1" applyAlignment="1">
      <alignment horizontal="right"/>
    </xf>
    <xf numFmtId="165" fontId="6" fillId="4" borderId="16" xfId="2" applyNumberFormat="1" applyFont="1" applyFill="1" applyBorder="1" applyAlignment="1">
      <alignment horizontal="right"/>
    </xf>
    <xf numFmtId="166" fontId="6" fillId="4" borderId="2" xfId="4" applyNumberFormat="1" applyFont="1" applyFill="1" applyBorder="1" applyAlignment="1">
      <alignment horizontal="right"/>
    </xf>
    <xf numFmtId="166" fontId="6" fillId="4" borderId="16" xfId="4" applyNumberFormat="1" applyFont="1" applyFill="1" applyBorder="1" applyAlignment="1">
      <alignment horizontal="right"/>
    </xf>
    <xf numFmtId="165" fontId="6" fillId="0" borderId="2" xfId="2" applyNumberFormat="1" applyFont="1" applyBorder="1" applyAlignment="1">
      <alignment horizontal="right"/>
    </xf>
    <xf numFmtId="165" fontId="6" fillId="0" borderId="16" xfId="2" applyNumberFormat="1" applyFont="1" applyBorder="1" applyAlignment="1">
      <alignment horizontal="right"/>
    </xf>
    <xf numFmtId="165" fontId="6" fillId="0" borderId="16" xfId="2" applyNumberFormat="1" applyFont="1" applyFill="1" applyBorder="1" applyAlignment="1">
      <alignment horizontal="right"/>
    </xf>
    <xf numFmtId="9" fontId="6" fillId="0" borderId="11" xfId="2" applyFont="1" applyBorder="1" applyAlignment="1">
      <alignment horizontal="right"/>
    </xf>
    <xf numFmtId="9" fontId="6" fillId="0" borderId="19" xfId="2" applyFont="1" applyBorder="1" applyAlignment="1">
      <alignment horizontal="right"/>
    </xf>
    <xf numFmtId="9" fontId="6" fillId="0" borderId="19" xfId="2" applyFont="1" applyFill="1" applyBorder="1" applyAlignment="1">
      <alignment horizontal="right"/>
    </xf>
    <xf numFmtId="43" fontId="5" fillId="0" borderId="14" xfId="1" applyFont="1" applyFill="1" applyBorder="1"/>
    <xf numFmtId="2" fontId="6" fillId="0" borderId="16" xfId="3" applyNumberFormat="1" applyFont="1" applyFill="1" applyBorder="1" applyAlignment="1">
      <alignment horizontal="right"/>
    </xf>
    <xf numFmtId="166" fontId="5" fillId="0" borderId="16" xfId="0" applyNumberFormat="1" applyFont="1" applyFill="1" applyBorder="1" applyAlignment="1">
      <alignment horizontal="right"/>
    </xf>
    <xf numFmtId="166" fontId="6" fillId="0" borderId="16" xfId="4" applyNumberFormat="1" applyFont="1" applyFill="1" applyBorder="1" applyAlignment="1">
      <alignment horizontal="right"/>
    </xf>
    <xf numFmtId="0" fontId="7" fillId="3" borderId="7" xfId="4" applyFont="1" applyFill="1" applyBorder="1" applyAlignment="1">
      <alignment horizontal="center"/>
    </xf>
    <xf numFmtId="0" fontId="7" fillId="3" borderId="8" xfId="4" applyFont="1" applyFill="1" applyBorder="1" applyAlignment="1">
      <alignment horizontal="center"/>
    </xf>
    <xf numFmtId="0" fontId="7" fillId="3" borderId="9" xfId="4" applyFont="1" applyFill="1" applyBorder="1" applyAlignment="1">
      <alignment horizontal="center"/>
    </xf>
    <xf numFmtId="0" fontId="7" fillId="3" borderId="23" xfId="4" applyFont="1" applyFill="1" applyBorder="1" applyAlignment="1">
      <alignment horizontal="center"/>
    </xf>
    <xf numFmtId="0" fontId="7" fillId="3" borderId="24" xfId="4" applyFont="1" applyFill="1" applyBorder="1" applyAlignment="1">
      <alignment horizontal="center"/>
    </xf>
    <xf numFmtId="0" fontId="7" fillId="3" borderId="25" xfId="4" applyFont="1" applyFill="1" applyBorder="1" applyAlignment="1">
      <alignment horizontal="center"/>
    </xf>
    <xf numFmtId="0" fontId="20" fillId="2" borderId="7" xfId="0" applyFont="1" applyFill="1" applyBorder="1" applyAlignment="1">
      <alignment horizontal="center"/>
    </xf>
    <xf numFmtId="0" fontId="20" fillId="2" borderId="8" xfId="0" applyFont="1" applyFill="1" applyBorder="1" applyAlignment="1">
      <alignment horizontal="center"/>
    </xf>
    <xf numFmtId="0" fontId="20" fillId="2" borderId="9" xfId="0" applyFont="1" applyFill="1" applyBorder="1" applyAlignment="1">
      <alignment horizontal="center"/>
    </xf>
    <xf numFmtId="0" fontId="14" fillId="6" borderId="1" xfId="0" applyFont="1" applyFill="1" applyBorder="1" applyAlignment="1">
      <alignment horizontal="left"/>
    </xf>
    <xf numFmtId="0" fontId="14" fillId="7" borderId="1" xfId="0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/>
    </xf>
    <xf numFmtId="0" fontId="5" fillId="0" borderId="17" xfId="3" applyFont="1" applyFill="1" applyBorder="1" applyAlignment="1">
      <alignment horizontal="right"/>
    </xf>
  </cellXfs>
  <cellStyles count="8">
    <cellStyle name="Comma" xfId="1" builtinId="3"/>
    <cellStyle name="Comma 2" xfId="7"/>
    <cellStyle name="Hyperlink" xfId="6" builtinId="8"/>
    <cellStyle name="Normal" xfId="0" builtinId="0"/>
    <cellStyle name="Normal 2" xfId="3"/>
    <cellStyle name="Normal_TEMP_CO" xfId="5"/>
    <cellStyle name="Percent" xfId="2" builtinId="5"/>
    <cellStyle name="Style 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811997911814485E-2"/>
          <c:y val="5.0174148083517063E-2"/>
          <c:w val="0.78719743439306022"/>
          <c:h val="0.771988730882549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[1]Sheet1!$B$10</c:f>
              <c:strCache>
                <c:ptCount val="1"/>
                <c:pt idx="0">
                  <c:v>Revenues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9615859685129925E-3"/>
                  <c:y val="-1.48888588267688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C9-4154-A125-0049AC0085C3}"/>
                </c:ext>
              </c:extLst>
            </c:dLbl>
            <c:dLbl>
              <c:idx val="1"/>
              <c:layout>
                <c:manualLayout>
                  <c:x val="1.961585968512957E-3"/>
                  <c:y val="-2.31007323894235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C9-4154-A125-0049AC0085C3}"/>
                </c:ext>
              </c:extLst>
            </c:dLbl>
            <c:dLbl>
              <c:idx val="2"/>
              <c:layout>
                <c:manualLayout>
                  <c:x val="0"/>
                  <c:y val="-1.91978992230088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C9-4154-A125-0049AC0085C3}"/>
                </c:ext>
              </c:extLst>
            </c:dLbl>
            <c:dLbl>
              <c:idx val="3"/>
              <c:layout>
                <c:manualLayout>
                  <c:x val="-5.884757905538906E-3"/>
                  <c:y val="1.13266204701166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C9-4154-A125-0049AC0085C3}"/>
                </c:ext>
              </c:extLst>
            </c:dLbl>
            <c:dLbl>
              <c:idx val="4"/>
              <c:layout>
                <c:manualLayout>
                  <c:x val="-1.9615859685129925E-3"/>
                  <c:y val="1.83873278088658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C9-4154-A125-0049AC0085C3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[1]Sheet1!$A$11:$A$15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[1]Sheet1!$B$11:$B$15</c:f>
              <c:numCache>
                <c:formatCode>General</c:formatCode>
                <c:ptCount val="5"/>
                <c:pt idx="0">
                  <c:v>3105.8</c:v>
                </c:pt>
                <c:pt idx="1">
                  <c:v>3511.3</c:v>
                </c:pt>
                <c:pt idx="2">
                  <c:v>3535.1</c:v>
                </c:pt>
                <c:pt idx="3">
                  <c:v>4233.7</c:v>
                </c:pt>
                <c:pt idx="4">
                  <c:v>4689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DC9-4154-A125-0049AC0085C3}"/>
            </c:ext>
          </c:extLst>
        </c:ser>
        <c:ser>
          <c:idx val="1"/>
          <c:order val="1"/>
          <c:tx>
            <c:strRef>
              <c:f>[1]Sheet1!$C$10</c:f>
              <c:strCache>
                <c:ptCount val="1"/>
                <c:pt idx="0">
                  <c:v>EBIT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[1]Sheet1!$A$11:$A$15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[1]Sheet1!$C$11:$C$15</c:f>
              <c:numCache>
                <c:formatCode>General</c:formatCode>
                <c:ptCount val="5"/>
                <c:pt idx="0">
                  <c:v>489.5</c:v>
                </c:pt>
                <c:pt idx="1">
                  <c:v>546.29999999999995</c:v>
                </c:pt>
                <c:pt idx="2">
                  <c:v>498.3</c:v>
                </c:pt>
                <c:pt idx="3">
                  <c:v>563.79999999999995</c:v>
                </c:pt>
                <c:pt idx="4">
                  <c:v>733.7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DC9-4154-A125-0049AC0085C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72278928"/>
        <c:axId val="372275792"/>
      </c:barChart>
      <c:lineChart>
        <c:grouping val="standard"/>
        <c:varyColors val="0"/>
        <c:ser>
          <c:idx val="2"/>
          <c:order val="2"/>
          <c:tx>
            <c:strRef>
              <c:f>[1]Sheet1!$D$10</c:f>
              <c:strCache>
                <c:ptCount val="1"/>
                <c:pt idx="0">
                  <c:v>EBIT margins</c:v>
                </c:pt>
              </c:strCache>
            </c:strRef>
          </c:tx>
          <c:marker>
            <c:symbol val="none"/>
          </c:marker>
          <c:dLbls>
            <c:dLbl>
              <c:idx val="2"/>
              <c:layout>
                <c:manualLayout>
                  <c:x val="-6.4823748713482301E-2"/>
                  <c:y val="-8.42640405971319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DC9-4154-A125-0049AC0085C3}"/>
                </c:ext>
              </c:extLst>
            </c:dLbl>
            <c:dLbl>
              <c:idx val="3"/>
              <c:layout>
                <c:manualLayout>
                  <c:x val="-8.1390313038494866E-2"/>
                  <c:y val="-8.89453761858615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DC9-4154-A125-0049AC0085C3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[1]Sheet1!$A$11:$A$15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[1]Sheet1!$D$11:$D$15</c:f>
              <c:numCache>
                <c:formatCode>General</c:formatCode>
                <c:ptCount val="5"/>
                <c:pt idx="0">
                  <c:v>0.15760834567583232</c:v>
                </c:pt>
                <c:pt idx="1">
                  <c:v>0.15558340215874461</c:v>
                </c:pt>
                <c:pt idx="2">
                  <c:v>0.14095782297530482</c:v>
                </c:pt>
                <c:pt idx="3">
                  <c:v>0.13316956799017407</c:v>
                </c:pt>
                <c:pt idx="4">
                  <c:v>0.15647259543612713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DC9-4154-A125-0049AC0085C3}"/>
            </c:ext>
          </c:extLst>
        </c:ser>
        <c:ser>
          <c:idx val="3"/>
          <c:order val="3"/>
          <c:tx>
            <c:strRef>
              <c:f>[1]Sheet1!$F$10</c:f>
              <c:strCache>
                <c:ptCount val="1"/>
                <c:pt idx="0">
                  <c:v>ROCE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[1]Sheet1!$F$11:$F$15</c:f>
              <c:numCache>
                <c:formatCode>General</c:formatCode>
                <c:ptCount val="5"/>
                <c:pt idx="0">
                  <c:v>0.59441408621736491</c:v>
                </c:pt>
                <c:pt idx="1">
                  <c:v>0.65089955915643982</c:v>
                </c:pt>
                <c:pt idx="2">
                  <c:v>0.47371423139081659</c:v>
                </c:pt>
                <c:pt idx="3">
                  <c:v>0.51810328983642706</c:v>
                </c:pt>
                <c:pt idx="4">
                  <c:v>0.4595678045725024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DC9-4154-A125-0049AC0085C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72278144"/>
        <c:axId val="372276184"/>
      </c:lineChart>
      <c:catAx>
        <c:axId val="37227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2275792"/>
        <c:crosses val="autoZero"/>
        <c:auto val="1"/>
        <c:lblAlgn val="ctr"/>
        <c:lblOffset val="100"/>
        <c:noMultiLvlLbl val="0"/>
      </c:catAx>
      <c:valAx>
        <c:axId val="372275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372278928"/>
        <c:crosses val="autoZero"/>
        <c:crossBetween val="between"/>
      </c:valAx>
      <c:valAx>
        <c:axId val="37227618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solidFill>
            <a:sysClr val="window" lastClr="FFFFFF"/>
          </a:solidFill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372278144"/>
        <c:crosses val="max"/>
        <c:crossBetween val="between"/>
      </c:valAx>
      <c:catAx>
        <c:axId val="372278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72276184"/>
        <c:crosses val="autoZero"/>
        <c:auto val="1"/>
        <c:lblAlgn val="ctr"/>
        <c:lblOffset val="100"/>
        <c:noMultiLvlLbl val="0"/>
      </c:catAx>
      <c:spPr>
        <a:solidFill>
          <a:sysClr val="window" lastClr="FFFFFF"/>
        </a:solidFill>
      </c:spPr>
    </c:plotArea>
    <c:legend>
      <c:legendPos val="b"/>
      <c:layout>
        <c:manualLayout>
          <c:xMode val="edge"/>
          <c:yMode val="edge"/>
          <c:x val="0.19944838993431205"/>
          <c:y val="0.9153478140190151"/>
          <c:w val="0.5359497698071144"/>
          <c:h val="8.4652185980984937E-2"/>
        </c:manualLayout>
      </c:layout>
      <c:overlay val="0"/>
    </c:legend>
    <c:plotVisOnly val="1"/>
    <c:dispBlanksAs val="gap"/>
    <c:showDLblsOverMax val="0"/>
  </c:chart>
  <c:spPr>
    <a:ln>
      <a:solidFill>
        <a:schemeClr val="bg1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[1]Sheet1!$B$2</c:f>
              <c:strCache>
                <c:ptCount val="1"/>
                <c:pt idx="0">
                  <c:v>Revenues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1.5399155666202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11-4010-ABAC-40FCC134ACE8}"/>
                </c:ext>
              </c:extLst>
            </c:dLbl>
            <c:dLbl>
              <c:idx val="1"/>
              <c:layout>
                <c:manualLayout>
                  <c:x val="-4.0275093911083214E-3"/>
                  <c:y val="-9.451183031937715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11-4010-ABAC-40FCC134ACE8}"/>
                </c:ext>
              </c:extLst>
            </c:dLbl>
            <c:dLbl>
              <c:idx val="2"/>
              <c:layout>
                <c:manualLayout>
                  <c:x val="-4.3058649100998127E-3"/>
                  <c:y val="-3.4181339369158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11-4010-ABAC-40FCC134ACE8}"/>
                </c:ext>
              </c:extLst>
            </c:dLbl>
            <c:dLbl>
              <c:idx val="3"/>
              <c:layout>
                <c:manualLayout>
                  <c:x val="-2.1529324550499064E-3"/>
                  <c:y val="-5.784566792664885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11-4010-ABAC-40FCC134ACE8}"/>
                </c:ext>
              </c:extLst>
            </c:dLbl>
            <c:dLbl>
              <c:idx val="4"/>
              <c:layout>
                <c:manualLayout>
                  <c:x val="0"/>
                  <c:y val="1.2110481325084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11-4010-ABAC-40FCC134ACE8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[1]Sheet1!$A$3:$A$7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[1]Sheet1!$B$3:$B$7</c:f>
              <c:numCache>
                <c:formatCode>General</c:formatCode>
                <c:ptCount val="5"/>
                <c:pt idx="0">
                  <c:v>5139.7</c:v>
                </c:pt>
                <c:pt idx="1">
                  <c:v>6404.3</c:v>
                </c:pt>
                <c:pt idx="2">
                  <c:v>6347.5</c:v>
                </c:pt>
                <c:pt idx="3">
                  <c:v>6850.5</c:v>
                </c:pt>
                <c:pt idx="4">
                  <c:v>9385.7000000000007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711-4010-ABAC-40FCC134ACE8}"/>
            </c:ext>
          </c:extLst>
        </c:ser>
        <c:ser>
          <c:idx val="1"/>
          <c:order val="1"/>
          <c:tx>
            <c:strRef>
              <c:f>[1]Sheet1!$C$2</c:f>
              <c:strCache>
                <c:ptCount val="1"/>
                <c:pt idx="0">
                  <c:v>EBIT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[1]Sheet1!$A$3:$A$7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[1]Sheet1!$C$3:$C$7</c:f>
              <c:numCache>
                <c:formatCode>General</c:formatCode>
                <c:ptCount val="5"/>
                <c:pt idx="0">
                  <c:v>136.69999999999999</c:v>
                </c:pt>
                <c:pt idx="1">
                  <c:v>220.4</c:v>
                </c:pt>
                <c:pt idx="2">
                  <c:v>352</c:v>
                </c:pt>
                <c:pt idx="3">
                  <c:v>560.5</c:v>
                </c:pt>
                <c:pt idx="4">
                  <c:v>769.9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711-4010-ABAC-40FCC134ACE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72279712"/>
        <c:axId val="372276576"/>
      </c:barChart>
      <c:lineChart>
        <c:grouping val="standard"/>
        <c:varyColors val="0"/>
        <c:ser>
          <c:idx val="2"/>
          <c:order val="2"/>
          <c:tx>
            <c:strRef>
              <c:f>[1]Sheet1!$D$2</c:f>
              <c:strCache>
                <c:ptCount val="1"/>
                <c:pt idx="0">
                  <c:v>EBIT margins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7.7271627689830577E-2"/>
                  <c:y val="-4.01662100966887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11-4010-ABAC-40FCC134ACE8}"/>
                </c:ext>
              </c:extLst>
            </c:dLbl>
            <c:dLbl>
              <c:idx val="1"/>
              <c:layout>
                <c:manualLayout>
                  <c:x val="-6.8381711872880016E-2"/>
                  <c:y val="-7.36380518439295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11-4010-ABAC-40FCC134ACE8}"/>
                </c:ext>
              </c:extLst>
            </c:dLbl>
            <c:dLbl>
              <c:idx val="2"/>
              <c:layout>
                <c:manualLayout>
                  <c:x val="-7.4840332458442696E-2"/>
                  <c:y val="-8.03324201933776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711-4010-ABAC-40FCC134ACE8}"/>
                </c:ext>
              </c:extLst>
            </c:dLbl>
            <c:dLbl>
              <c:idx val="3"/>
              <c:layout>
                <c:manualLayout>
                  <c:x val="-5.8173665791775978E-2"/>
                  <c:y val="-4.68605784461369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711-4010-ABAC-40FCC134ACE8}"/>
                </c:ext>
              </c:extLst>
            </c:dLbl>
            <c:dLbl>
              <c:idx val="4"/>
              <c:layout>
                <c:manualLayout>
                  <c:x val="-7.484055118110236E-2"/>
                  <c:y val="-0.1071098935911701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711-4010-ABAC-40FCC134ACE8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[1]Sheet1!$A$3:$A$7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[1]Sheet1!$D$3:$D$7</c:f>
              <c:numCache>
                <c:formatCode>General</c:formatCode>
                <c:ptCount val="5"/>
                <c:pt idx="0">
                  <c:v>2.6596883086561472E-2</c:v>
                </c:pt>
                <c:pt idx="1">
                  <c:v>3.4414377839888821E-2</c:v>
                </c:pt>
                <c:pt idx="2">
                  <c:v>5.5454903505317052E-2</c:v>
                </c:pt>
                <c:pt idx="3">
                  <c:v>8.1818845339756224E-2</c:v>
                </c:pt>
                <c:pt idx="4">
                  <c:v>8.2029044184237718E-2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711-4010-ABAC-40FCC134ACE8}"/>
            </c:ext>
          </c:extLst>
        </c:ser>
        <c:ser>
          <c:idx val="3"/>
          <c:order val="3"/>
          <c:tx>
            <c:strRef>
              <c:f>[1]Sheet1!$F$2</c:f>
              <c:strCache>
                <c:ptCount val="1"/>
                <c:pt idx="0">
                  <c:v>ROCE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7004226698023762E-2"/>
                  <c:y val="-0.1004155252417220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711-4010-ABAC-40FCC134ACE8}"/>
                </c:ext>
              </c:extLst>
            </c:dLbl>
            <c:dLbl>
              <c:idx val="1"/>
              <c:layout>
                <c:manualLayout>
                  <c:x val="-6.8770087325991783E-2"/>
                  <c:y val="-4.01662100966888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711-4010-ABAC-40FCC134ACE8}"/>
                </c:ext>
              </c:extLst>
            </c:dLbl>
            <c:dLbl>
              <c:idx val="2"/>
              <c:layout>
                <c:manualLayout>
                  <c:x val="-6.4464222415891961E-2"/>
                  <c:y val="-6.69436834944813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711-4010-ABAC-40FCC134ACE8}"/>
                </c:ext>
              </c:extLst>
            </c:dLbl>
            <c:dLbl>
              <c:idx val="3"/>
              <c:layout>
                <c:manualLayout>
                  <c:x val="-3.8629032955293088E-2"/>
                  <c:y val="-6.69436834944813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711-4010-ABAC-40FCC134ACE8}"/>
                </c:ext>
              </c:extLst>
            </c:dLbl>
            <c:dLbl>
              <c:idx val="4"/>
              <c:layout>
                <c:manualLayout>
                  <c:x val="-2.7864370680043552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711-4010-ABAC-40FCC134ACE8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[1]Sheet1!$F$3:$F$7</c:f>
              <c:numCache>
                <c:formatCode>General</c:formatCode>
                <c:ptCount val="5"/>
                <c:pt idx="0">
                  <c:v>0.11245475485357025</c:v>
                </c:pt>
                <c:pt idx="1">
                  <c:v>0.1722547870261821</c:v>
                </c:pt>
                <c:pt idx="2">
                  <c:v>0.19177335875783166</c:v>
                </c:pt>
                <c:pt idx="3">
                  <c:v>0.32562598036367862</c:v>
                </c:pt>
                <c:pt idx="4">
                  <c:v>0.35617135455218357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F711-4010-ABAC-40FCC134ACE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72277360"/>
        <c:axId val="372276968"/>
      </c:lineChart>
      <c:catAx>
        <c:axId val="37227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2276576"/>
        <c:crosses val="autoZero"/>
        <c:auto val="1"/>
        <c:lblAlgn val="ctr"/>
        <c:lblOffset val="100"/>
        <c:noMultiLvlLbl val="0"/>
      </c:catAx>
      <c:valAx>
        <c:axId val="3722765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372279712"/>
        <c:crosses val="autoZero"/>
        <c:crossBetween val="between"/>
      </c:valAx>
      <c:valAx>
        <c:axId val="37227696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solidFill>
            <a:schemeClr val="bg1"/>
          </a:solidFill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372277360"/>
        <c:crosses val="max"/>
        <c:crossBetween val="between"/>
      </c:valAx>
      <c:catAx>
        <c:axId val="372277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72276968"/>
        <c:crosses val="autoZero"/>
        <c:auto val="1"/>
        <c:lblAlgn val="ctr"/>
        <c:lblOffset val="100"/>
        <c:noMultiLvlLbl val="0"/>
      </c:cat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357371</xdr:colOff>
      <xdr:row>14</xdr:row>
      <xdr:rowOff>56896</xdr:rowOff>
    </xdr:from>
    <xdr:to>
      <xdr:col>18</xdr:col>
      <xdr:colOff>87586</xdr:colOff>
      <xdr:row>28</xdr:row>
      <xdr:rowOff>164107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144517</xdr:colOff>
      <xdr:row>1</xdr:row>
      <xdr:rowOff>95468</xdr:rowOff>
    </xdr:from>
    <xdr:to>
      <xdr:col>16</xdr:col>
      <xdr:colOff>525517</xdr:colOff>
      <xdr:row>12</xdr:row>
      <xdr:rowOff>131378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on%20Exchange/Ion%20Exchange-%20Segmental%20Wor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B2" t="str">
            <v>Revenues</v>
          </cell>
          <cell r="C2" t="str">
            <v>EBIT</v>
          </cell>
          <cell r="D2" t="str">
            <v>EBIT margins</v>
          </cell>
          <cell r="F2" t="str">
            <v>ROCE</v>
          </cell>
        </row>
        <row r="3">
          <cell r="A3">
            <v>2016</v>
          </cell>
          <cell r="B3">
            <v>5139.7</v>
          </cell>
          <cell r="C3">
            <v>136.69999999999999</v>
          </cell>
          <cell r="D3">
            <v>2.6596883086561472E-2</v>
          </cell>
          <cell r="F3">
            <v>0.11245475485357025</v>
          </cell>
        </row>
        <row r="4">
          <cell r="A4">
            <v>2017</v>
          </cell>
          <cell r="B4">
            <v>6404.3</v>
          </cell>
          <cell r="C4">
            <v>220.4</v>
          </cell>
          <cell r="D4">
            <v>3.4414377839888821E-2</v>
          </cell>
          <cell r="F4">
            <v>0.1722547870261821</v>
          </cell>
        </row>
        <row r="5">
          <cell r="A5">
            <v>2018</v>
          </cell>
          <cell r="B5">
            <v>6347.5</v>
          </cell>
          <cell r="C5">
            <v>352</v>
          </cell>
          <cell r="D5">
            <v>5.5454903505317052E-2</v>
          </cell>
          <cell r="F5">
            <v>0.19177335875783166</v>
          </cell>
        </row>
        <row r="6">
          <cell r="A6">
            <v>2019</v>
          </cell>
          <cell r="B6">
            <v>6850.5</v>
          </cell>
          <cell r="C6">
            <v>560.5</v>
          </cell>
          <cell r="D6">
            <v>8.1818845339756224E-2</v>
          </cell>
          <cell r="F6">
            <v>0.32562598036367862</v>
          </cell>
        </row>
        <row r="7">
          <cell r="A7">
            <v>2020</v>
          </cell>
          <cell r="B7">
            <v>9385.7000000000007</v>
          </cell>
          <cell r="C7">
            <v>769.9</v>
          </cell>
          <cell r="D7">
            <v>8.2029044184237718E-2</v>
          </cell>
          <cell r="F7">
            <v>0.35617135455218357</v>
          </cell>
        </row>
        <row r="10">
          <cell r="B10" t="str">
            <v>Revenues</v>
          </cell>
          <cell r="C10" t="str">
            <v>EBIT</v>
          </cell>
          <cell r="D10" t="str">
            <v>EBIT margins</v>
          </cell>
          <cell r="F10" t="str">
            <v>ROCE</v>
          </cell>
        </row>
        <row r="11">
          <cell r="A11">
            <v>2016</v>
          </cell>
          <cell r="B11">
            <v>3105.8</v>
          </cell>
          <cell r="C11">
            <v>489.5</v>
          </cell>
          <cell r="D11">
            <v>0.15760834567583232</v>
          </cell>
          <cell r="F11">
            <v>0.59441408621736491</v>
          </cell>
        </row>
        <row r="12">
          <cell r="A12">
            <v>2017</v>
          </cell>
          <cell r="B12">
            <v>3511.3</v>
          </cell>
          <cell r="C12">
            <v>546.29999999999995</v>
          </cell>
          <cell r="D12">
            <v>0.15558340215874461</v>
          </cell>
          <cell r="F12">
            <v>0.65089955915643982</v>
          </cell>
        </row>
        <row r="13">
          <cell r="A13">
            <v>2018</v>
          </cell>
          <cell r="B13">
            <v>3535.1</v>
          </cell>
          <cell r="C13">
            <v>498.3</v>
          </cell>
          <cell r="D13">
            <v>0.14095782297530482</v>
          </cell>
          <cell r="F13">
            <v>0.47371423139081659</v>
          </cell>
        </row>
        <row r="14">
          <cell r="A14">
            <v>2019</v>
          </cell>
          <cell r="B14">
            <v>4233.7</v>
          </cell>
          <cell r="C14">
            <v>563.79999999999995</v>
          </cell>
          <cell r="D14">
            <v>0.13316956799017407</v>
          </cell>
          <cell r="F14">
            <v>0.51810328983642706</v>
          </cell>
        </row>
        <row r="15">
          <cell r="A15">
            <v>2020</v>
          </cell>
          <cell r="B15">
            <v>4689</v>
          </cell>
          <cell r="C15">
            <v>733.7</v>
          </cell>
          <cell r="D15">
            <v>0.15647259543612713</v>
          </cell>
          <cell r="F15">
            <v>0.4595678045725024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hobhit.tiwari@bajajalliaze.co.in" TargetMode="External"/><Relationship Id="rId1" Type="http://schemas.openxmlformats.org/officeDocument/2006/relationships/hyperlink" Target="mailto:gopal.ritolia@ubs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JD107"/>
  <sheetViews>
    <sheetView showGridLines="0" tabSelected="1" zoomScale="85" zoomScaleNormal="85" zoomScaleSheetLayoutView="40" zoomScalePageLayoutView="96" workbookViewId="0"/>
  </sheetViews>
  <sheetFormatPr defaultColWidth="9.109375" defaultRowHeight="13.8"/>
  <cols>
    <col min="1" max="1" width="9.109375" style="1"/>
    <col min="2" max="2" width="37.88671875" style="2" customWidth="1"/>
    <col min="3" max="5" width="8.6640625" style="2" hidden="1" customWidth="1"/>
    <col min="6" max="6" width="9.44140625" style="2" hidden="1" customWidth="1"/>
    <col min="7" max="9" width="11.88671875" style="2" hidden="1" customWidth="1"/>
    <col min="10" max="10" width="13.5546875" style="2" hidden="1" customWidth="1"/>
    <col min="11" max="11" width="11.88671875" style="2" customWidth="1"/>
    <col min="12" max="14" width="11.88671875" style="2" hidden="1" customWidth="1"/>
    <col min="15" max="15" width="11.88671875" style="2" customWidth="1"/>
    <col min="16" max="16" width="5.44140625" style="2" hidden="1" customWidth="1"/>
    <col min="17" max="20" width="11.88671875" style="2" customWidth="1"/>
    <col min="21" max="21" width="5.33203125" style="2" customWidth="1"/>
    <col min="22" max="22" width="42.109375" style="2" bestFit="1" customWidth="1"/>
    <col min="23" max="23" width="9" style="2" hidden="1" customWidth="1"/>
    <col min="24" max="24" width="9.109375" style="2" hidden="1" customWidth="1"/>
    <col min="25" max="25" width="9" style="2" hidden="1" customWidth="1"/>
    <col min="26" max="26" width="9.109375" style="2" hidden="1" customWidth="1"/>
    <col min="27" max="30" width="11.88671875" style="2" hidden="1" customWidth="1"/>
    <col min="31" max="31" width="11.88671875" style="2" customWidth="1"/>
    <col min="32" max="32" width="11.44140625" style="2" customWidth="1"/>
    <col min="33" max="33" width="10.88671875" style="2" customWidth="1"/>
    <col min="34" max="34" width="10.88671875" style="2" bestFit="1" customWidth="1"/>
    <col min="35" max="35" width="9.33203125" style="2" customWidth="1"/>
    <col min="36" max="37" width="10.33203125" style="2" bestFit="1" customWidth="1"/>
    <col min="38" max="264" width="9.109375" style="2"/>
    <col min="265" max="16384" width="9.109375" style="1"/>
  </cols>
  <sheetData>
    <row r="1" spans="1:264" ht="14.4" thickBot="1"/>
    <row r="2" spans="1:264" s="231" customFormat="1" ht="16.2" thickBot="1">
      <c r="A2" s="1"/>
      <c r="B2" s="396" t="s">
        <v>78</v>
      </c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97"/>
      <c r="U2" s="397"/>
      <c r="V2" s="397"/>
      <c r="W2" s="397"/>
      <c r="X2" s="397"/>
      <c r="Y2" s="397"/>
      <c r="Z2" s="397"/>
      <c r="AA2" s="397"/>
      <c r="AB2" s="397"/>
      <c r="AC2" s="397"/>
      <c r="AD2" s="397"/>
      <c r="AE2" s="397"/>
      <c r="AF2" s="397"/>
      <c r="AG2" s="397"/>
      <c r="AH2" s="397"/>
      <c r="AI2" s="397"/>
      <c r="AJ2" s="398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</row>
    <row r="3" spans="1:264" ht="15" thickBot="1">
      <c r="B3" s="393" t="s">
        <v>0</v>
      </c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4"/>
      <c r="Q3" s="394"/>
      <c r="R3" s="394"/>
      <c r="S3" s="394"/>
      <c r="T3" s="395"/>
      <c r="U3" s="3"/>
      <c r="V3" s="390" t="s">
        <v>1</v>
      </c>
      <c r="W3" s="391"/>
      <c r="X3" s="391"/>
      <c r="Y3" s="391"/>
      <c r="Z3" s="391"/>
      <c r="AA3" s="391"/>
      <c r="AB3" s="391"/>
      <c r="AC3" s="391"/>
      <c r="AD3" s="391"/>
      <c r="AE3" s="391"/>
      <c r="AF3" s="391"/>
      <c r="AG3" s="391"/>
      <c r="AH3" s="391"/>
      <c r="AI3" s="391"/>
      <c r="AJ3" s="392"/>
      <c r="AK3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</row>
    <row r="4" spans="1:264" ht="15" thickBot="1">
      <c r="B4" s="164" t="s">
        <v>2</v>
      </c>
      <c r="C4" s="216" t="s">
        <v>3</v>
      </c>
      <c r="D4" s="217" t="s">
        <v>4</v>
      </c>
      <c r="E4" s="217" t="s">
        <v>5</v>
      </c>
      <c r="F4" s="217" t="s">
        <v>6</v>
      </c>
      <c r="G4" s="218" t="s">
        <v>77</v>
      </c>
      <c r="H4" s="170" t="s">
        <v>80</v>
      </c>
      <c r="I4" s="156" t="s">
        <v>83</v>
      </c>
      <c r="J4" s="156" t="s">
        <v>110</v>
      </c>
      <c r="K4" s="156" t="s">
        <v>189</v>
      </c>
      <c r="L4" s="168" t="s">
        <v>203</v>
      </c>
      <c r="M4" s="218" t="s">
        <v>204</v>
      </c>
      <c r="N4" s="218" t="s">
        <v>213</v>
      </c>
      <c r="O4" s="170" t="s">
        <v>223</v>
      </c>
      <c r="P4" s="155" t="s">
        <v>224</v>
      </c>
      <c r="Q4" s="170" t="s">
        <v>225</v>
      </c>
      <c r="R4" s="156" t="s">
        <v>227</v>
      </c>
      <c r="S4" s="156" t="s">
        <v>228</v>
      </c>
      <c r="T4" s="156" t="s">
        <v>234</v>
      </c>
      <c r="U4" s="4"/>
      <c r="V4" s="164" t="s">
        <v>2</v>
      </c>
      <c r="W4" s="188" t="str">
        <f>+C4</f>
        <v>FY12</v>
      </c>
      <c r="X4" s="134" t="str">
        <f>+D4</f>
        <v>FY13</v>
      </c>
      <c r="Y4" s="134" t="s">
        <v>5</v>
      </c>
      <c r="Z4" s="336" t="s">
        <v>6</v>
      </c>
      <c r="AA4" s="342" t="s">
        <v>77</v>
      </c>
      <c r="AB4" s="156" t="s">
        <v>80</v>
      </c>
      <c r="AC4" s="156" t="s">
        <v>83</v>
      </c>
      <c r="AD4" s="156" t="s">
        <v>110</v>
      </c>
      <c r="AE4" s="156" t="s">
        <v>189</v>
      </c>
      <c r="AF4" s="156" t="s">
        <v>223</v>
      </c>
      <c r="AG4" s="156" t="s">
        <v>225</v>
      </c>
      <c r="AH4" s="156" t="s">
        <v>227</v>
      </c>
      <c r="AI4" s="156" t="s">
        <v>228</v>
      </c>
      <c r="AJ4" s="156" t="s">
        <v>232</v>
      </c>
      <c r="AK4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</row>
    <row r="5" spans="1:264" ht="14.4">
      <c r="B5" s="255" t="s">
        <v>108</v>
      </c>
      <c r="C5" s="304">
        <v>7227.9</v>
      </c>
      <c r="D5" s="305">
        <v>8573</v>
      </c>
      <c r="E5" s="305">
        <v>7930</v>
      </c>
      <c r="F5" s="305">
        <v>8004.8</v>
      </c>
      <c r="G5" s="305">
        <v>8710.8128510000006</v>
      </c>
      <c r="H5" s="306">
        <v>10472.1</v>
      </c>
      <c r="I5" s="307">
        <v>10548.6</v>
      </c>
      <c r="J5" s="307">
        <v>11622.8</v>
      </c>
      <c r="K5" s="307">
        <v>14798.3</v>
      </c>
      <c r="L5" s="308">
        <v>2652.5</v>
      </c>
      <c r="M5" s="309">
        <v>3899.7</v>
      </c>
      <c r="N5" s="309">
        <v>3491.5</v>
      </c>
      <c r="O5" s="310">
        <v>14495.2</v>
      </c>
      <c r="P5" s="311">
        <v>6923</v>
      </c>
      <c r="Q5" s="306">
        <v>15769</v>
      </c>
      <c r="R5" s="312">
        <v>19896</v>
      </c>
      <c r="S5" s="312">
        <v>23478.5</v>
      </c>
      <c r="T5" s="312">
        <v>19025.5</v>
      </c>
      <c r="U5" s="6"/>
      <c r="V5" s="318" t="s">
        <v>8</v>
      </c>
      <c r="W5" s="237">
        <v>132.30000000000001</v>
      </c>
      <c r="X5" s="7">
        <v>129.69999999999999</v>
      </c>
      <c r="Y5" s="7">
        <v>140.9</v>
      </c>
      <c r="Z5" s="7">
        <v>140.9</v>
      </c>
      <c r="AA5" s="337">
        <v>141</v>
      </c>
      <c r="AB5" s="338">
        <v>142.30000000000001</v>
      </c>
      <c r="AC5" s="339">
        <v>142.30000000000001</v>
      </c>
      <c r="AD5" s="339">
        <v>142.30000000000001</v>
      </c>
      <c r="AE5" s="339">
        <v>142.30000000000001</v>
      </c>
      <c r="AF5" s="339">
        <v>142.30000000000001</v>
      </c>
      <c r="AG5" s="339">
        <v>142</v>
      </c>
      <c r="AH5" s="340">
        <v>142.30000000000001</v>
      </c>
      <c r="AI5" s="340">
        <v>142</v>
      </c>
      <c r="AJ5" s="341">
        <v>142.30000000000001</v>
      </c>
      <c r="AK5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</row>
    <row r="6" spans="1:264" ht="14.4">
      <c r="B6" s="249" t="s">
        <v>7</v>
      </c>
      <c r="C6" s="232">
        <f t="shared" ref="C6:O6" si="0">SUM(C5:C5)</f>
        <v>7227.9</v>
      </c>
      <c r="D6" s="5">
        <f t="shared" si="0"/>
        <v>8573</v>
      </c>
      <c r="E6" s="5">
        <f t="shared" si="0"/>
        <v>7930</v>
      </c>
      <c r="F6" s="5">
        <f t="shared" si="0"/>
        <v>8004.8</v>
      </c>
      <c r="G6" s="5">
        <f t="shared" si="0"/>
        <v>8710.8128510000006</v>
      </c>
      <c r="H6" s="135">
        <f t="shared" si="0"/>
        <v>10472.1</v>
      </c>
      <c r="I6" s="272">
        <f t="shared" si="0"/>
        <v>10548.6</v>
      </c>
      <c r="J6" s="272">
        <f t="shared" si="0"/>
        <v>11622.8</v>
      </c>
      <c r="K6" s="272">
        <f t="shared" si="0"/>
        <v>14798.3</v>
      </c>
      <c r="L6" s="232">
        <f t="shared" si="0"/>
        <v>2652.5</v>
      </c>
      <c r="M6" s="5">
        <f t="shared" si="0"/>
        <v>3899.7</v>
      </c>
      <c r="N6" s="5">
        <f t="shared" si="0"/>
        <v>3491.5</v>
      </c>
      <c r="O6" s="135">
        <f t="shared" si="0"/>
        <v>14495.2</v>
      </c>
      <c r="P6" s="284">
        <f>P5</f>
        <v>6923</v>
      </c>
      <c r="Q6" s="135">
        <f>Q5</f>
        <v>15769</v>
      </c>
      <c r="R6" s="272">
        <f>R5</f>
        <v>19896</v>
      </c>
      <c r="S6" s="272">
        <f>S5</f>
        <v>23478.5</v>
      </c>
      <c r="T6" s="272">
        <f>T5</f>
        <v>19025.5</v>
      </c>
      <c r="U6" s="9"/>
      <c r="V6" s="251" t="s">
        <v>10</v>
      </c>
      <c r="W6" s="237">
        <v>1239.5</v>
      </c>
      <c r="X6" s="7">
        <f>11+1366</f>
        <v>1377</v>
      </c>
      <c r="Y6" s="7">
        <v>1381.2</v>
      </c>
      <c r="Z6" s="7">
        <v>1419.7</v>
      </c>
      <c r="AA6" s="196">
        <v>1263.9069999999999</v>
      </c>
      <c r="AB6" s="199">
        <v>1525.1</v>
      </c>
      <c r="AC6" s="326">
        <v>1858.8</v>
      </c>
      <c r="AD6" s="326">
        <v>2458</v>
      </c>
      <c r="AE6" s="326">
        <v>3488.3</v>
      </c>
      <c r="AF6" s="326">
        <v>3905.7</v>
      </c>
      <c r="AG6" s="333">
        <v>6414</v>
      </c>
      <c r="AH6" s="334">
        <v>8193</v>
      </c>
      <c r="AI6" s="334">
        <v>10036.799999999999</v>
      </c>
      <c r="AJ6" s="146">
        <v>10817.5</v>
      </c>
      <c r="AK6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</row>
    <row r="7" spans="1:264" ht="14.4">
      <c r="B7" s="250" t="s">
        <v>9</v>
      </c>
      <c r="C7" s="233"/>
      <c r="D7" s="12">
        <f t="shared" ref="D7:K7" si="1">+D6/C6-1</f>
        <v>0.18609831347971073</v>
      </c>
      <c r="E7" s="12">
        <f t="shared" si="1"/>
        <v>-7.5002916132042463E-2</v>
      </c>
      <c r="F7" s="12">
        <f t="shared" si="1"/>
        <v>9.4325346784362996E-3</v>
      </c>
      <c r="G7" s="12" t="s">
        <v>178</v>
      </c>
      <c r="H7" s="136">
        <f t="shared" si="1"/>
        <v>0.20219549875851195</v>
      </c>
      <c r="I7" s="273">
        <f t="shared" si="1"/>
        <v>7.305125046552341E-3</v>
      </c>
      <c r="J7" s="273">
        <f t="shared" si="1"/>
        <v>0.10183341865271212</v>
      </c>
      <c r="K7" s="273">
        <f t="shared" si="1"/>
        <v>0.27321299514746888</v>
      </c>
      <c r="L7" s="233">
        <f>+L6/K6-1</f>
        <v>-0.82075643823952749</v>
      </c>
      <c r="M7" s="12">
        <f>+M6/L6-1</f>
        <v>0.47019792648444847</v>
      </c>
      <c r="N7" s="12">
        <f>+N6/M6-1</f>
        <v>-0.10467471856809496</v>
      </c>
      <c r="O7" s="136">
        <f>+O6/K6-1</f>
        <v>-2.0482082401356849E-2</v>
      </c>
      <c r="P7" s="233">
        <f>+P6/O6-1</f>
        <v>-0.52239361995695122</v>
      </c>
      <c r="Q7" s="136">
        <f>+Q6/O6-1</f>
        <v>8.7877366300568305E-2</v>
      </c>
      <c r="R7" s="273">
        <f>+R6/Q6-1</f>
        <v>0.26171602511256253</v>
      </c>
      <c r="S7" s="273">
        <f>+S6/R6-1</f>
        <v>0.18006131885806198</v>
      </c>
      <c r="T7" s="273"/>
      <c r="U7" s="9"/>
      <c r="V7" s="249" t="s">
        <v>12</v>
      </c>
      <c r="W7" s="232">
        <f t="shared" ref="W7:AC7" si="2">SUM(W5:W6)</f>
        <v>1371.8</v>
      </c>
      <c r="X7" s="5">
        <f t="shared" si="2"/>
        <v>1506.7</v>
      </c>
      <c r="Y7" s="5">
        <f t="shared" si="2"/>
        <v>1522.1000000000001</v>
      </c>
      <c r="Z7" s="5">
        <f t="shared" si="2"/>
        <v>1560.6000000000001</v>
      </c>
      <c r="AA7" s="135">
        <f t="shared" si="2"/>
        <v>1404.9069999999999</v>
      </c>
      <c r="AB7" s="272">
        <f t="shared" si="2"/>
        <v>1667.3999999999999</v>
      </c>
      <c r="AC7" s="272">
        <f t="shared" si="2"/>
        <v>2001.1</v>
      </c>
      <c r="AD7" s="272">
        <f>SUM(AD5:AD6)</f>
        <v>2600.3000000000002</v>
      </c>
      <c r="AE7" s="272">
        <f>SUM(AE5:AE6)</f>
        <v>3630.6000000000004</v>
      </c>
      <c r="AF7" s="272">
        <v>5058.3</v>
      </c>
      <c r="AG7" s="272">
        <f>SUM(AG5:AG6)</f>
        <v>6556</v>
      </c>
      <c r="AH7" s="272">
        <f>SUM(AH5:AH6)</f>
        <v>8335.2999999999993</v>
      </c>
      <c r="AI7" s="335">
        <f>SUM(AI5:AI6)</f>
        <v>10178.799999999999</v>
      </c>
      <c r="AJ7" s="147">
        <f>SUM(AJ5:AJ6)</f>
        <v>10959.8</v>
      </c>
      <c r="AK7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</row>
    <row r="8" spans="1:264" ht="14.4">
      <c r="B8" s="250" t="s">
        <v>11</v>
      </c>
      <c r="C8" s="234"/>
      <c r="D8" s="10"/>
      <c r="E8" s="11"/>
      <c r="F8" s="12">
        <f>+((F6/C6)^(1/3)-1)</f>
        <v>3.461661872065358E-2</v>
      </c>
      <c r="G8" s="12" t="s">
        <v>178</v>
      </c>
      <c r="H8" s="136" t="s">
        <v>178</v>
      </c>
      <c r="I8" s="273" t="s">
        <v>178</v>
      </c>
      <c r="J8" s="273">
        <f>+((J6/G6)^(1/3)-1)</f>
        <v>0.10090715388384108</v>
      </c>
      <c r="K8" s="273">
        <f>+((K6/H6)^(1/3)-1)</f>
        <v>0.12217179515443854</v>
      </c>
      <c r="L8" s="233">
        <f>+((L6/I6)^(1/3)-1)</f>
        <v>-0.36881957317427283</v>
      </c>
      <c r="M8" s="12">
        <f>+((M6/J6)^(1/3)-1)</f>
        <v>-0.30512480127188357</v>
      </c>
      <c r="N8" s="12">
        <f>+((N6/K6)^(1/3)-1)</f>
        <v>-0.38207835772666687</v>
      </c>
      <c r="O8" s="136">
        <f>+((O6/I6)^(1/3)-1)</f>
        <v>0.11175680364142693</v>
      </c>
      <c r="P8" s="233">
        <f>+((P6/M6)^(1/3)-1)</f>
        <v>0.21084265323948581</v>
      </c>
      <c r="Q8" s="136">
        <f>+((Q6/J6)^(1/3)-1)</f>
        <v>0.10704293028942047</v>
      </c>
      <c r="R8" s="273">
        <f>+((R6/K6)^(1/3)-1)</f>
        <v>0.10370069231563983</v>
      </c>
      <c r="S8" s="273">
        <f>+((S6/O6)^(1/3)-1)</f>
        <v>0.1743982039477594</v>
      </c>
      <c r="T8" s="273"/>
      <c r="U8" s="57"/>
      <c r="V8" s="251" t="s">
        <v>73</v>
      </c>
      <c r="W8" s="237">
        <v>110.6</v>
      </c>
      <c r="X8" s="7">
        <v>113.8</v>
      </c>
      <c r="Y8" s="39">
        <v>110.9</v>
      </c>
      <c r="Z8" s="7">
        <v>202.2</v>
      </c>
      <c r="AA8" s="196">
        <v>227.78399999999999</v>
      </c>
      <c r="AB8" s="199">
        <v>296.89999999999998</v>
      </c>
      <c r="AC8" s="326">
        <v>334</v>
      </c>
      <c r="AD8" s="326">
        <v>261</v>
      </c>
      <c r="AE8" s="326">
        <v>187.52699999999999</v>
      </c>
      <c r="AF8" s="326">
        <v>79</v>
      </c>
      <c r="AG8" s="326">
        <v>117</v>
      </c>
      <c r="AH8" s="334">
        <v>157</v>
      </c>
      <c r="AI8" s="334">
        <v>1090.5</v>
      </c>
      <c r="AJ8" s="146">
        <v>1525.8</v>
      </c>
      <c r="AK8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</row>
    <row r="9" spans="1:264" ht="14.4">
      <c r="B9" s="249" t="s">
        <v>13</v>
      </c>
      <c r="C9" s="235">
        <f>SUM(C10:C14)</f>
        <v>6911.9999999999991</v>
      </c>
      <c r="D9" s="129">
        <f>SUM(D10:D14)</f>
        <v>8080.2</v>
      </c>
      <c r="E9" s="129">
        <f>SUM(E10:E14)</f>
        <v>7588.7000000000007</v>
      </c>
      <c r="F9" s="129">
        <f t="shared" ref="F9:O9" si="3">SUM(F10:F14)</f>
        <v>7538.7999999999993</v>
      </c>
      <c r="G9" s="129">
        <f t="shared" si="3"/>
        <v>8154.3325419999992</v>
      </c>
      <c r="H9" s="263">
        <f t="shared" si="3"/>
        <v>9776.1999999999989</v>
      </c>
      <c r="I9" s="274">
        <f t="shared" si="3"/>
        <v>9778.6</v>
      </c>
      <c r="J9" s="274">
        <f t="shared" si="3"/>
        <v>10557.2</v>
      </c>
      <c r="K9" s="274">
        <f t="shared" si="3"/>
        <v>13452.499999999998</v>
      </c>
      <c r="L9" s="257">
        <f t="shared" si="3"/>
        <v>2340.7000000000003</v>
      </c>
      <c r="M9" s="127">
        <f t="shared" si="3"/>
        <v>3489.8</v>
      </c>
      <c r="N9" s="127">
        <f t="shared" si="3"/>
        <v>3046.6</v>
      </c>
      <c r="O9" s="263">
        <f t="shared" si="3"/>
        <v>12472.2</v>
      </c>
      <c r="P9" s="285">
        <v>6168</v>
      </c>
      <c r="Q9" s="263">
        <f>SUM(Q10:Q14)</f>
        <v>13636</v>
      </c>
      <c r="R9" s="274">
        <f>SUM(R10:R14)</f>
        <v>17346</v>
      </c>
      <c r="S9" s="274">
        <f>SUM(S10:S14)</f>
        <v>20759</v>
      </c>
      <c r="T9" s="274">
        <f>SUM(T10:T14)</f>
        <v>16945.7</v>
      </c>
      <c r="U9" s="52"/>
      <c r="V9" s="251" t="s">
        <v>74</v>
      </c>
      <c r="W9" s="237">
        <v>449.9</v>
      </c>
      <c r="X9" s="7">
        <v>589.6</v>
      </c>
      <c r="Y9" s="39">
        <v>779.5</v>
      </c>
      <c r="Z9" s="51">
        <v>567.20000000000005</v>
      </c>
      <c r="AA9" s="196">
        <v>633.55700000000002</v>
      </c>
      <c r="AB9" s="199">
        <v>683.6</v>
      </c>
      <c r="AC9" s="326">
        <v>1125.4000000000001</v>
      </c>
      <c r="AD9" s="326">
        <v>667.3</v>
      </c>
      <c r="AE9" s="326">
        <v>722.5</v>
      </c>
      <c r="AF9" s="326">
        <v>434</v>
      </c>
      <c r="AG9" s="326">
        <v>364</v>
      </c>
      <c r="AH9" s="334">
        <v>368</v>
      </c>
      <c r="AI9" s="334">
        <v>285.3</v>
      </c>
      <c r="AJ9" s="146">
        <v>419.5</v>
      </c>
      <c r="AK9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</row>
    <row r="10" spans="1:264" ht="14.4">
      <c r="B10" s="251" t="s">
        <v>229</v>
      </c>
      <c r="C10" s="236">
        <v>4839.8999999999996</v>
      </c>
      <c r="D10" s="13">
        <v>5589.7</v>
      </c>
      <c r="E10" s="13">
        <v>5189.6000000000004</v>
      </c>
      <c r="F10" s="13">
        <v>5099.3</v>
      </c>
      <c r="G10" s="13">
        <v>5262.3477309999998</v>
      </c>
      <c r="H10" s="264">
        <v>6466.9</v>
      </c>
      <c r="I10" s="275">
        <v>6106.2</v>
      </c>
      <c r="J10" s="275">
        <v>6960.6</v>
      </c>
      <c r="K10" s="275">
        <v>9235</v>
      </c>
      <c r="L10" s="258">
        <v>1619.9</v>
      </c>
      <c r="M10" s="131">
        <v>2489.3000000000002</v>
      </c>
      <c r="N10" s="131">
        <v>2065.6</v>
      </c>
      <c r="O10" s="297">
        <v>8653.1</v>
      </c>
      <c r="P10" s="286">
        <v>4247</v>
      </c>
      <c r="Q10" s="297">
        <v>9279</v>
      </c>
      <c r="R10" s="280">
        <v>11815</v>
      </c>
      <c r="S10" s="280">
        <v>13746.3</v>
      </c>
      <c r="T10" s="280">
        <v>11122.9</v>
      </c>
      <c r="U10" s="53"/>
      <c r="V10" s="249" t="s">
        <v>15</v>
      </c>
      <c r="W10" s="232">
        <f t="shared" ref="W10:AC10" si="4">SUM(W8:W9)</f>
        <v>560.5</v>
      </c>
      <c r="X10" s="5">
        <f t="shared" si="4"/>
        <v>703.4</v>
      </c>
      <c r="Y10" s="38">
        <f t="shared" si="4"/>
        <v>890.4</v>
      </c>
      <c r="Z10" s="5">
        <f t="shared" si="4"/>
        <v>769.40000000000009</v>
      </c>
      <c r="AA10" s="135">
        <f t="shared" si="4"/>
        <v>861.34100000000001</v>
      </c>
      <c r="AB10" s="272">
        <f t="shared" si="4"/>
        <v>980.5</v>
      </c>
      <c r="AC10" s="272">
        <f t="shared" si="4"/>
        <v>1459.4</v>
      </c>
      <c r="AD10" s="272">
        <f t="shared" ref="AD10:AG10" si="5">SUM(AD8:AD9)</f>
        <v>928.3</v>
      </c>
      <c r="AE10" s="272">
        <f t="shared" si="5"/>
        <v>910.02700000000004</v>
      </c>
      <c r="AF10" s="272">
        <f t="shared" si="5"/>
        <v>513</v>
      </c>
      <c r="AG10" s="272">
        <f t="shared" si="5"/>
        <v>481</v>
      </c>
      <c r="AH10" s="272">
        <f>SUM(AH8:AH9)</f>
        <v>525</v>
      </c>
      <c r="AI10" s="272">
        <f>SUM(AI8:AI9)</f>
        <v>1375.8</v>
      </c>
      <c r="AJ10" s="135">
        <f>SUM(AJ8:AJ9)</f>
        <v>1945.3</v>
      </c>
      <c r="AK10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</row>
    <row r="11" spans="1:264" ht="14.4">
      <c r="B11" s="251" t="s">
        <v>181</v>
      </c>
      <c r="C11" s="236">
        <v>286.89999999999998</v>
      </c>
      <c r="D11" s="13">
        <v>297.89999999999998</v>
      </c>
      <c r="E11" s="13">
        <v>283</v>
      </c>
      <c r="F11" s="13">
        <v>264.89999999999998</v>
      </c>
      <c r="G11" s="13">
        <v>267.52540299999998</v>
      </c>
      <c r="H11" s="264">
        <v>389</v>
      </c>
      <c r="I11" s="275">
        <v>418.6</v>
      </c>
      <c r="J11" s="275">
        <v>413.7</v>
      </c>
      <c r="K11" s="275">
        <v>436.8</v>
      </c>
      <c r="L11" s="258">
        <v>35.299999999999997</v>
      </c>
      <c r="M11" s="131">
        <v>91.3</v>
      </c>
      <c r="N11" s="131">
        <v>85</v>
      </c>
      <c r="O11" s="297">
        <v>327.7</v>
      </c>
      <c r="P11" s="286">
        <v>176</v>
      </c>
      <c r="Q11" s="297">
        <v>432</v>
      </c>
      <c r="R11" s="280">
        <v>705</v>
      </c>
      <c r="S11" s="280">
        <v>906.2</v>
      </c>
      <c r="T11" s="280">
        <v>783</v>
      </c>
      <c r="U11" s="53"/>
      <c r="V11" s="251" t="s">
        <v>17</v>
      </c>
      <c r="W11" s="237">
        <v>72</v>
      </c>
      <c r="X11" s="7">
        <v>75.900000000000006</v>
      </c>
      <c r="Y11" s="39">
        <v>78.099999999999994</v>
      </c>
      <c r="Z11" s="46">
        <v>84.9</v>
      </c>
      <c r="AA11" s="196">
        <v>62</v>
      </c>
      <c r="AB11" s="199">
        <v>39</v>
      </c>
      <c r="AC11" s="326">
        <v>28</v>
      </c>
      <c r="AD11" s="326">
        <v>21.9</v>
      </c>
      <c r="AE11" s="326">
        <v>20.3</v>
      </c>
      <c r="AF11" s="326">
        <v>-1.2</v>
      </c>
      <c r="AG11" s="326">
        <v>-8</v>
      </c>
      <c r="AH11" s="334">
        <v>23</v>
      </c>
      <c r="AI11" s="334">
        <v>19</v>
      </c>
      <c r="AJ11" s="146">
        <v>16.100000000000001</v>
      </c>
      <c r="AK1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</row>
    <row r="12" spans="1:264" ht="14.4">
      <c r="B12" s="251" t="s">
        <v>14</v>
      </c>
      <c r="C12" s="237">
        <v>-31.7</v>
      </c>
      <c r="D12" s="7">
        <v>-50.4</v>
      </c>
      <c r="E12" s="7">
        <v>-38.9</v>
      </c>
      <c r="F12" s="7">
        <v>-60.8</v>
      </c>
      <c r="G12" s="7">
        <v>105.913235</v>
      </c>
      <c r="H12" s="265">
        <v>-284.60000000000002</v>
      </c>
      <c r="I12" s="276">
        <v>231.1</v>
      </c>
      <c r="J12" s="276">
        <v>-99</v>
      </c>
      <c r="K12" s="276">
        <v>-18.600000000000001</v>
      </c>
      <c r="L12" s="237">
        <v>-34.5</v>
      </c>
      <c r="M12" s="7">
        <v>9.6</v>
      </c>
      <c r="N12" s="7">
        <v>11.7</v>
      </c>
      <c r="O12" s="298">
        <v>-61.8</v>
      </c>
      <c r="P12" s="287">
        <v>-25</v>
      </c>
      <c r="Q12" s="298">
        <v>-254</v>
      </c>
      <c r="R12" s="300">
        <v>-95</v>
      </c>
      <c r="S12" s="300">
        <v>-5.7</v>
      </c>
      <c r="T12" s="300">
        <v>-64.2</v>
      </c>
      <c r="U12" s="53"/>
      <c r="V12" s="249" t="s">
        <v>19</v>
      </c>
      <c r="W12" s="232">
        <f>W10+W7+W11</f>
        <v>2004.3</v>
      </c>
      <c r="X12" s="5">
        <f>X10+X7+X11</f>
        <v>2286</v>
      </c>
      <c r="Y12" s="5">
        <f>Y10+Y7+Y11</f>
        <v>2490.6</v>
      </c>
      <c r="Z12" s="5">
        <f>Z10+Z7+Z11</f>
        <v>2414.9</v>
      </c>
      <c r="AA12" s="135">
        <f t="shared" ref="AA12:AF12" si="6">AA8+AA7+AA11+AA47</f>
        <v>2183.9649999999997</v>
      </c>
      <c r="AB12" s="272">
        <f t="shared" si="6"/>
        <v>2550.3999999999996</v>
      </c>
      <c r="AC12" s="272">
        <f t="shared" si="6"/>
        <v>2942.2</v>
      </c>
      <c r="AD12" s="272">
        <f t="shared" si="6"/>
        <v>3390.6000000000004</v>
      </c>
      <c r="AE12" s="272">
        <f t="shared" si="6"/>
        <v>4397.8960000000006</v>
      </c>
      <c r="AF12" s="272">
        <f t="shared" si="6"/>
        <v>5524.2000000000007</v>
      </c>
      <c r="AG12" s="272">
        <f>AG8+AG7+AG11+AG47</f>
        <v>7097</v>
      </c>
      <c r="AH12" s="272">
        <f>AH55-AH40-AH9</f>
        <v>8519.5</v>
      </c>
      <c r="AI12" s="272">
        <f>AI55-AI40-AI9</f>
        <v>11617.600000000002</v>
      </c>
      <c r="AJ12" s="135">
        <f>AJ55-AJ40-AJ9</f>
        <v>12733.5</v>
      </c>
      <c r="AK12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</row>
    <row r="13" spans="1:264" ht="14.4">
      <c r="B13" s="251" t="s">
        <v>16</v>
      </c>
      <c r="C13" s="237">
        <v>748.4</v>
      </c>
      <c r="D13" s="7">
        <v>980</v>
      </c>
      <c r="E13" s="7">
        <v>965</v>
      </c>
      <c r="F13" s="7">
        <v>975</v>
      </c>
      <c r="G13" s="7">
        <v>1101.6560979999999</v>
      </c>
      <c r="H13" s="265">
        <v>1217.5999999999999</v>
      </c>
      <c r="I13" s="276">
        <v>1369.7</v>
      </c>
      <c r="J13" s="276">
        <v>1510.2</v>
      </c>
      <c r="K13" s="276">
        <v>1807.5</v>
      </c>
      <c r="L13" s="237">
        <v>431.2</v>
      </c>
      <c r="M13" s="7">
        <v>435.2</v>
      </c>
      <c r="N13" s="7">
        <v>435.9</v>
      </c>
      <c r="O13" s="298">
        <v>1736.3</v>
      </c>
      <c r="P13" s="287">
        <v>978</v>
      </c>
      <c r="Q13" s="298">
        <v>1990</v>
      </c>
      <c r="R13" s="300">
        <v>2363</v>
      </c>
      <c r="S13" s="300">
        <v>2965.5</v>
      </c>
      <c r="T13" s="300">
        <v>2526.3000000000002</v>
      </c>
      <c r="U13" s="54"/>
      <c r="V13" s="248" t="s">
        <v>21</v>
      </c>
      <c r="W13" s="313" t="e">
        <f t="shared" ref="W13:AE13" si="7">C57</f>
        <v>#VALUE!</v>
      </c>
      <c r="X13" s="16">
        <f t="shared" si="7"/>
        <v>2359</v>
      </c>
      <c r="Y13" s="40">
        <f t="shared" si="7"/>
        <v>1733.9</v>
      </c>
      <c r="Z13" s="16">
        <f t="shared" si="7"/>
        <v>3625</v>
      </c>
      <c r="AA13" s="323">
        <f t="shared" si="7"/>
        <v>970.42199999999991</v>
      </c>
      <c r="AB13" s="324">
        <f t="shared" si="7"/>
        <v>-130.27999999999997</v>
      </c>
      <c r="AC13" s="324">
        <f t="shared" si="7"/>
        <v>-447.82160000000022</v>
      </c>
      <c r="AD13" s="324">
        <f t="shared" si="7"/>
        <v>-1175.8</v>
      </c>
      <c r="AE13" s="324">
        <f t="shared" si="7"/>
        <v>-1941.3690000000001</v>
      </c>
      <c r="AF13" s="324">
        <f>O57</f>
        <v>-2633.51</v>
      </c>
      <c r="AG13" s="326">
        <f>Q57</f>
        <v>-2462.0550000000003</v>
      </c>
      <c r="AH13" s="334">
        <f>R57</f>
        <v>45093.844708000004</v>
      </c>
      <c r="AI13" s="334">
        <f>S57</f>
        <v>69886.150240000003</v>
      </c>
      <c r="AJ13" s="146">
        <f>T57</f>
        <v>93425.6496185</v>
      </c>
      <c r="AK13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</row>
    <row r="14" spans="1:264" ht="14.4">
      <c r="B14" s="251" t="s">
        <v>18</v>
      </c>
      <c r="C14" s="237">
        <v>1068.5</v>
      </c>
      <c r="D14" s="7">
        <v>1263</v>
      </c>
      <c r="E14" s="7">
        <v>1190</v>
      </c>
      <c r="F14" s="7">
        <v>1260.4000000000001</v>
      </c>
      <c r="G14" s="7">
        <v>1416.890075</v>
      </c>
      <c r="H14" s="265">
        <v>1987.3</v>
      </c>
      <c r="I14" s="276">
        <v>1653</v>
      </c>
      <c r="J14" s="276">
        <v>1771.7</v>
      </c>
      <c r="K14" s="276">
        <v>1991.8</v>
      </c>
      <c r="L14" s="237">
        <v>288.8</v>
      </c>
      <c r="M14" s="7">
        <v>464.4</v>
      </c>
      <c r="N14" s="7">
        <v>448.4</v>
      </c>
      <c r="O14" s="298">
        <v>1816.9</v>
      </c>
      <c r="P14" s="287">
        <v>949</v>
      </c>
      <c r="Q14" s="298">
        <v>2189</v>
      </c>
      <c r="R14" s="300">
        <v>2558</v>
      </c>
      <c r="S14" s="300">
        <v>3146.7</v>
      </c>
      <c r="T14" s="300">
        <v>2577.6999999999998</v>
      </c>
      <c r="U14" s="15"/>
      <c r="V14" s="193" t="s">
        <v>71</v>
      </c>
      <c r="W14" s="190">
        <v>1603</v>
      </c>
      <c r="X14" s="25">
        <v>2005</v>
      </c>
      <c r="Y14" s="50">
        <v>2005</v>
      </c>
      <c r="Z14" s="25">
        <v>1740</v>
      </c>
      <c r="AA14" s="196">
        <v>1900</v>
      </c>
      <c r="AB14" s="199">
        <v>1087.5999999999999</v>
      </c>
      <c r="AC14" s="327">
        <v>1671.6</v>
      </c>
      <c r="AD14" s="327">
        <v>1923.1</v>
      </c>
      <c r="AE14" s="327"/>
      <c r="AF14" s="327"/>
      <c r="AG14" s="326"/>
      <c r="AH14" s="334"/>
      <c r="AI14" s="334"/>
      <c r="AJ14" s="146"/>
      <c r="AK14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</row>
    <row r="15" spans="1:264">
      <c r="B15" s="249" t="s">
        <v>20</v>
      </c>
      <c r="C15" s="238">
        <f t="shared" ref="C15:P15" si="8">+C6-C9</f>
        <v>315.90000000000055</v>
      </c>
      <c r="D15" s="14">
        <f t="shared" si="8"/>
        <v>492.80000000000018</v>
      </c>
      <c r="E15" s="14">
        <f t="shared" si="8"/>
        <v>341.29999999999927</v>
      </c>
      <c r="F15" s="14">
        <f t="shared" si="8"/>
        <v>466.00000000000091</v>
      </c>
      <c r="G15" s="14">
        <f t="shared" si="8"/>
        <v>556.4803090000014</v>
      </c>
      <c r="H15" s="135">
        <f t="shared" si="8"/>
        <v>695.90000000000146</v>
      </c>
      <c r="I15" s="272">
        <f t="shared" si="8"/>
        <v>770</v>
      </c>
      <c r="J15" s="272">
        <f t="shared" si="8"/>
        <v>1065.5999999999985</v>
      </c>
      <c r="K15" s="272">
        <f t="shared" si="8"/>
        <v>1345.8000000000011</v>
      </c>
      <c r="L15" s="232">
        <f t="shared" si="8"/>
        <v>311.79999999999973</v>
      </c>
      <c r="M15" s="5">
        <f t="shared" si="8"/>
        <v>409.89999999999964</v>
      </c>
      <c r="N15" s="5">
        <f t="shared" si="8"/>
        <v>444.90000000000009</v>
      </c>
      <c r="O15" s="135">
        <f t="shared" si="8"/>
        <v>2023</v>
      </c>
      <c r="P15" s="284">
        <f t="shared" si="8"/>
        <v>755</v>
      </c>
      <c r="Q15" s="135">
        <f>Q6-Q9</f>
        <v>2133</v>
      </c>
      <c r="R15" s="272">
        <f>R6-R9</f>
        <v>2550</v>
      </c>
      <c r="S15" s="272">
        <f>S6-S9</f>
        <v>2719.5</v>
      </c>
      <c r="T15" s="272">
        <f>T6-T9</f>
        <v>2079.7999999999993</v>
      </c>
      <c r="U15" s="17"/>
      <c r="V15" s="249" t="s">
        <v>56</v>
      </c>
      <c r="W15" s="238">
        <v>898</v>
      </c>
      <c r="X15" s="5">
        <v>1028</v>
      </c>
      <c r="Y15" s="38">
        <v>948</v>
      </c>
      <c r="Z15" s="5">
        <v>989</v>
      </c>
      <c r="AA15" s="149">
        <f t="shared" ref="AA15:AG15" si="9">SUM(AA16:AA20)</f>
        <v>921.87299999999993</v>
      </c>
      <c r="AB15" s="325">
        <f t="shared" si="9"/>
        <v>1349.6</v>
      </c>
      <c r="AC15" s="325">
        <f t="shared" si="9"/>
        <v>1544.1999999999998</v>
      </c>
      <c r="AD15" s="325">
        <f t="shared" si="9"/>
        <v>1677.7</v>
      </c>
      <c r="AE15" s="329">
        <f t="shared" si="9"/>
        <v>2005.7180000000003</v>
      </c>
      <c r="AF15" s="329">
        <f t="shared" si="9"/>
        <v>1993</v>
      </c>
      <c r="AG15" s="325">
        <f t="shared" si="9"/>
        <v>2074</v>
      </c>
      <c r="AH15" s="325">
        <f>SUM(AH16:AH20)</f>
        <v>2535.5</v>
      </c>
      <c r="AI15" s="329">
        <f>SUM(AI16:AI21)</f>
        <v>4334.6000000000004</v>
      </c>
      <c r="AJ15" s="148">
        <f>SUM(AJ16:AJ21)</f>
        <v>5174.1000000000004</v>
      </c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</row>
    <row r="16" spans="1:264">
      <c r="B16" s="250" t="s">
        <v>9</v>
      </c>
      <c r="C16" s="233"/>
      <c r="D16" s="12">
        <f>+D15/C15-1</f>
        <v>0.55998733776511345</v>
      </c>
      <c r="E16" s="12">
        <f>-(E15/D15-1)</f>
        <v>0.30742694805194981</v>
      </c>
      <c r="F16" s="12">
        <f t="shared" ref="F16:K16" si="10">+F15/E15-1</f>
        <v>0.36536771169060045</v>
      </c>
      <c r="G16" s="12" t="s">
        <v>178</v>
      </c>
      <c r="H16" s="136">
        <f t="shared" si="10"/>
        <v>0.25053840853872811</v>
      </c>
      <c r="I16" s="273">
        <f t="shared" si="10"/>
        <v>0.10648081620922323</v>
      </c>
      <c r="J16" s="273">
        <f t="shared" si="10"/>
        <v>0.38389610389610196</v>
      </c>
      <c r="K16" s="273">
        <f t="shared" si="10"/>
        <v>0.26295045045045318</v>
      </c>
      <c r="L16" s="233">
        <f>+L15/K15-1</f>
        <v>-0.76831624312676516</v>
      </c>
      <c r="M16" s="12">
        <f>+M15/L15-1</f>
        <v>0.31462475946119306</v>
      </c>
      <c r="N16" s="12">
        <f>+N15/M15-1</f>
        <v>8.5386679677971422E-2</v>
      </c>
      <c r="O16" s="136">
        <f>+O15/K15-1</f>
        <v>0.50319512557586443</v>
      </c>
      <c r="P16" s="288"/>
      <c r="Q16" s="136">
        <f>+Q15/O15-1</f>
        <v>5.4374691052891722E-2</v>
      </c>
      <c r="R16" s="273">
        <f>+R15/Q15-1</f>
        <v>0.19549929676511946</v>
      </c>
      <c r="S16" s="273">
        <f>+S15/R15-1</f>
        <v>6.6470588235294059E-2</v>
      </c>
      <c r="T16" s="273"/>
      <c r="U16" s="19"/>
      <c r="V16" s="251" t="s">
        <v>84</v>
      </c>
      <c r="W16" s="314"/>
      <c r="X16" s="63"/>
      <c r="Y16" s="64"/>
      <c r="Z16" s="63"/>
      <c r="AA16" s="196">
        <v>871.07299999999998</v>
      </c>
      <c r="AB16" s="199">
        <v>976.5</v>
      </c>
      <c r="AC16" s="153">
        <v>1435.8</v>
      </c>
      <c r="AD16" s="153">
        <v>1506.6</v>
      </c>
      <c r="AE16" s="153">
        <v>1458.912</v>
      </c>
      <c r="AF16" s="153">
        <v>1486</v>
      </c>
      <c r="AG16" s="327">
        <v>1446</v>
      </c>
      <c r="AH16" s="205">
        <v>1707.1</v>
      </c>
      <c r="AI16" s="205">
        <v>3018</v>
      </c>
      <c r="AJ16" s="143">
        <v>3061.8</v>
      </c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</row>
    <row r="17" spans="2:264">
      <c r="B17" s="250" t="s">
        <v>11</v>
      </c>
      <c r="C17" s="233"/>
      <c r="D17" s="157"/>
      <c r="E17" s="158"/>
      <c r="F17" s="12">
        <f t="shared" ref="F17:K17" si="11">+((F15/C15)^(1/3)-1)</f>
        <v>0.13835773690172259</v>
      </c>
      <c r="G17" s="12" t="s">
        <v>178</v>
      </c>
      <c r="H17" s="136" t="s">
        <v>178</v>
      </c>
      <c r="I17" s="273" t="s">
        <v>178</v>
      </c>
      <c r="J17" s="273">
        <f t="shared" si="11"/>
        <v>0.24178993876951749</v>
      </c>
      <c r="K17" s="273">
        <f t="shared" si="11"/>
        <v>0.24588482417298563</v>
      </c>
      <c r="L17" s="233">
        <f>+((L15/I15)^(1/3)-1)</f>
        <v>-0.2601759214541306</v>
      </c>
      <c r="M17" s="12">
        <f>+((M15/J15)^(1/3)-1)</f>
        <v>-0.2727318494208063</v>
      </c>
      <c r="N17" s="12">
        <f>+((N15/K15)^(1/3)-1)</f>
        <v>-0.30855024471052217</v>
      </c>
      <c r="O17" s="136">
        <f>+((O15/I15)^(1/3)-1)</f>
        <v>0.37986008650698633</v>
      </c>
      <c r="P17" s="288"/>
      <c r="Q17" s="136">
        <f>+((Q15/J15)^(1/3)-1)</f>
        <v>0.26027565758314353</v>
      </c>
      <c r="R17" s="273">
        <f>+((R15/K15)^(1/3)-1)</f>
        <v>0.23742784802263173</v>
      </c>
      <c r="S17" s="273">
        <f>+((S15/O15)^(1/3)-1)</f>
        <v>0.10364921857193754</v>
      </c>
      <c r="T17" s="273"/>
      <c r="U17" s="19"/>
      <c r="V17" s="251" t="s">
        <v>85</v>
      </c>
      <c r="W17" s="237">
        <v>0</v>
      </c>
      <c r="X17" s="7">
        <v>0</v>
      </c>
      <c r="Y17" s="39">
        <v>0</v>
      </c>
      <c r="Z17" s="7">
        <v>0</v>
      </c>
      <c r="AA17" s="265">
        <v>18.959</v>
      </c>
      <c r="AB17" s="276">
        <v>335.5</v>
      </c>
      <c r="AC17" s="327">
        <v>65.8</v>
      </c>
      <c r="AD17" s="327">
        <v>122.9</v>
      </c>
      <c r="AE17" s="327">
        <v>115.08199999999999</v>
      </c>
      <c r="AF17" s="327">
        <v>146</v>
      </c>
      <c r="AG17" s="327">
        <v>200</v>
      </c>
      <c r="AH17" s="205">
        <v>419.5</v>
      </c>
      <c r="AI17" s="205">
        <v>606.79999999999995</v>
      </c>
      <c r="AJ17" s="143">
        <v>1332</v>
      </c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</row>
    <row r="18" spans="2:264" s="36" customFormat="1">
      <c r="B18" s="252" t="s">
        <v>22</v>
      </c>
      <c r="C18" s="239">
        <f t="shared" ref="C18:O18" si="12">+C15/C6</f>
        <v>4.3705640642510347E-2</v>
      </c>
      <c r="D18" s="18">
        <f t="shared" si="12"/>
        <v>5.7482794820949513E-2</v>
      </c>
      <c r="E18" s="18">
        <f t="shared" si="12"/>
        <v>4.3039092055485409E-2</v>
      </c>
      <c r="F18" s="18">
        <f t="shared" si="12"/>
        <v>5.821507095742566E-2</v>
      </c>
      <c r="G18" s="18">
        <f t="shared" si="12"/>
        <v>6.3883855447097279E-2</v>
      </c>
      <c r="H18" s="266">
        <f t="shared" si="12"/>
        <v>6.6452764965957298E-2</v>
      </c>
      <c r="I18" s="277">
        <f t="shared" si="12"/>
        <v>7.2995468592988638E-2</v>
      </c>
      <c r="J18" s="277">
        <f t="shared" si="12"/>
        <v>9.1681866675843909E-2</v>
      </c>
      <c r="K18" s="277">
        <f t="shared" si="12"/>
        <v>9.0942878573890329E-2</v>
      </c>
      <c r="L18" s="239">
        <f t="shared" si="12"/>
        <v>0.11754948162111206</v>
      </c>
      <c r="M18" s="18">
        <f t="shared" si="12"/>
        <v>0.10511064953714379</v>
      </c>
      <c r="N18" s="18">
        <f t="shared" si="12"/>
        <v>0.12742374337677217</v>
      </c>
      <c r="O18" s="266">
        <f t="shared" si="12"/>
        <v>0.13956344169104254</v>
      </c>
      <c r="P18" s="289">
        <f>P15/P6</f>
        <v>0.10905676729741441</v>
      </c>
      <c r="Q18" s="266">
        <f>Q15/Q6</f>
        <v>0.13526539412771893</v>
      </c>
      <c r="R18" s="277">
        <f>R15/R6</f>
        <v>0.12816646562123041</v>
      </c>
      <c r="S18" s="277">
        <f>S15/S6</f>
        <v>0.11582937581191302</v>
      </c>
      <c r="T18" s="277">
        <f>T15/T6</f>
        <v>0.10931644372027012</v>
      </c>
      <c r="U18" s="22"/>
      <c r="V18" s="251" t="s">
        <v>186</v>
      </c>
      <c r="W18" s="290"/>
      <c r="X18" s="39"/>
      <c r="Y18" s="39"/>
      <c r="Z18" s="39"/>
      <c r="AA18" s="265">
        <v>0</v>
      </c>
      <c r="AB18" s="276">
        <v>0</v>
      </c>
      <c r="AC18" s="327">
        <v>0</v>
      </c>
      <c r="AD18" s="327">
        <v>0</v>
      </c>
      <c r="AE18" s="327">
        <v>378.32400000000001</v>
      </c>
      <c r="AF18" s="327">
        <v>303</v>
      </c>
      <c r="AG18" s="199">
        <v>369</v>
      </c>
      <c r="AH18" s="153">
        <v>342.9</v>
      </c>
      <c r="AI18" s="153">
        <v>383.1</v>
      </c>
      <c r="AJ18" s="143">
        <v>427.8</v>
      </c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  <c r="IU18" s="35"/>
      <c r="IV18" s="35"/>
      <c r="IW18" s="35"/>
      <c r="IX18" s="35"/>
      <c r="IY18" s="35"/>
      <c r="IZ18" s="35"/>
      <c r="JA18" s="35"/>
      <c r="JB18" s="35"/>
      <c r="JC18" s="35"/>
      <c r="JD18" s="35"/>
    </row>
    <row r="19" spans="2:264">
      <c r="B19" s="251" t="s">
        <v>23</v>
      </c>
      <c r="C19" s="240">
        <v>86.8</v>
      </c>
      <c r="D19" s="21">
        <v>122.9</v>
      </c>
      <c r="E19" s="21">
        <v>105.6</v>
      </c>
      <c r="F19" s="21">
        <v>121.1</v>
      </c>
      <c r="G19" s="21">
        <v>126.147108</v>
      </c>
      <c r="H19" s="265">
        <v>118.3</v>
      </c>
      <c r="I19" s="276">
        <v>130.80000000000001</v>
      </c>
      <c r="J19" s="276">
        <v>195.9</v>
      </c>
      <c r="K19" s="276">
        <v>235.3</v>
      </c>
      <c r="L19" s="237">
        <v>68.5</v>
      </c>
      <c r="M19" s="7">
        <v>72.5</v>
      </c>
      <c r="N19" s="7">
        <v>69.900000000000006</v>
      </c>
      <c r="O19" s="298">
        <v>276.7</v>
      </c>
      <c r="P19" s="287">
        <v>140</v>
      </c>
      <c r="Q19" s="298">
        <v>280</v>
      </c>
      <c r="R19" s="300">
        <v>291</v>
      </c>
      <c r="S19" s="300">
        <v>364.1</v>
      </c>
      <c r="T19" s="300">
        <v>326.60000000000002</v>
      </c>
      <c r="U19" s="22"/>
      <c r="V19" s="251" t="s">
        <v>183</v>
      </c>
      <c r="W19" s="290">
        <v>0</v>
      </c>
      <c r="X19" s="39">
        <v>0</v>
      </c>
      <c r="Y19" s="39">
        <v>0</v>
      </c>
      <c r="Z19" s="39">
        <v>0</v>
      </c>
      <c r="AA19" s="265">
        <v>12.227</v>
      </c>
      <c r="AB19" s="276">
        <v>13.1</v>
      </c>
      <c r="AC19" s="327">
        <v>12.8</v>
      </c>
      <c r="AD19" s="327">
        <v>13.8</v>
      </c>
      <c r="AE19" s="327">
        <v>15.9</v>
      </c>
      <c r="AF19" s="327">
        <v>22</v>
      </c>
      <c r="AG19" s="199">
        <v>19</v>
      </c>
      <c r="AH19" s="153">
        <v>17.8</v>
      </c>
      <c r="AI19" s="153">
        <v>162.19999999999999</v>
      </c>
      <c r="AJ19" s="112">
        <f>153.1+29.4</f>
        <v>182.5</v>
      </c>
    </row>
    <row r="20" spans="2:264">
      <c r="B20" s="251" t="s">
        <v>24</v>
      </c>
      <c r="C20" s="240">
        <v>117.5</v>
      </c>
      <c r="D20" s="21">
        <v>156.19999999999999</v>
      </c>
      <c r="E20" s="21">
        <v>136</v>
      </c>
      <c r="F20" s="21">
        <v>149.69999999999999</v>
      </c>
      <c r="G20" s="21">
        <v>149.360849</v>
      </c>
      <c r="H20" s="265">
        <v>162.69999999999999</v>
      </c>
      <c r="I20" s="276">
        <v>186.8</v>
      </c>
      <c r="J20" s="276">
        <v>190.4</v>
      </c>
      <c r="K20" s="276">
        <v>159.69999999999999</v>
      </c>
      <c r="L20" s="237">
        <v>41.7</v>
      </c>
      <c r="M20" s="7">
        <v>29.2</v>
      </c>
      <c r="N20" s="7">
        <v>27.2</v>
      </c>
      <c r="O20" s="265">
        <v>126.1</v>
      </c>
      <c r="P20" s="290">
        <v>52</v>
      </c>
      <c r="Q20" s="265">
        <v>99</v>
      </c>
      <c r="R20" s="300">
        <v>92</v>
      </c>
      <c r="S20" s="300">
        <v>120.6</v>
      </c>
      <c r="T20" s="300">
        <v>98.5</v>
      </c>
      <c r="U20" s="22"/>
      <c r="V20" s="251" t="s">
        <v>184</v>
      </c>
      <c r="W20" s="290">
        <v>0</v>
      </c>
      <c r="X20" s="39">
        <v>0</v>
      </c>
      <c r="Y20" s="39">
        <v>0</v>
      </c>
      <c r="Z20" s="39">
        <v>0</v>
      </c>
      <c r="AA20" s="265">
        <v>19.614000000000001</v>
      </c>
      <c r="AB20" s="276">
        <v>24.5</v>
      </c>
      <c r="AC20" s="327">
        <v>29.8</v>
      </c>
      <c r="AD20" s="327">
        <v>34.4</v>
      </c>
      <c r="AE20" s="327">
        <v>37.5</v>
      </c>
      <c r="AF20" s="327">
        <v>36</v>
      </c>
      <c r="AG20" s="199">
        <v>40</v>
      </c>
      <c r="AH20" s="153">
        <v>48.2</v>
      </c>
      <c r="AI20" s="153">
        <v>62.4</v>
      </c>
      <c r="AJ20" s="112">
        <f>67.9</f>
        <v>67.900000000000006</v>
      </c>
    </row>
    <row r="21" spans="2:264">
      <c r="B21" s="251" t="s">
        <v>109</v>
      </c>
      <c r="C21" s="241">
        <v>88</v>
      </c>
      <c r="D21" s="160">
        <v>47</v>
      </c>
      <c r="E21" s="160">
        <v>48</v>
      </c>
      <c r="F21" s="160">
        <v>43</v>
      </c>
      <c r="G21" s="161">
        <v>65.265939000000003</v>
      </c>
      <c r="H21" s="267">
        <v>122</v>
      </c>
      <c r="I21" s="278">
        <v>211</v>
      </c>
      <c r="J21" s="278">
        <v>333.4</v>
      </c>
      <c r="K21" s="278">
        <v>353.6</v>
      </c>
      <c r="L21" s="259">
        <v>55.1</v>
      </c>
      <c r="M21" s="162">
        <v>73.7</v>
      </c>
      <c r="N21" s="162">
        <v>64.2</v>
      </c>
      <c r="O21" s="267">
        <v>330.9</v>
      </c>
      <c r="P21" s="291">
        <v>151</v>
      </c>
      <c r="Q21" s="267">
        <v>417</v>
      </c>
      <c r="R21" s="301">
        <v>411</v>
      </c>
      <c r="S21" s="301">
        <v>438.8</v>
      </c>
      <c r="T21" s="301">
        <v>337.7</v>
      </c>
      <c r="U21" s="15"/>
      <c r="V21" s="251" t="s">
        <v>185</v>
      </c>
      <c r="W21" s="290"/>
      <c r="X21" s="39"/>
      <c r="Y21" s="39"/>
      <c r="Z21" s="39"/>
      <c r="AA21" s="265"/>
      <c r="AB21" s="276"/>
      <c r="AC21" s="327"/>
      <c r="AD21" s="327">
        <v>86.3</v>
      </c>
      <c r="AE21" s="327">
        <v>86.3</v>
      </c>
      <c r="AF21" s="327">
        <v>86.3</v>
      </c>
      <c r="AG21" s="199">
        <v>86</v>
      </c>
      <c r="AH21" s="153">
        <v>86.3</v>
      </c>
      <c r="AI21" s="153">
        <v>102.1</v>
      </c>
      <c r="AJ21" s="112">
        <v>102.1</v>
      </c>
    </row>
    <row r="22" spans="2:264">
      <c r="B22" s="249" t="s">
        <v>26</v>
      </c>
      <c r="C22" s="232">
        <f>C15-SUM(C19:C21)</f>
        <v>23.600000000000534</v>
      </c>
      <c r="D22" s="5">
        <f>D15-SUM(D19:D21)</f>
        <v>166.70000000000016</v>
      </c>
      <c r="E22" s="5">
        <f>E15-SUM(E19:E21)</f>
        <v>51.69999999999925</v>
      </c>
      <c r="F22" s="5">
        <f>F15-SUM(F19:F21)</f>
        <v>152.20000000000095</v>
      </c>
      <c r="G22" s="5">
        <f t="shared" ref="G22:P22" si="13">G15-SUM(G19:G20)+G21</f>
        <v>346.23829100000137</v>
      </c>
      <c r="H22" s="135">
        <f t="shared" si="13"/>
        <v>536.90000000000146</v>
      </c>
      <c r="I22" s="272">
        <f t="shared" si="13"/>
        <v>663.4</v>
      </c>
      <c r="J22" s="272">
        <f t="shared" si="13"/>
        <v>1012.6999999999986</v>
      </c>
      <c r="K22" s="272">
        <f t="shared" si="13"/>
        <v>1304.400000000001</v>
      </c>
      <c r="L22" s="232">
        <f t="shared" si="13"/>
        <v>256.69999999999976</v>
      </c>
      <c r="M22" s="5">
        <f t="shared" si="13"/>
        <v>381.89999999999964</v>
      </c>
      <c r="N22" s="5">
        <f t="shared" si="13"/>
        <v>412.00000000000006</v>
      </c>
      <c r="O22" s="135">
        <f t="shared" si="13"/>
        <v>1951.1</v>
      </c>
      <c r="P22" s="284">
        <f t="shared" si="13"/>
        <v>714</v>
      </c>
      <c r="Q22" s="135">
        <f>Q15+Q21-Q19-Q20</f>
        <v>2171</v>
      </c>
      <c r="R22" s="272">
        <f>R15+R21-R19-R20</f>
        <v>2578</v>
      </c>
      <c r="S22" s="272">
        <f>S15+S21-S19-S20</f>
        <v>2673.6000000000004</v>
      </c>
      <c r="T22" s="272">
        <f>T15+T21-T19-T20</f>
        <v>1992.3999999999992</v>
      </c>
      <c r="U22" s="6"/>
      <c r="V22" s="319" t="s">
        <v>182</v>
      </c>
      <c r="W22" s="315">
        <f>47+2+1</f>
        <v>50</v>
      </c>
      <c r="X22" s="47">
        <f>25+2+5</f>
        <v>32</v>
      </c>
      <c r="Y22" s="49">
        <f>25+0+8</f>
        <v>33</v>
      </c>
      <c r="Z22" s="47">
        <f>24+1+8</f>
        <v>33</v>
      </c>
      <c r="AA22" s="265">
        <v>4.508</v>
      </c>
      <c r="AB22" s="199">
        <v>4.5</v>
      </c>
      <c r="AC22" s="327">
        <v>7</v>
      </c>
      <c r="AD22" s="327">
        <v>7</v>
      </c>
      <c r="AE22" s="327">
        <v>7.1</v>
      </c>
      <c r="AF22" s="327">
        <v>7</v>
      </c>
      <c r="AG22" s="199">
        <v>44</v>
      </c>
      <c r="AH22" s="153">
        <v>47</v>
      </c>
      <c r="AI22" s="153">
        <v>54.5</v>
      </c>
      <c r="AJ22" s="112">
        <v>55.5</v>
      </c>
    </row>
    <row r="23" spans="2:264">
      <c r="B23" s="251" t="s">
        <v>106</v>
      </c>
      <c r="C23" s="237">
        <v>0</v>
      </c>
      <c r="D23" s="7">
        <v>0</v>
      </c>
      <c r="E23" s="7">
        <v>0</v>
      </c>
      <c r="F23" s="7">
        <v>0</v>
      </c>
      <c r="G23" s="7">
        <v>0</v>
      </c>
      <c r="H23" s="265">
        <v>0</v>
      </c>
      <c r="I23" s="276">
        <v>-1.1000000000000001</v>
      </c>
      <c r="J23" s="276">
        <v>5.7</v>
      </c>
      <c r="K23" s="276">
        <v>4.4000000000000004</v>
      </c>
      <c r="L23" s="237">
        <v>-1.4</v>
      </c>
      <c r="M23" s="7">
        <v>3.6</v>
      </c>
      <c r="N23" s="7">
        <v>-0.4</v>
      </c>
      <c r="O23" s="265">
        <v>-0.7</v>
      </c>
      <c r="P23" s="290">
        <v>5</v>
      </c>
      <c r="Q23" s="265">
        <v>4</v>
      </c>
      <c r="R23" s="300">
        <v>9</v>
      </c>
      <c r="S23" s="153">
        <v>15.4</v>
      </c>
      <c r="T23" s="153">
        <v>11</v>
      </c>
      <c r="U23" s="22"/>
      <c r="V23" s="320" t="s">
        <v>87</v>
      </c>
      <c r="W23" s="316">
        <v>161</v>
      </c>
      <c r="X23" s="48">
        <v>217</v>
      </c>
      <c r="Y23" s="48">
        <v>193</v>
      </c>
      <c r="Z23" s="48">
        <f>1+262</f>
        <v>263</v>
      </c>
      <c r="AA23" s="196">
        <v>218.14500000000001</v>
      </c>
      <c r="AB23" s="199">
        <v>175.4</v>
      </c>
      <c r="AC23" s="199">
        <v>137.9</v>
      </c>
      <c r="AD23" s="199">
        <v>142</v>
      </c>
      <c r="AE23" s="199">
        <v>62.5</v>
      </c>
      <c r="AF23" s="199">
        <v>45</v>
      </c>
      <c r="AG23" s="199">
        <v>45</v>
      </c>
      <c r="AH23" s="153">
        <v>45.2</v>
      </c>
      <c r="AI23" s="153">
        <v>41.8</v>
      </c>
      <c r="AJ23" s="112">
        <v>8.6999999999999993</v>
      </c>
    </row>
    <row r="24" spans="2:264">
      <c r="B24" s="251" t="s">
        <v>27</v>
      </c>
      <c r="C24" s="242">
        <v>87.8</v>
      </c>
      <c r="D24" s="20">
        <v>113.5</v>
      </c>
      <c r="E24" s="20">
        <v>99.7</v>
      </c>
      <c r="F24" s="20">
        <v>124.4</v>
      </c>
      <c r="G24" s="20">
        <f>179.55887+1.270871-3.622316</f>
        <v>177.207425</v>
      </c>
      <c r="H24" s="265">
        <v>248.1</v>
      </c>
      <c r="I24" s="276">
        <v>263.60000000000002</v>
      </c>
      <c r="J24" s="276">
        <v>359.3</v>
      </c>
      <c r="K24" s="276">
        <v>367.3</v>
      </c>
      <c r="L24" s="237">
        <f>77.9+2.6</f>
        <v>80.5</v>
      </c>
      <c r="M24" s="7">
        <f>132.2-13.1</f>
        <v>119.1</v>
      </c>
      <c r="N24" s="7">
        <v>124.3</v>
      </c>
      <c r="O24" s="265">
        <v>517.70000000000005</v>
      </c>
      <c r="P24" s="290">
        <v>214</v>
      </c>
      <c r="Q24" s="265">
        <v>556</v>
      </c>
      <c r="R24" s="300">
        <v>637</v>
      </c>
      <c r="S24" s="300">
        <v>735.4</v>
      </c>
      <c r="T24" s="300">
        <v>553.29999999999995</v>
      </c>
      <c r="U24" s="58"/>
      <c r="V24" s="319" t="s">
        <v>86</v>
      </c>
      <c r="W24" s="190">
        <v>572</v>
      </c>
      <c r="X24" s="37">
        <v>501.6</v>
      </c>
      <c r="Y24" s="50">
        <v>497.4</v>
      </c>
      <c r="Z24" s="25">
        <v>475.8</v>
      </c>
      <c r="AA24" s="265">
        <v>55.036999999999999</v>
      </c>
      <c r="AB24" s="276">
        <v>64.099999999999994</v>
      </c>
      <c r="AC24" s="199">
        <v>99.3</v>
      </c>
      <c r="AD24" s="199">
        <v>99.9</v>
      </c>
      <c r="AE24" s="199">
        <v>117.7</v>
      </c>
      <c r="AF24" s="199"/>
      <c r="AG24" s="199">
        <v>0</v>
      </c>
      <c r="AH24" s="153">
        <v>0</v>
      </c>
      <c r="AI24" s="153">
        <v>0</v>
      </c>
      <c r="AJ24" s="112">
        <v>0</v>
      </c>
    </row>
    <row r="25" spans="2:264">
      <c r="B25" s="253" t="s">
        <v>28</v>
      </c>
      <c r="C25" s="243">
        <f t="shared" ref="C25:H25" si="14">+C24/C22</f>
        <v>3.7203389830507629</v>
      </c>
      <c r="D25" s="23">
        <f t="shared" si="14"/>
        <v>0.68086382723455241</v>
      </c>
      <c r="E25" s="23">
        <f t="shared" si="14"/>
        <v>1.9284332688588288</v>
      </c>
      <c r="F25" s="23">
        <f t="shared" si="14"/>
        <v>0.81734559789749817</v>
      </c>
      <c r="G25" s="23">
        <f t="shared" si="14"/>
        <v>0.51180770471166437</v>
      </c>
      <c r="H25" s="268">
        <f t="shared" si="14"/>
        <v>0.46209722480908794</v>
      </c>
      <c r="I25" s="279">
        <f t="shared" ref="I25:O25" si="15">+I24/I22</f>
        <v>0.39734700030147729</v>
      </c>
      <c r="J25" s="279">
        <f t="shared" si="15"/>
        <v>0.3547941147427674</v>
      </c>
      <c r="K25" s="279">
        <f t="shared" si="15"/>
        <v>0.28158540325053644</v>
      </c>
      <c r="L25" s="243">
        <f t="shared" si="15"/>
        <v>0.31359563693026909</v>
      </c>
      <c r="M25" s="23">
        <f t="shared" si="15"/>
        <v>0.31186174391201915</v>
      </c>
      <c r="N25" s="23">
        <f t="shared" si="15"/>
        <v>0.30169902912621355</v>
      </c>
      <c r="O25" s="268">
        <f t="shared" si="15"/>
        <v>0.26533750192199274</v>
      </c>
      <c r="P25" s="292">
        <f>P24/P22</f>
        <v>0.29971988795518206</v>
      </c>
      <c r="Q25" s="268">
        <f>Q24/Q22</f>
        <v>0.25610317825886686</v>
      </c>
      <c r="R25" s="302">
        <f>R24/R22</f>
        <v>0.24709076803723817</v>
      </c>
      <c r="S25" s="302">
        <f>S24/S22</f>
        <v>0.27505984440454812</v>
      </c>
      <c r="T25" s="302">
        <f>T24/T22</f>
        <v>0.27770528006424422</v>
      </c>
      <c r="U25" s="15"/>
      <c r="V25" s="319" t="s">
        <v>88</v>
      </c>
      <c r="W25" s="290">
        <v>0</v>
      </c>
      <c r="X25" s="39">
        <v>0</v>
      </c>
      <c r="Y25" s="39">
        <v>0</v>
      </c>
      <c r="Z25" s="39">
        <v>0</v>
      </c>
      <c r="AA25" s="265">
        <v>84.402000000000001</v>
      </c>
      <c r="AB25" s="276">
        <v>80.400000000000006</v>
      </c>
      <c r="AC25" s="199">
        <v>75.400000000000006</v>
      </c>
      <c r="AD25" s="199">
        <v>70.3</v>
      </c>
      <c r="AE25" s="199">
        <v>64.900000000000006</v>
      </c>
      <c r="AF25" s="199">
        <v>177</v>
      </c>
      <c r="AG25" s="199">
        <v>171</v>
      </c>
      <c r="AH25" s="153">
        <v>154.4</v>
      </c>
      <c r="AI25" s="153">
        <v>158.19999999999999</v>
      </c>
      <c r="AJ25" s="112">
        <v>145</v>
      </c>
    </row>
    <row r="26" spans="2:264">
      <c r="B26" s="249" t="s">
        <v>29</v>
      </c>
      <c r="C26" s="238">
        <f>+C22-C24</f>
        <v>-64.199999999999463</v>
      </c>
      <c r="D26" s="14">
        <f>+D22-D24</f>
        <v>53.200000000000159</v>
      </c>
      <c r="E26" s="14">
        <f>+E22-E24</f>
        <v>-48.000000000000753</v>
      </c>
      <c r="F26" s="14">
        <f>+F22-F24</f>
        <v>27.800000000000949</v>
      </c>
      <c r="G26" s="14">
        <f>+G22-G24</f>
        <v>169.03086600000137</v>
      </c>
      <c r="H26" s="135">
        <f t="shared" ref="H26:P26" si="16">H22+H23-H24</f>
        <v>288.80000000000143</v>
      </c>
      <c r="I26" s="272">
        <f t="shared" si="16"/>
        <v>398.69999999999993</v>
      </c>
      <c r="J26" s="272">
        <f t="shared" si="16"/>
        <v>659.09999999999854</v>
      </c>
      <c r="K26" s="272">
        <f t="shared" si="16"/>
        <v>941.50000000000114</v>
      </c>
      <c r="L26" s="232">
        <f t="shared" si="16"/>
        <v>174.79999999999976</v>
      </c>
      <c r="M26" s="5">
        <f t="shared" si="16"/>
        <v>266.39999999999964</v>
      </c>
      <c r="N26" s="5">
        <f t="shared" si="16"/>
        <v>287.30000000000007</v>
      </c>
      <c r="O26" s="135">
        <f t="shared" si="16"/>
        <v>1432.6999999999998</v>
      </c>
      <c r="P26" s="284">
        <f t="shared" si="16"/>
        <v>505</v>
      </c>
      <c r="Q26" s="135">
        <f>Q22+Q23-Q24</f>
        <v>1619</v>
      </c>
      <c r="R26" s="272">
        <f>R22+R23-R24</f>
        <v>1950</v>
      </c>
      <c r="S26" s="272">
        <f>S22+S23-S24</f>
        <v>1953.6000000000004</v>
      </c>
      <c r="T26" s="272">
        <f>T22+T23-T24</f>
        <v>1450.0999999999992</v>
      </c>
      <c r="U26" s="41"/>
      <c r="V26" s="319" t="s">
        <v>89</v>
      </c>
      <c r="W26" s="290">
        <v>0</v>
      </c>
      <c r="X26" s="39">
        <v>0</v>
      </c>
      <c r="Y26" s="39">
        <v>0</v>
      </c>
      <c r="Z26" s="39">
        <v>0</v>
      </c>
      <c r="AA26" s="265">
        <v>58.628999999999998</v>
      </c>
      <c r="AB26" s="199">
        <v>59.9</v>
      </c>
      <c r="AC26" s="199">
        <v>11.5</v>
      </c>
      <c r="AD26" s="199">
        <v>10.5</v>
      </c>
      <c r="AE26" s="199">
        <v>14.8</v>
      </c>
      <c r="AF26" s="199">
        <v>54</v>
      </c>
      <c r="AG26" s="199">
        <v>93</v>
      </c>
      <c r="AH26" s="153">
        <v>116</v>
      </c>
      <c r="AI26" s="153">
        <v>84.6</v>
      </c>
      <c r="AJ26" s="112">
        <v>94.3</v>
      </c>
    </row>
    <row r="27" spans="2:264">
      <c r="B27" s="193" t="s">
        <v>76</v>
      </c>
      <c r="C27" s="244">
        <v>-5.2</v>
      </c>
      <c r="D27" s="11">
        <v>1.2</v>
      </c>
      <c r="E27" s="11">
        <v>0.2</v>
      </c>
      <c r="F27" s="45">
        <v>0.3</v>
      </c>
      <c r="G27" s="11">
        <v>1.6953183999999999</v>
      </c>
      <c r="H27" s="196">
        <v>0</v>
      </c>
      <c r="I27" s="199">
        <v>0</v>
      </c>
      <c r="J27" s="199">
        <v>0</v>
      </c>
      <c r="K27" s="199">
        <v>0</v>
      </c>
      <c r="L27" s="190"/>
      <c r="M27" s="25"/>
      <c r="N27" s="25"/>
      <c r="O27" s="196">
        <v>0</v>
      </c>
      <c r="P27" s="190">
        <v>0</v>
      </c>
      <c r="Q27" s="196">
        <v>0</v>
      </c>
      <c r="R27" s="153">
        <v>0</v>
      </c>
      <c r="S27" s="303">
        <v>0</v>
      </c>
      <c r="T27" s="303">
        <v>0</v>
      </c>
      <c r="U27" s="26"/>
      <c r="V27" s="319" t="s">
        <v>90</v>
      </c>
      <c r="W27" s="290">
        <v>0</v>
      </c>
      <c r="X27" s="39">
        <v>0</v>
      </c>
      <c r="Y27" s="39">
        <v>0</v>
      </c>
      <c r="Z27" s="39">
        <v>0</v>
      </c>
      <c r="AA27" s="265">
        <v>228.32900000000001</v>
      </c>
      <c r="AB27" s="199">
        <v>169.1</v>
      </c>
      <c r="AC27" s="199">
        <v>152.5</v>
      </c>
      <c r="AD27" s="199">
        <v>166.9</v>
      </c>
      <c r="AE27" s="199">
        <v>164.9</v>
      </c>
      <c r="AF27" s="199">
        <v>135</v>
      </c>
      <c r="AG27" s="199">
        <v>257</v>
      </c>
      <c r="AH27" s="153">
        <v>119.6</v>
      </c>
      <c r="AI27" s="153">
        <v>307.60000000000002</v>
      </c>
      <c r="AJ27" s="112">
        <v>624.70000000000005</v>
      </c>
    </row>
    <row r="28" spans="2:264">
      <c r="B28" s="193" t="s">
        <v>17</v>
      </c>
      <c r="C28" s="221">
        <v>20.7</v>
      </c>
      <c r="D28" s="11">
        <v>3.9</v>
      </c>
      <c r="E28" s="11">
        <v>2.1</v>
      </c>
      <c r="F28" s="11">
        <v>16.2</v>
      </c>
      <c r="G28" s="11">
        <v>16.953184</v>
      </c>
      <c r="H28" s="196">
        <v>0</v>
      </c>
      <c r="I28" s="199">
        <v>0</v>
      </c>
      <c r="J28" s="199">
        <v>0</v>
      </c>
      <c r="K28" s="199">
        <v>0</v>
      </c>
      <c r="L28" s="190"/>
      <c r="M28" s="25"/>
      <c r="N28" s="25"/>
      <c r="O28" s="196">
        <v>0</v>
      </c>
      <c r="P28" s="190">
        <v>0</v>
      </c>
      <c r="Q28" s="196">
        <v>0</v>
      </c>
      <c r="R28" s="153">
        <v>0</v>
      </c>
      <c r="S28" s="303">
        <v>0</v>
      </c>
      <c r="T28" s="303">
        <v>0</v>
      </c>
      <c r="U28" s="9"/>
      <c r="V28" s="319" t="s">
        <v>91</v>
      </c>
      <c r="W28" s="290">
        <v>0</v>
      </c>
      <c r="X28" s="39">
        <v>0</v>
      </c>
      <c r="Y28" s="39">
        <v>0</v>
      </c>
      <c r="Z28" s="39">
        <v>0</v>
      </c>
      <c r="AA28" s="265">
        <v>42.317999999999998</v>
      </c>
      <c r="AB28" s="199">
        <v>8.6</v>
      </c>
      <c r="AC28" s="199">
        <v>4.2</v>
      </c>
      <c r="AD28" s="199">
        <v>4.7</v>
      </c>
      <c r="AE28" s="199">
        <v>5</v>
      </c>
      <c r="AF28" s="199">
        <v>6</v>
      </c>
      <c r="AG28" s="199">
        <v>14</v>
      </c>
      <c r="AH28" s="153">
        <v>18.399999999999999</v>
      </c>
      <c r="AI28" s="153">
        <v>6.1</v>
      </c>
      <c r="AJ28" s="112">
        <v>6.7</v>
      </c>
    </row>
    <row r="29" spans="2:264">
      <c r="B29" s="191" t="s">
        <v>75</v>
      </c>
      <c r="C29" s="221">
        <f>C26-C27-C28</f>
        <v>-79.699999999999463</v>
      </c>
      <c r="D29" s="46">
        <f>D26-D27-D28</f>
        <v>48.100000000000158</v>
      </c>
      <c r="E29" s="46">
        <f>E26-E27-E28</f>
        <v>-50.300000000000757</v>
      </c>
      <c r="F29" s="46">
        <f>F26-F27-F28</f>
        <v>11.300000000000949</v>
      </c>
      <c r="G29" s="69">
        <f t="shared" ref="G29:T29" si="17">G26+G27-G28</f>
        <v>153.77300040000137</v>
      </c>
      <c r="H29" s="195">
        <f t="shared" si="17"/>
        <v>288.80000000000143</v>
      </c>
      <c r="I29" s="198">
        <f t="shared" si="17"/>
        <v>398.69999999999993</v>
      </c>
      <c r="J29" s="198">
        <f t="shared" si="17"/>
        <v>659.09999999999854</v>
      </c>
      <c r="K29" s="198">
        <f t="shared" si="17"/>
        <v>941.50000000000114</v>
      </c>
      <c r="L29" s="189">
        <f t="shared" si="17"/>
        <v>174.79999999999976</v>
      </c>
      <c r="M29" s="24">
        <f t="shared" si="17"/>
        <v>266.39999999999964</v>
      </c>
      <c r="N29" s="24">
        <f t="shared" si="17"/>
        <v>287.30000000000007</v>
      </c>
      <c r="O29" s="299">
        <f t="shared" si="17"/>
        <v>1432.6999999999998</v>
      </c>
      <c r="P29" s="293">
        <f t="shared" si="17"/>
        <v>505</v>
      </c>
      <c r="Q29" s="299">
        <f t="shared" si="17"/>
        <v>1619</v>
      </c>
      <c r="R29" s="204">
        <f t="shared" si="17"/>
        <v>1950</v>
      </c>
      <c r="S29" s="204">
        <f t="shared" si="17"/>
        <v>1953.6000000000004</v>
      </c>
      <c r="T29" s="204">
        <f t="shared" si="17"/>
        <v>1450.0999999999992</v>
      </c>
      <c r="U29" s="19"/>
      <c r="V29" s="249" t="s">
        <v>25</v>
      </c>
      <c r="W29" s="232">
        <f t="shared" ref="W29:AC29" si="18">SUM(W30:W39)</f>
        <v>4706.8</v>
      </c>
      <c r="X29" s="5">
        <f t="shared" si="18"/>
        <v>5050.0999999999995</v>
      </c>
      <c r="Y29" s="38">
        <f t="shared" si="18"/>
        <v>4884</v>
      </c>
      <c r="Z29" s="127">
        <f t="shared" si="18"/>
        <v>5041</v>
      </c>
      <c r="AA29" s="263">
        <f t="shared" si="18"/>
        <v>5190.8029999999999</v>
      </c>
      <c r="AB29" s="274">
        <f t="shared" si="18"/>
        <v>7795.7999999999993</v>
      </c>
      <c r="AC29" s="274">
        <f t="shared" si="18"/>
        <v>8620.3000000000011</v>
      </c>
      <c r="AD29" s="274">
        <f t="shared" ref="AD29:AG29" si="19">SUM(AD30:AD39)</f>
        <v>9387.2000000000007</v>
      </c>
      <c r="AE29" s="274">
        <f t="shared" si="19"/>
        <v>11293.000000000002</v>
      </c>
      <c r="AF29" s="274">
        <f t="shared" si="19"/>
        <v>11930.1</v>
      </c>
      <c r="AG29" s="274">
        <f t="shared" si="19"/>
        <v>13468</v>
      </c>
      <c r="AH29" s="274">
        <f>SUM(AH30:AH39)</f>
        <v>16279.099999999999</v>
      </c>
      <c r="AI29" s="325">
        <f>SUM(AI30:AI39)</f>
        <v>19506.5</v>
      </c>
      <c r="AJ29" s="149">
        <f>SUM(AJ30:AJ39)</f>
        <v>20136.599999999999</v>
      </c>
    </row>
    <row r="30" spans="2:264">
      <c r="B30" s="252" t="s">
        <v>30</v>
      </c>
      <c r="C30" s="239">
        <f t="shared" ref="C30:J30" si="20">C26/C6</f>
        <v>-8.8822479558377208E-3</v>
      </c>
      <c r="D30" s="18">
        <f t="shared" si="20"/>
        <v>6.2055289863525206E-3</v>
      </c>
      <c r="E30" s="18">
        <f t="shared" si="20"/>
        <v>-6.0529634300127057E-3</v>
      </c>
      <c r="F30" s="18">
        <f t="shared" si="20"/>
        <v>3.4729162502499687E-3</v>
      </c>
      <c r="G30" s="18">
        <f t="shared" si="20"/>
        <v>1.9404717893875614E-2</v>
      </c>
      <c r="H30" s="266">
        <f t="shared" si="20"/>
        <v>2.757804069861837E-2</v>
      </c>
      <c r="I30" s="277">
        <f t="shared" si="20"/>
        <v>3.7796484841590344E-2</v>
      </c>
      <c r="J30" s="277">
        <f t="shared" si="20"/>
        <v>5.6707505936607235E-2</v>
      </c>
      <c r="K30" s="277">
        <f t="shared" ref="K30:P30" si="21">K26/K6</f>
        <v>6.3622172817147993E-2</v>
      </c>
      <c r="L30" s="239">
        <f t="shared" si="21"/>
        <v>6.5900094250706795E-2</v>
      </c>
      <c r="M30" s="18">
        <f t="shared" si="21"/>
        <v>6.8312947149780659E-2</v>
      </c>
      <c r="N30" s="18">
        <f t="shared" si="21"/>
        <v>8.2285550622941447E-2</v>
      </c>
      <c r="O30" s="266">
        <f t="shared" si="21"/>
        <v>9.8839615872840653E-2</v>
      </c>
      <c r="P30" s="289">
        <f t="shared" si="21"/>
        <v>7.2945254947277188E-2</v>
      </c>
      <c r="Q30" s="266">
        <f>Q29/Q6</f>
        <v>0.10266979516773417</v>
      </c>
      <c r="R30" s="277">
        <f>R29/R6</f>
        <v>9.8009650180940891E-2</v>
      </c>
      <c r="S30" s="277">
        <f>S29/S6</f>
        <v>8.3208041399578353E-2</v>
      </c>
      <c r="T30" s="277">
        <f>T29/T6</f>
        <v>7.6218759033928107E-2</v>
      </c>
      <c r="V30" s="251" t="s">
        <v>98</v>
      </c>
      <c r="W30" s="237">
        <v>660</v>
      </c>
      <c r="X30" s="7">
        <v>724.4</v>
      </c>
      <c r="Y30" s="39">
        <v>754.6</v>
      </c>
      <c r="Z30" s="7">
        <v>793.3</v>
      </c>
      <c r="AA30" s="196">
        <v>959.30100000000004</v>
      </c>
      <c r="AB30" s="199">
        <v>1289.5</v>
      </c>
      <c r="AC30" s="328">
        <v>1011.9</v>
      </c>
      <c r="AD30" s="328">
        <v>1297.5999999999999</v>
      </c>
      <c r="AE30" s="328">
        <v>1345</v>
      </c>
      <c r="AF30" s="330">
        <v>1275.9000000000001</v>
      </c>
      <c r="AG30" s="199">
        <v>1810</v>
      </c>
      <c r="AH30" s="153">
        <v>2222.6</v>
      </c>
      <c r="AI30" s="153">
        <v>2365.4</v>
      </c>
      <c r="AJ30" s="112">
        <v>2963.1</v>
      </c>
    </row>
    <row r="31" spans="2:264">
      <c r="B31" s="250" t="s">
        <v>9</v>
      </c>
      <c r="C31" s="233"/>
      <c r="D31" s="12">
        <f t="shared" ref="D31:J31" si="22">+D26/C26-1</f>
        <v>-1.8286604361370811</v>
      </c>
      <c r="E31" s="12">
        <f t="shared" si="22"/>
        <v>-1.9022556390977559</v>
      </c>
      <c r="F31" s="12">
        <f t="shared" si="22"/>
        <v>-1.5791666666666773</v>
      </c>
      <c r="G31" s="12" t="s">
        <v>178</v>
      </c>
      <c r="H31" s="136">
        <f t="shared" si="22"/>
        <v>0.7085636891903464</v>
      </c>
      <c r="I31" s="273">
        <f t="shared" si="22"/>
        <v>0.38054016620497899</v>
      </c>
      <c r="J31" s="273">
        <f t="shared" si="22"/>
        <v>0.65312264860797264</v>
      </c>
      <c r="K31" s="273">
        <f>+K26/J26-1</f>
        <v>0.4284630556819955</v>
      </c>
      <c r="L31" s="233">
        <f>+L26/K26-1</f>
        <v>-0.81433882103027133</v>
      </c>
      <c r="M31" s="12">
        <f>+M26/L26-1</f>
        <v>0.52402745995423339</v>
      </c>
      <c r="N31" s="12">
        <f>+N26/M26-1</f>
        <v>7.8453453453455113E-2</v>
      </c>
      <c r="O31" s="136">
        <f>+O26/K26-1</f>
        <v>0.52172065852363048</v>
      </c>
      <c r="P31" s="233">
        <f>+P26/L26-1</f>
        <v>1.88901601830664</v>
      </c>
      <c r="Q31" s="136">
        <f>+Q26/O26-1</f>
        <v>0.13003420115865172</v>
      </c>
      <c r="R31" s="273">
        <f>+R26/Q26-1</f>
        <v>0.20444718962322428</v>
      </c>
      <c r="S31" s="273">
        <f>+S26/R26-1</f>
        <v>1.8461538461540528E-3</v>
      </c>
      <c r="T31" s="273"/>
      <c r="V31" s="251" t="s">
        <v>99</v>
      </c>
      <c r="W31" s="237"/>
      <c r="X31" s="7"/>
      <c r="Y31" s="39"/>
      <c r="Z31" s="7"/>
      <c r="AA31" s="196">
        <v>0</v>
      </c>
      <c r="AB31" s="199">
        <v>0</v>
      </c>
      <c r="AC31" s="199">
        <v>0</v>
      </c>
      <c r="AD31" s="199">
        <v>0</v>
      </c>
      <c r="AE31" s="199">
        <v>0</v>
      </c>
      <c r="AF31" s="199">
        <v>0</v>
      </c>
      <c r="AG31" s="199">
        <v>0</v>
      </c>
      <c r="AH31" s="153">
        <v>0</v>
      </c>
      <c r="AI31" s="153">
        <v>0</v>
      </c>
      <c r="AJ31" s="112">
        <v>0</v>
      </c>
    </row>
    <row r="32" spans="2:264">
      <c r="B32" s="250" t="s">
        <v>11</v>
      </c>
      <c r="C32" s="233"/>
      <c r="D32" s="157"/>
      <c r="E32" s="158"/>
      <c r="F32" s="12">
        <f t="shared" ref="F32:K32" si="23">((F26/C26)^(1/3)-1)</f>
        <v>-1.7565481772852154</v>
      </c>
      <c r="G32" s="12" t="s">
        <v>178</v>
      </c>
      <c r="H32" s="136" t="s">
        <v>178</v>
      </c>
      <c r="I32" s="273" t="s">
        <v>178</v>
      </c>
      <c r="J32" s="273">
        <f t="shared" si="23"/>
        <v>0.57396509996591871</v>
      </c>
      <c r="K32" s="273">
        <f t="shared" si="23"/>
        <v>0.48277200707378776</v>
      </c>
      <c r="L32" s="233">
        <f>((L26/I26)^(1/3)-1)</f>
        <v>-0.24031818440395947</v>
      </c>
      <c r="M32" s="12">
        <f>((M26/J26)^(1/3)-1)</f>
        <v>-0.26063145635302554</v>
      </c>
      <c r="N32" s="12">
        <f>((N26/K26)^(1/3)-1)</f>
        <v>-0.32675712300133108</v>
      </c>
      <c r="O32" s="136">
        <f>((O26/I26)^(1/3)-1)</f>
        <v>0.53168576110059118</v>
      </c>
      <c r="P32" s="233">
        <f>((P26/J26)^(1/3)-1)</f>
        <v>-8.4946073698323077E-2</v>
      </c>
      <c r="Q32" s="136">
        <f>((Q26/J26)^(1/3)-1)</f>
        <v>0.34926890675405264</v>
      </c>
      <c r="R32" s="273">
        <f>((R26/K26)^(1/3)-1)</f>
        <v>0.27469053880396466</v>
      </c>
      <c r="S32" s="273">
        <f>((S26/O26)^(1/3)-1)</f>
        <v>0.10890275359655144</v>
      </c>
      <c r="T32" s="273"/>
      <c r="V32" s="321" t="s">
        <v>92</v>
      </c>
      <c r="W32" s="290">
        <v>0</v>
      </c>
      <c r="X32" s="39">
        <v>0</v>
      </c>
      <c r="Y32" s="39">
        <v>0</v>
      </c>
      <c r="Z32" s="39">
        <v>0</v>
      </c>
      <c r="AA32" s="265">
        <v>2.0739999999999998</v>
      </c>
      <c r="AB32" s="199">
        <v>3.2</v>
      </c>
      <c r="AC32" s="199">
        <v>4</v>
      </c>
      <c r="AD32" s="199">
        <v>3.7</v>
      </c>
      <c r="AE32" s="199">
        <v>1.1000000000000001</v>
      </c>
      <c r="AF32" s="331">
        <v>1.6</v>
      </c>
      <c r="AG32" s="199">
        <v>3</v>
      </c>
      <c r="AH32" s="153">
        <v>3.2</v>
      </c>
      <c r="AI32" s="153">
        <v>5.4</v>
      </c>
      <c r="AJ32" s="112">
        <v>5.3</v>
      </c>
    </row>
    <row r="33" spans="2:264">
      <c r="B33" s="193" t="s">
        <v>81</v>
      </c>
      <c r="C33" s="237">
        <v>0</v>
      </c>
      <c r="D33" s="7">
        <v>0</v>
      </c>
      <c r="E33" s="7">
        <v>0</v>
      </c>
      <c r="F33" s="7">
        <v>0</v>
      </c>
      <c r="G33" s="66">
        <v>0</v>
      </c>
      <c r="H33" s="269">
        <v>-0.8</v>
      </c>
      <c r="I33" s="280">
        <v>-13.4</v>
      </c>
      <c r="J33" s="280">
        <v>1.1000000000000001</v>
      </c>
      <c r="K33" s="280">
        <v>2</v>
      </c>
      <c r="L33" s="260">
        <f>-3.1+0.8-5.4</f>
        <v>-7.7</v>
      </c>
      <c r="M33" s="133">
        <f>-3.1+0.8-0.9</f>
        <v>-3.1999999999999997</v>
      </c>
      <c r="N33" s="133">
        <v>-14.3</v>
      </c>
      <c r="O33" s="269">
        <v>-3</v>
      </c>
      <c r="P33" s="294">
        <v>11</v>
      </c>
      <c r="Q33" s="269">
        <v>-10</v>
      </c>
      <c r="R33" s="280">
        <v>-17</v>
      </c>
      <c r="S33" s="280">
        <v>-2.8</v>
      </c>
      <c r="T33" s="280">
        <v>-7.5</v>
      </c>
      <c r="V33" s="321" t="s">
        <v>93</v>
      </c>
      <c r="W33" s="237">
        <v>3522</v>
      </c>
      <c r="X33" s="7">
        <v>3578</v>
      </c>
      <c r="Y33" s="39">
        <v>3483.7</v>
      </c>
      <c r="Z33" s="7">
        <v>3582.4</v>
      </c>
      <c r="AA33" s="196">
        <v>3367.66</v>
      </c>
      <c r="AB33" s="199">
        <v>4161.7</v>
      </c>
      <c r="AC33" s="199">
        <v>4371</v>
      </c>
      <c r="AD33" s="199">
        <v>4241.7</v>
      </c>
      <c r="AE33" s="199">
        <v>5018.7</v>
      </c>
      <c r="AF33" s="331">
        <v>4489.6000000000004</v>
      </c>
      <c r="AG33" s="199">
        <v>5077</v>
      </c>
      <c r="AH33" s="153">
        <v>6967.9</v>
      </c>
      <c r="AI33" s="153">
        <v>9347.7999999999993</v>
      </c>
      <c r="AJ33" s="112">
        <v>9816.1</v>
      </c>
    </row>
    <row r="34" spans="2:264">
      <c r="B34" s="191" t="s">
        <v>107</v>
      </c>
      <c r="C34" s="245">
        <f t="shared" ref="C34:O34" si="24">C29+C33</f>
        <v>-79.699999999999463</v>
      </c>
      <c r="D34" s="70">
        <f t="shared" si="24"/>
        <v>48.100000000000158</v>
      </c>
      <c r="E34" s="70">
        <f t="shared" si="24"/>
        <v>-50.300000000000757</v>
      </c>
      <c r="F34" s="70">
        <f t="shared" si="24"/>
        <v>11.300000000000949</v>
      </c>
      <c r="G34" s="71">
        <f t="shared" si="24"/>
        <v>153.77300040000137</v>
      </c>
      <c r="H34" s="270">
        <f t="shared" si="24"/>
        <v>288.00000000000142</v>
      </c>
      <c r="I34" s="281">
        <f t="shared" si="24"/>
        <v>385.29999999999995</v>
      </c>
      <c r="J34" s="281">
        <f t="shared" si="24"/>
        <v>660.19999999999857</v>
      </c>
      <c r="K34" s="281">
        <f t="shared" si="24"/>
        <v>943.50000000000114</v>
      </c>
      <c r="L34" s="261">
        <f t="shared" si="24"/>
        <v>167.09999999999977</v>
      </c>
      <c r="M34" s="159">
        <f t="shared" si="24"/>
        <v>263.19999999999965</v>
      </c>
      <c r="N34" s="159">
        <f t="shared" si="24"/>
        <v>273.00000000000006</v>
      </c>
      <c r="O34" s="270">
        <f t="shared" si="24"/>
        <v>1429.6999999999998</v>
      </c>
      <c r="P34" s="295">
        <v>516</v>
      </c>
      <c r="Q34" s="270">
        <f>Q29+Q33</f>
        <v>1609</v>
      </c>
      <c r="R34" s="281">
        <v>1933</v>
      </c>
      <c r="S34" s="281">
        <f>S29+S33</f>
        <v>1950.8000000000004</v>
      </c>
      <c r="T34" s="281">
        <f>T29+T33</f>
        <v>1442.5999999999992</v>
      </c>
      <c r="V34" s="321" t="s">
        <v>94</v>
      </c>
      <c r="W34" s="237">
        <v>188</v>
      </c>
      <c r="X34" s="7">
        <v>260</v>
      </c>
      <c r="Y34" s="39">
        <v>237.9</v>
      </c>
      <c r="Z34" s="7">
        <v>261.60000000000002</v>
      </c>
      <c r="AA34" s="196">
        <v>194.39</v>
      </c>
      <c r="AB34" s="199">
        <v>1171</v>
      </c>
      <c r="AC34" s="199">
        <v>672.5</v>
      </c>
      <c r="AD34" s="199">
        <v>451.7</v>
      </c>
      <c r="AE34" s="199">
        <v>1014.6</v>
      </c>
      <c r="AF34" s="331">
        <v>1972</v>
      </c>
      <c r="AG34" s="199">
        <v>1691</v>
      </c>
      <c r="AH34" s="153">
        <v>1753.6</v>
      </c>
      <c r="AI34" s="153">
        <v>1536.4</v>
      </c>
      <c r="AJ34" s="112">
        <v>1110.5</v>
      </c>
    </row>
    <row r="35" spans="2:264">
      <c r="B35" s="249" t="s">
        <v>33</v>
      </c>
      <c r="C35" s="246">
        <f>C26/14.53</f>
        <v>-4.4184445973846849</v>
      </c>
      <c r="D35" s="27">
        <f>D26/14.53</f>
        <v>3.6613902271163221</v>
      </c>
      <c r="E35" s="27">
        <f>E26/14.53</f>
        <v>-3.3035099793531146</v>
      </c>
      <c r="F35" s="27">
        <f>F29/14.53</f>
        <v>0.77770130763943224</v>
      </c>
      <c r="G35" s="27">
        <v>10.61</v>
      </c>
      <c r="H35" s="271">
        <v>2.4969999999999999</v>
      </c>
      <c r="I35" s="282">
        <v>3.4460000000000002</v>
      </c>
      <c r="J35" s="282">
        <v>5.7</v>
      </c>
      <c r="K35" s="282">
        <v>8.01</v>
      </c>
      <c r="L35" s="246">
        <v>14.74</v>
      </c>
      <c r="M35" s="27">
        <v>22.72</v>
      </c>
      <c r="N35" s="27">
        <v>24.57</v>
      </c>
      <c r="O35" s="271">
        <v>12.141</v>
      </c>
      <c r="P35" s="296">
        <v>43.27</v>
      </c>
      <c r="Q35" s="271">
        <v>13.73</v>
      </c>
      <c r="R35" s="282">
        <v>16.594999999999999</v>
      </c>
      <c r="S35" s="282">
        <v>16.533999999999999</v>
      </c>
      <c r="T35" s="282">
        <v>12.185</v>
      </c>
      <c r="V35" s="321" t="s">
        <v>95</v>
      </c>
      <c r="W35" s="237"/>
      <c r="X35" s="7"/>
      <c r="Y35" s="39"/>
      <c r="Z35" s="7"/>
      <c r="AA35" s="196">
        <v>146.43299999999999</v>
      </c>
      <c r="AB35" s="199">
        <v>505.8</v>
      </c>
      <c r="AC35" s="199">
        <v>1959.3</v>
      </c>
      <c r="AD35" s="199">
        <v>2452.4</v>
      </c>
      <c r="AE35" s="199">
        <v>2716.3</v>
      </c>
      <c r="AF35" s="331">
        <v>3082</v>
      </c>
      <c r="AG35" s="327">
        <v>3668</v>
      </c>
      <c r="AH35" s="205">
        <v>3726.1</v>
      </c>
      <c r="AI35" s="205">
        <v>4342.6000000000004</v>
      </c>
      <c r="AJ35" s="143">
        <v>3791.1</v>
      </c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</row>
    <row r="36" spans="2:264" ht="15.75" customHeight="1">
      <c r="B36" s="250" t="s">
        <v>9</v>
      </c>
      <c r="C36" s="247"/>
      <c r="D36" s="8">
        <f>+D35/C35-1</f>
        <v>-1.8286604361370808</v>
      </c>
      <c r="E36" s="8">
        <f>-(E35/D35-1)</f>
        <v>1.9022556390977559</v>
      </c>
      <c r="F36" s="8">
        <f t="shared" ref="F36:K36" si="25">+F35/E35-1</f>
        <v>-1.2354166666666828</v>
      </c>
      <c r="G36" s="8" t="s">
        <v>178</v>
      </c>
      <c r="H36" s="136">
        <f t="shared" si="25"/>
        <v>-0.76465598491988684</v>
      </c>
      <c r="I36" s="273">
        <f t="shared" si="25"/>
        <v>0.38005606728073693</v>
      </c>
      <c r="J36" s="273">
        <f t="shared" si="25"/>
        <v>0.65409170052234478</v>
      </c>
      <c r="K36" s="273">
        <f t="shared" si="25"/>
        <v>0.40526315789473677</v>
      </c>
      <c r="L36" s="233">
        <f>+L35/K35-1</f>
        <v>0.84019975031210992</v>
      </c>
      <c r="M36" s="12">
        <f>+M35/L35-1</f>
        <v>0.54138398914518304</v>
      </c>
      <c r="N36" s="12">
        <f>+N35/M35-1</f>
        <v>8.1426056338028241E-2</v>
      </c>
      <c r="O36" s="136">
        <f>+O35/K35-1</f>
        <v>0.51573033707865168</v>
      </c>
      <c r="P36" s="233">
        <f>+P35/O35-1</f>
        <v>2.5639568404579527</v>
      </c>
      <c r="Q36" s="136">
        <f>+Q35/O35-1</f>
        <v>0.13087884029322128</v>
      </c>
      <c r="R36" s="273">
        <f>+R35/Q35-1</f>
        <v>0.20866715222141274</v>
      </c>
      <c r="S36" s="273">
        <f>+S35/R35-1</f>
        <v>-3.6758059656523123E-3</v>
      </c>
      <c r="T36" s="273"/>
      <c r="V36" s="321" t="s">
        <v>96</v>
      </c>
      <c r="W36" s="237">
        <v>335</v>
      </c>
      <c r="X36" s="7">
        <v>485.7</v>
      </c>
      <c r="Y36" s="39">
        <v>404.7</v>
      </c>
      <c r="Z36" s="7">
        <v>401</v>
      </c>
      <c r="AA36" s="196">
        <v>118.758</v>
      </c>
      <c r="AB36" s="199">
        <v>179.3</v>
      </c>
      <c r="AC36" s="199">
        <v>168.8</v>
      </c>
      <c r="AD36" s="199">
        <v>90.8</v>
      </c>
      <c r="AE36" s="199">
        <v>173.2</v>
      </c>
      <c r="AF36" s="199">
        <v>142</v>
      </c>
      <c r="AG36" s="327">
        <v>201</v>
      </c>
      <c r="AH36" s="205">
        <v>152.30000000000001</v>
      </c>
      <c r="AI36" s="205">
        <v>79</v>
      </c>
      <c r="AJ36" s="143">
        <v>98.7</v>
      </c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</row>
    <row r="37" spans="2:264" ht="14.4" thickBot="1">
      <c r="B37" s="254" t="s">
        <v>11</v>
      </c>
      <c r="C37" s="256"/>
      <c r="D37" s="138"/>
      <c r="E37" s="139"/>
      <c r="F37" s="140">
        <f t="shared" ref="F37:K37" si="26">+((F35/C35)^(1/3)-1)</f>
        <v>-1.5604210917197086</v>
      </c>
      <c r="G37" s="140" t="s">
        <v>178</v>
      </c>
      <c r="H37" s="141" t="s">
        <v>178</v>
      </c>
      <c r="I37" s="283" t="s">
        <v>178</v>
      </c>
      <c r="J37" s="283">
        <f t="shared" si="26"/>
        <v>-0.1870699880170611</v>
      </c>
      <c r="K37" s="283">
        <f t="shared" si="26"/>
        <v>0.47481651178071682</v>
      </c>
      <c r="L37" s="262">
        <f>+((L35/I35)^(1/3)-1)</f>
        <v>0.62328236329381781</v>
      </c>
      <c r="M37" s="140">
        <f>+((M35/J35)^(1/3)-1)</f>
        <v>0.58554226683487198</v>
      </c>
      <c r="N37" s="140">
        <f>+((N35/K35)^(1/3)-1)</f>
        <v>0.45297300917176608</v>
      </c>
      <c r="O37" s="141">
        <v>0.52200000000000002</v>
      </c>
      <c r="P37" s="262">
        <f>+((P35/M35)^(1/3)-1)</f>
        <v>0.23953707933131518</v>
      </c>
      <c r="Q37" s="141">
        <f>+((Q35/J35)^(1/3)-1)</f>
        <v>0.34049508880026536</v>
      </c>
      <c r="R37" s="283">
        <f>+((R35/K35)^(1/3)-1)</f>
        <v>0.27481817597664215</v>
      </c>
      <c r="S37" s="283">
        <f>+((S35/O35)^(1/3)-1)</f>
        <v>0.10842885950888004</v>
      </c>
      <c r="T37" s="283"/>
      <c r="V37" s="321" t="s">
        <v>97</v>
      </c>
      <c r="W37" s="290">
        <v>0</v>
      </c>
      <c r="X37" s="39">
        <v>0</v>
      </c>
      <c r="Y37" s="39">
        <v>0</v>
      </c>
      <c r="Z37" s="39">
        <v>0</v>
      </c>
      <c r="AA37" s="265">
        <v>34.003999999999998</v>
      </c>
      <c r="AB37" s="199">
        <v>19.399999999999999</v>
      </c>
      <c r="AC37" s="199">
        <v>87.6</v>
      </c>
      <c r="AD37" s="199">
        <v>196.6</v>
      </c>
      <c r="AE37" s="199">
        <v>237.2</v>
      </c>
      <c r="AF37" s="199">
        <v>118</v>
      </c>
      <c r="AG37" s="327">
        <v>137</v>
      </c>
      <c r="AH37" s="205">
        <v>151</v>
      </c>
      <c r="AI37" s="205">
        <v>159.9</v>
      </c>
      <c r="AJ37" s="143">
        <v>108.2</v>
      </c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</row>
    <row r="38" spans="2:264" ht="15" thickBot="1"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V38" s="321" t="s">
        <v>100</v>
      </c>
      <c r="W38" s="290">
        <v>0</v>
      </c>
      <c r="X38" s="39">
        <v>0</v>
      </c>
      <c r="Y38" s="39">
        <v>0</v>
      </c>
      <c r="Z38" s="39">
        <v>0</v>
      </c>
      <c r="AA38" s="265">
        <v>1.0780000000000001</v>
      </c>
      <c r="AB38" s="199">
        <v>5.5</v>
      </c>
      <c r="AC38" s="199">
        <v>8</v>
      </c>
      <c r="AD38" s="199">
        <v>13.6</v>
      </c>
      <c r="AE38" s="199">
        <v>14.6</v>
      </c>
      <c r="AF38" s="199">
        <v>7</v>
      </c>
      <c r="AG38" s="327">
        <v>3</v>
      </c>
      <c r="AH38" s="205">
        <v>0.4</v>
      </c>
      <c r="AI38" s="205">
        <v>10.7</v>
      </c>
      <c r="AJ38" s="143">
        <v>2.5</v>
      </c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</row>
    <row r="39" spans="2:264" ht="15" customHeight="1" thickBot="1">
      <c r="B39" s="390" t="s">
        <v>35</v>
      </c>
      <c r="C39" s="391"/>
      <c r="D39" s="391"/>
      <c r="E39" s="391"/>
      <c r="F39" s="391"/>
      <c r="G39" s="391"/>
      <c r="H39" s="391"/>
      <c r="I39" s="391"/>
      <c r="J39" s="391"/>
      <c r="K39" s="391"/>
      <c r="L39" s="391"/>
      <c r="M39" s="391"/>
      <c r="N39" s="391"/>
      <c r="O39" s="391"/>
      <c r="P39" s="391"/>
      <c r="Q39" s="391"/>
      <c r="R39" s="391"/>
      <c r="S39" s="391"/>
      <c r="T39" s="392"/>
      <c r="U39" s="32"/>
      <c r="V39" s="251" t="s">
        <v>101</v>
      </c>
      <c r="W39" s="237">
        <v>1.8</v>
      </c>
      <c r="X39" s="7">
        <v>2</v>
      </c>
      <c r="Y39" s="39">
        <v>3.1</v>
      </c>
      <c r="Z39" s="7">
        <v>2.7</v>
      </c>
      <c r="AA39" s="196">
        <v>367.10500000000002</v>
      </c>
      <c r="AB39" s="199">
        <v>460.4</v>
      </c>
      <c r="AC39" s="199">
        <v>337.2</v>
      </c>
      <c r="AD39" s="199">
        <v>639.1</v>
      </c>
      <c r="AE39" s="199">
        <v>772.3</v>
      </c>
      <c r="AF39" s="199">
        <v>842</v>
      </c>
      <c r="AG39" s="327">
        <v>878</v>
      </c>
      <c r="AH39" s="205">
        <v>1302</v>
      </c>
      <c r="AI39" s="205">
        <v>1659.3</v>
      </c>
      <c r="AJ39" s="143">
        <v>2241.1</v>
      </c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</row>
    <row r="40" spans="2:264" ht="14.4" thickBot="1">
      <c r="B40" s="164" t="s">
        <v>2</v>
      </c>
      <c r="C40" s="166" t="s">
        <v>3</v>
      </c>
      <c r="D40" s="166" t="s">
        <v>4</v>
      </c>
      <c r="E40" s="166" t="s">
        <v>5</v>
      </c>
      <c r="F40" s="166" t="s">
        <v>6</v>
      </c>
      <c r="G40" s="166" t="s">
        <v>77</v>
      </c>
      <c r="H40" s="167" t="s">
        <v>80</v>
      </c>
      <c r="I40" s="156" t="s">
        <v>83</v>
      </c>
      <c r="J40" s="156" t="s">
        <v>110</v>
      </c>
      <c r="K40" s="156" t="s">
        <v>189</v>
      </c>
      <c r="L40" s="168" t="s">
        <v>205</v>
      </c>
      <c r="M40" s="169"/>
      <c r="N40" s="169">
        <f>N39/K20</f>
        <v>0</v>
      </c>
      <c r="O40" s="170" t="s">
        <v>223</v>
      </c>
      <c r="P40" s="168" t="s">
        <v>225</v>
      </c>
      <c r="Q40" s="170" t="s">
        <v>225</v>
      </c>
      <c r="R40" s="156" t="s">
        <v>226</v>
      </c>
      <c r="S40" s="156" t="s">
        <v>228</v>
      </c>
      <c r="T40" s="170" t="s">
        <v>230</v>
      </c>
      <c r="U40" s="33"/>
      <c r="V40" s="322" t="s">
        <v>31</v>
      </c>
      <c r="W40" s="317">
        <f>SUM(W41:W44)</f>
        <v>4222.8</v>
      </c>
      <c r="X40" s="61">
        <f>SUM(X41:X44)</f>
        <v>4340.8</v>
      </c>
      <c r="Y40" s="128">
        <f>SUM(Y41:Y44)</f>
        <v>3854.7999999999997</v>
      </c>
      <c r="Z40" s="61">
        <f>SUM(Z41:Z44)</f>
        <v>4114</v>
      </c>
      <c r="AA40" s="149">
        <f>SUM(AA41:AA46)+AA9</f>
        <v>4847.5360000000001</v>
      </c>
      <c r="AB40" s="149">
        <f t="shared" ref="AB40:AJ40" si="27">SUM(AB41:AB46)+AB9</f>
        <v>7454.3</v>
      </c>
      <c r="AC40" s="149">
        <f t="shared" si="27"/>
        <v>8043.7000000000007</v>
      </c>
      <c r="AD40" s="149">
        <f t="shared" si="27"/>
        <v>8522.9</v>
      </c>
      <c r="AE40" s="149">
        <f t="shared" si="27"/>
        <v>9611.5449999999983</v>
      </c>
      <c r="AF40" s="149">
        <f t="shared" si="27"/>
        <v>8988</v>
      </c>
      <c r="AG40" s="149">
        <f t="shared" si="27"/>
        <v>9272</v>
      </c>
      <c r="AH40" s="149">
        <f t="shared" si="27"/>
        <v>10514</v>
      </c>
      <c r="AI40" s="149">
        <f t="shared" si="27"/>
        <v>12591</v>
      </c>
      <c r="AJ40" s="149">
        <f t="shared" si="27"/>
        <v>13092.599999999999</v>
      </c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</row>
    <row r="41" spans="2:264">
      <c r="B41" s="174" t="s">
        <v>38</v>
      </c>
      <c r="C41" s="177">
        <v>169.9</v>
      </c>
      <c r="D41" s="178">
        <v>102.6</v>
      </c>
      <c r="E41" s="178">
        <v>140.9</v>
      </c>
      <c r="F41" s="178">
        <v>118.3</v>
      </c>
      <c r="G41" s="178">
        <v>112</v>
      </c>
      <c r="H41" s="179">
        <v>194.39</v>
      </c>
      <c r="I41" s="180">
        <v>1171</v>
      </c>
      <c r="J41" s="180">
        <f>I46</f>
        <v>672.38799999999992</v>
      </c>
      <c r="K41" s="181">
        <f>J46</f>
        <v>451.75399999999979</v>
      </c>
      <c r="L41" s="181">
        <f>K46</f>
        <v>1014.5319999999998</v>
      </c>
      <c r="M41" s="182"/>
      <c r="N41" s="182"/>
      <c r="O41" s="183">
        <v>1015</v>
      </c>
      <c r="P41" s="182">
        <v>921</v>
      </c>
      <c r="Q41" s="183">
        <v>1972</v>
      </c>
      <c r="R41" s="181">
        <v>1691</v>
      </c>
      <c r="S41" s="186">
        <f>R46</f>
        <v>1753.6</v>
      </c>
      <c r="T41" s="187">
        <f>S46</f>
        <v>1536.1</v>
      </c>
      <c r="U41" s="33"/>
      <c r="V41" s="193" t="s">
        <v>32</v>
      </c>
      <c r="W41" s="190">
        <v>3078.8</v>
      </c>
      <c r="X41" s="25">
        <v>3478</v>
      </c>
      <c r="Y41" s="50">
        <v>3154.5</v>
      </c>
      <c r="Z41" s="25">
        <v>3162</v>
      </c>
      <c r="AA41" s="196">
        <f>22.578+3253.691</f>
        <v>3276.2689999999998</v>
      </c>
      <c r="AB41" s="199">
        <v>3912.5</v>
      </c>
      <c r="AC41" s="199">
        <v>3638.9</v>
      </c>
      <c r="AD41" s="199">
        <v>4151</v>
      </c>
      <c r="AE41" s="199">
        <f>91.5+4844.1</f>
        <v>4935.6000000000004</v>
      </c>
      <c r="AF41" s="199">
        <v>5353</v>
      </c>
      <c r="AG41" s="327">
        <v>5234</v>
      </c>
      <c r="AH41" s="205">
        <v>5513</v>
      </c>
      <c r="AI41" s="205">
        <v>6946.3</v>
      </c>
      <c r="AJ41" s="143">
        <f>545.7+6113.8</f>
        <v>6659.5</v>
      </c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</row>
    <row r="42" spans="2:264">
      <c r="B42" s="175" t="s">
        <v>39</v>
      </c>
      <c r="C42" s="172">
        <v>145</v>
      </c>
      <c r="D42" s="28">
        <v>310</v>
      </c>
      <c r="E42" s="28">
        <v>52.2</v>
      </c>
      <c r="F42" s="28">
        <v>453.3</v>
      </c>
      <c r="G42" s="28">
        <v>498</v>
      </c>
      <c r="H42" s="112">
        <v>1763.2249999999999</v>
      </c>
      <c r="I42" s="153">
        <v>861.2</v>
      </c>
      <c r="J42" s="153">
        <v>1266.0999999999999</v>
      </c>
      <c r="K42" s="153">
        <v>979.18200000000002</v>
      </c>
      <c r="L42" s="153">
        <v>768.3</v>
      </c>
      <c r="M42" s="142"/>
      <c r="N42" s="142"/>
      <c r="O42" s="112">
        <v>1971</v>
      </c>
      <c r="P42" s="142">
        <v>-237</v>
      </c>
      <c r="Q42" s="112">
        <v>914</v>
      </c>
      <c r="R42" s="153">
        <v>627</v>
      </c>
      <c r="S42" s="184">
        <v>1299.4000000000001</v>
      </c>
      <c r="T42" s="112">
        <v>-218.1</v>
      </c>
      <c r="U42" s="32"/>
      <c r="V42" s="193" t="s">
        <v>187</v>
      </c>
      <c r="W42" s="190"/>
      <c r="X42" s="25"/>
      <c r="Y42" s="50"/>
      <c r="Z42" s="25"/>
      <c r="AA42" s="196"/>
      <c r="AB42" s="199"/>
      <c r="AC42" s="199"/>
      <c r="AD42" s="199"/>
      <c r="AE42" s="199">
        <v>97.498000000000005</v>
      </c>
      <c r="AF42" s="199">
        <v>61</v>
      </c>
      <c r="AG42" s="327">
        <v>42</v>
      </c>
      <c r="AH42" s="205">
        <v>33</v>
      </c>
      <c r="AI42" s="205">
        <v>38</v>
      </c>
      <c r="AJ42" s="143">
        <v>54.2</v>
      </c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</row>
    <row r="43" spans="2:264">
      <c r="B43" s="175" t="s">
        <v>40</v>
      </c>
      <c r="C43" s="172">
        <v>-120.7</v>
      </c>
      <c r="D43" s="28">
        <v>-170.5</v>
      </c>
      <c r="E43" s="28">
        <v>-8.6</v>
      </c>
      <c r="F43" s="28">
        <v>-173.5</v>
      </c>
      <c r="G43" s="28">
        <v>-252</v>
      </c>
      <c r="H43" s="112">
        <v>-717.51</v>
      </c>
      <c r="I43" s="153">
        <v>-1662.2070000000001</v>
      </c>
      <c r="J43" s="153">
        <v>-703.9</v>
      </c>
      <c r="K43" s="153">
        <v>-179.42</v>
      </c>
      <c r="L43" s="153">
        <v>-529.29999999999995</v>
      </c>
      <c r="M43" s="142"/>
      <c r="N43" s="142"/>
      <c r="O43" s="112">
        <v>-292</v>
      </c>
      <c r="P43" s="142">
        <v>269</v>
      </c>
      <c r="Q43" s="112">
        <v>-920</v>
      </c>
      <c r="R43" s="153">
        <v>-404</v>
      </c>
      <c r="S43" s="184">
        <v>-1600.5</v>
      </c>
      <c r="T43" s="112">
        <v>-508.2</v>
      </c>
      <c r="U43" s="32"/>
      <c r="V43" s="193" t="s">
        <v>69</v>
      </c>
      <c r="W43" s="190">
        <v>170</v>
      </c>
      <c r="X43" s="25">
        <v>164.8</v>
      </c>
      <c r="Y43" s="50">
        <v>152.69999999999999</v>
      </c>
      <c r="Z43" s="25">
        <v>169</v>
      </c>
      <c r="AA43" s="196">
        <v>28.562000000000001</v>
      </c>
      <c r="AB43" s="199">
        <v>35.799999999999997</v>
      </c>
      <c r="AC43" s="199">
        <v>45.3</v>
      </c>
      <c r="AD43" s="199">
        <v>44.8</v>
      </c>
      <c r="AE43" s="199">
        <v>56.9</v>
      </c>
      <c r="AF43" s="199">
        <v>53</v>
      </c>
      <c r="AG43" s="327">
        <v>73</v>
      </c>
      <c r="AH43" s="205">
        <v>66</v>
      </c>
      <c r="AI43" s="205">
        <v>83.9</v>
      </c>
      <c r="AJ43" s="143">
        <v>139.19999999999999</v>
      </c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</row>
    <row r="44" spans="2:264">
      <c r="B44" s="175" t="s">
        <v>41</v>
      </c>
      <c r="C44" s="172">
        <v>-91.7</v>
      </c>
      <c r="D44" s="28">
        <v>-104.2</v>
      </c>
      <c r="E44" s="28">
        <v>-66.2</v>
      </c>
      <c r="F44" s="28">
        <v>-286.3</v>
      </c>
      <c r="G44" s="28">
        <v>-167</v>
      </c>
      <c r="H44" s="112">
        <v>-32.94</v>
      </c>
      <c r="I44" s="153">
        <v>311.423</v>
      </c>
      <c r="J44" s="153">
        <v>-789.6</v>
      </c>
      <c r="K44" s="153">
        <v>-242.98400000000001</v>
      </c>
      <c r="L44" s="153">
        <v>-510.4</v>
      </c>
      <c r="M44" s="142"/>
      <c r="N44" s="142"/>
      <c r="O44" s="112">
        <v>-747</v>
      </c>
      <c r="P44" s="142">
        <v>-68</v>
      </c>
      <c r="Q44" s="112">
        <v>-269</v>
      </c>
      <c r="R44" s="153">
        <v>-153</v>
      </c>
      <c r="S44" s="184">
        <v>83.6</v>
      </c>
      <c r="T44" s="112">
        <v>301.39999999999998</v>
      </c>
      <c r="U44" s="32"/>
      <c r="V44" s="193" t="s">
        <v>34</v>
      </c>
      <c r="W44" s="190">
        <v>974</v>
      </c>
      <c r="X44" s="25">
        <v>698</v>
      </c>
      <c r="Y44" s="50">
        <v>547.6</v>
      </c>
      <c r="Z44" s="25">
        <v>783</v>
      </c>
      <c r="AA44" s="196">
        <v>528.41399999999999</v>
      </c>
      <c r="AB44" s="199">
        <v>2335.1999999999998</v>
      </c>
      <c r="AC44" s="199">
        <v>2695.8</v>
      </c>
      <c r="AD44" s="199">
        <v>3077.8</v>
      </c>
      <c r="AE44" s="199">
        <v>3189.8</v>
      </c>
      <c r="AF44" s="199">
        <v>2518</v>
      </c>
      <c r="AG44" s="327">
        <v>3085</v>
      </c>
      <c r="AH44" s="205">
        <v>4071</v>
      </c>
      <c r="AI44" s="205">
        <v>4544</v>
      </c>
      <c r="AJ44" s="143">
        <v>5066.3999999999996</v>
      </c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</row>
    <row r="45" spans="2:264">
      <c r="B45" s="175" t="s">
        <v>42</v>
      </c>
      <c r="C45" s="172">
        <f>SUM(C42:C44)</f>
        <v>-67.400000000000006</v>
      </c>
      <c r="D45" s="28">
        <f>SUM(D42:D44)+2.9</f>
        <v>38.199999999999996</v>
      </c>
      <c r="E45" s="28">
        <f>SUM(E42:E44)</f>
        <v>-22.6</v>
      </c>
      <c r="F45" s="28">
        <f>SUM(F42:F44)</f>
        <v>-6.5</v>
      </c>
      <c r="G45" s="28">
        <f>SUM(G42:G44)</f>
        <v>79</v>
      </c>
      <c r="H45" s="112">
        <f>SUM(H42:H44)-36</f>
        <v>976.77499999999986</v>
      </c>
      <c r="I45" s="153">
        <f>SUM(I42:I44)-9.296+0.268</f>
        <v>-498.61200000000008</v>
      </c>
      <c r="J45" s="153">
        <f>+J42+J43+J44+5.882+0.884</f>
        <v>-220.6340000000001</v>
      </c>
      <c r="K45" s="153">
        <f>+K42+K43+K44+6</f>
        <v>562.77800000000002</v>
      </c>
      <c r="L45" s="153">
        <f>+L42+L43+L44+61.9</f>
        <v>-209.49999999999997</v>
      </c>
      <c r="M45" s="142"/>
      <c r="N45" s="142"/>
      <c r="O45" s="112">
        <v>931</v>
      </c>
      <c r="P45" s="142">
        <v>-36</v>
      </c>
      <c r="Q45" s="112">
        <v>-275</v>
      </c>
      <c r="R45" s="153">
        <f>SUM(R42:R44)</f>
        <v>70</v>
      </c>
      <c r="S45" s="184">
        <f>SUM(S42:S44)</f>
        <v>-217.49999999999991</v>
      </c>
      <c r="T45" s="163">
        <f>SUM(T42:T44)</f>
        <v>-424.9</v>
      </c>
      <c r="U45" s="32"/>
      <c r="V45" s="193" t="s">
        <v>82</v>
      </c>
      <c r="W45" s="290">
        <v>0</v>
      </c>
      <c r="X45" s="39">
        <v>0</v>
      </c>
      <c r="Y45" s="39">
        <v>0</v>
      </c>
      <c r="Z45" s="39">
        <v>0</v>
      </c>
      <c r="AA45" s="265">
        <v>252.97800000000001</v>
      </c>
      <c r="AB45" s="199">
        <v>321.5</v>
      </c>
      <c r="AC45" s="199">
        <v>418.8</v>
      </c>
      <c r="AD45" s="199">
        <v>428.1</v>
      </c>
      <c r="AE45" s="199">
        <v>437.947</v>
      </c>
      <c r="AF45" s="199">
        <v>311</v>
      </c>
      <c r="AG45" s="327">
        <v>324</v>
      </c>
      <c r="AH45" s="205">
        <v>404</v>
      </c>
      <c r="AI45" s="205">
        <v>633.29999999999995</v>
      </c>
      <c r="AJ45" s="143">
        <v>644.29999999999995</v>
      </c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</row>
    <row r="46" spans="2:264" ht="14.4" thickBot="1">
      <c r="B46" s="176" t="s">
        <v>43</v>
      </c>
      <c r="C46" s="173">
        <f t="shared" ref="C46:N46" si="28">C41+C45</f>
        <v>102.5</v>
      </c>
      <c r="D46" s="113">
        <f t="shared" si="28"/>
        <v>140.79999999999998</v>
      </c>
      <c r="E46" s="113">
        <f t="shared" si="28"/>
        <v>118.30000000000001</v>
      </c>
      <c r="F46" s="113">
        <f t="shared" si="28"/>
        <v>111.8</v>
      </c>
      <c r="G46" s="113">
        <f t="shared" si="28"/>
        <v>191</v>
      </c>
      <c r="H46" s="114">
        <f t="shared" si="28"/>
        <v>1171.165</v>
      </c>
      <c r="I46" s="154">
        <f t="shared" si="28"/>
        <v>672.38799999999992</v>
      </c>
      <c r="J46" s="154">
        <f t="shared" si="28"/>
        <v>451.75399999999979</v>
      </c>
      <c r="K46" s="154">
        <f>K41+K45</f>
        <v>1014.5319999999998</v>
      </c>
      <c r="L46" s="173">
        <f t="shared" si="28"/>
        <v>805.03199999999981</v>
      </c>
      <c r="M46" s="113">
        <f t="shared" si="28"/>
        <v>0</v>
      </c>
      <c r="N46" s="113">
        <f t="shared" si="28"/>
        <v>0</v>
      </c>
      <c r="O46" s="114">
        <v>1972</v>
      </c>
      <c r="P46" s="150">
        <f>P41+P45+5</f>
        <v>890</v>
      </c>
      <c r="Q46" s="114">
        <v>1691</v>
      </c>
      <c r="R46" s="154">
        <v>1753.6</v>
      </c>
      <c r="S46" s="185">
        <f>S41+S45</f>
        <v>1536.1</v>
      </c>
      <c r="T46" s="114">
        <f>T41+T45</f>
        <v>1111.1999999999998</v>
      </c>
      <c r="U46" s="32"/>
      <c r="V46" s="193" t="s">
        <v>102</v>
      </c>
      <c r="W46" s="290">
        <v>0</v>
      </c>
      <c r="X46" s="39">
        <v>0</v>
      </c>
      <c r="Y46" s="39">
        <v>0</v>
      </c>
      <c r="Z46" s="39">
        <v>0</v>
      </c>
      <c r="AA46" s="265">
        <v>127.756</v>
      </c>
      <c r="AB46" s="199">
        <v>165.7</v>
      </c>
      <c r="AC46" s="199">
        <v>119.5</v>
      </c>
      <c r="AD46" s="199">
        <v>153.9</v>
      </c>
      <c r="AE46" s="199">
        <v>171.3</v>
      </c>
      <c r="AF46" s="199">
        <v>258</v>
      </c>
      <c r="AG46" s="327">
        <v>150</v>
      </c>
      <c r="AH46" s="205">
        <v>59</v>
      </c>
      <c r="AI46" s="205">
        <v>60.2</v>
      </c>
      <c r="AJ46" s="143">
        <v>109.5</v>
      </c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</row>
    <row r="47" spans="2:264" ht="15" thickBot="1">
      <c r="F47" s="33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 s="32"/>
      <c r="V47" s="322" t="s">
        <v>103</v>
      </c>
      <c r="W47" s="317">
        <f>W29-W40</f>
        <v>484</v>
      </c>
      <c r="X47" s="61">
        <f>X29-X40</f>
        <v>709.29999999999927</v>
      </c>
      <c r="Y47" s="128">
        <f>Y29-Y40</f>
        <v>1029.2000000000003</v>
      </c>
      <c r="Z47" s="61">
        <f>Z29-Z40</f>
        <v>927</v>
      </c>
      <c r="AA47" s="149">
        <f>SUM(AA48:AA53)+AA8</f>
        <v>489.274</v>
      </c>
      <c r="AB47" s="149">
        <f t="shared" ref="AB47:AJ47" si="29">SUM(AB48:AB53)+AB8</f>
        <v>547.1</v>
      </c>
      <c r="AC47" s="149">
        <f t="shared" si="29"/>
        <v>579.1</v>
      </c>
      <c r="AD47" s="149">
        <f t="shared" si="29"/>
        <v>507.4</v>
      </c>
      <c r="AE47" s="149">
        <f t="shared" si="29"/>
        <v>559.46900000000005</v>
      </c>
      <c r="AF47" s="149">
        <f t="shared" si="29"/>
        <v>388.1</v>
      </c>
      <c r="AG47" s="149">
        <f t="shared" si="29"/>
        <v>432</v>
      </c>
      <c r="AH47" s="149">
        <f t="shared" si="29"/>
        <v>530.1</v>
      </c>
      <c r="AI47" s="149">
        <f t="shared" si="29"/>
        <v>1704.8000000000002</v>
      </c>
      <c r="AJ47" s="149">
        <f t="shared" si="29"/>
        <v>2177.1</v>
      </c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</row>
    <row r="48" spans="2:264" ht="14.4" thickBot="1">
      <c r="B48" s="215" t="s">
        <v>44</v>
      </c>
      <c r="C48" s="216" t="str">
        <f>+C40</f>
        <v>FY12</v>
      </c>
      <c r="D48" s="217" t="str">
        <f>+D40</f>
        <v>FY13</v>
      </c>
      <c r="E48" s="217" t="str">
        <f>+E40</f>
        <v>FY14</v>
      </c>
      <c r="F48" s="217" t="str">
        <f>+F40</f>
        <v>FY15</v>
      </c>
      <c r="G48" s="218" t="s">
        <v>77</v>
      </c>
      <c r="H48" s="170" t="s">
        <v>80</v>
      </c>
      <c r="I48" s="156" t="s">
        <v>83</v>
      </c>
      <c r="J48" s="156" t="s">
        <v>110</v>
      </c>
      <c r="K48" s="156" t="s">
        <v>189</v>
      </c>
      <c r="L48" s="168" t="s">
        <v>206</v>
      </c>
      <c r="M48" s="169"/>
      <c r="N48" s="169"/>
      <c r="O48" s="170" t="s">
        <v>223</v>
      </c>
      <c r="P48" s="168" t="s">
        <v>223</v>
      </c>
      <c r="Q48" s="170" t="s">
        <v>225</v>
      </c>
      <c r="R48" s="156" t="str">
        <f>R40</f>
        <v>FY-23</v>
      </c>
      <c r="S48" s="156" t="s">
        <v>228</v>
      </c>
      <c r="T48" s="156" t="s">
        <v>230</v>
      </c>
      <c r="U48" s="32"/>
      <c r="V48" s="193" t="s">
        <v>82</v>
      </c>
      <c r="W48" s="290">
        <v>0</v>
      </c>
      <c r="X48" s="39">
        <v>0</v>
      </c>
      <c r="Y48" s="39">
        <v>0</v>
      </c>
      <c r="Z48" s="39">
        <v>0</v>
      </c>
      <c r="AA48" s="265">
        <v>81.744</v>
      </c>
      <c r="AB48" s="199">
        <v>85.7</v>
      </c>
      <c r="AC48" s="199">
        <v>88.6</v>
      </c>
      <c r="AD48" s="199">
        <v>81.099999999999994</v>
      </c>
      <c r="AE48" s="199">
        <v>80.8</v>
      </c>
      <c r="AF48" s="199">
        <v>85</v>
      </c>
      <c r="AG48" s="327">
        <v>89</v>
      </c>
      <c r="AH48" s="205">
        <v>87</v>
      </c>
      <c r="AI48" s="205">
        <v>145.69999999999999</v>
      </c>
      <c r="AJ48" s="143">
        <v>135.1</v>
      </c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</row>
    <row r="49" spans="2:264">
      <c r="B49" s="206" t="s">
        <v>47</v>
      </c>
      <c r="C49" s="207" t="e">
        <f>SUM(#REF!)</f>
        <v>#REF!</v>
      </c>
      <c r="D49" s="208" t="e">
        <f>SUM(#REF!)</f>
        <v>#REF!</v>
      </c>
      <c r="E49" s="208" t="e">
        <f>SUM(#REF!)</f>
        <v>#REF!</v>
      </c>
      <c r="F49" s="208" t="e">
        <f>SUM(#REF!)</f>
        <v>#REF!</v>
      </c>
      <c r="G49" s="208">
        <v>127.71203500000109</v>
      </c>
      <c r="H49" s="209">
        <v>334.924000000001</v>
      </c>
      <c r="I49" s="210">
        <v>861.42100000000005</v>
      </c>
      <c r="J49" s="210">
        <v>1266.1139999999984</v>
      </c>
      <c r="K49" s="211">
        <v>979.30000000000086</v>
      </c>
      <c r="L49" s="207">
        <v>768.30000000000007</v>
      </c>
      <c r="M49" s="212"/>
      <c r="N49" s="165"/>
      <c r="O49" s="213">
        <v>1971</v>
      </c>
      <c r="P49" s="171">
        <v>1971</v>
      </c>
      <c r="Q49" s="213">
        <v>914</v>
      </c>
      <c r="R49" s="214">
        <f>R42</f>
        <v>627</v>
      </c>
      <c r="S49" s="214">
        <f>S42</f>
        <v>1299.4000000000001</v>
      </c>
      <c r="T49" s="214">
        <f>T42</f>
        <v>-218.1</v>
      </c>
      <c r="U49" s="32"/>
      <c r="V49" s="193" t="s">
        <v>187</v>
      </c>
      <c r="W49" s="290"/>
      <c r="X49" s="39"/>
      <c r="Y49" s="39"/>
      <c r="Z49" s="39"/>
      <c r="AA49" s="265"/>
      <c r="AB49" s="199"/>
      <c r="AC49" s="199"/>
      <c r="AD49" s="199"/>
      <c r="AE49" s="199">
        <v>105.735</v>
      </c>
      <c r="AF49" s="199">
        <v>48</v>
      </c>
      <c r="AG49" s="327">
        <v>29</v>
      </c>
      <c r="AH49" s="205">
        <v>34</v>
      </c>
      <c r="AI49" s="205">
        <v>110.4</v>
      </c>
      <c r="AJ49" s="143">
        <v>157.1</v>
      </c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</row>
    <row r="50" spans="2:264">
      <c r="B50" s="193" t="s">
        <v>49</v>
      </c>
      <c r="C50" s="190"/>
      <c r="D50" s="25" t="e">
        <f>-((W15+W17)-(V15+V17))</f>
        <v>#VALUE!</v>
      </c>
      <c r="E50" s="25">
        <f>-((X15+X17)-(W15+W17))</f>
        <v>-130</v>
      </c>
      <c r="F50" s="25">
        <f>-((Y15+Y17)-(X15+X17))</f>
        <v>80</v>
      </c>
      <c r="G50" s="25">
        <f>-((Z15+Z17)-(Y15+Y17))</f>
        <v>-41</v>
      </c>
      <c r="H50" s="196">
        <f>-((AA15+AA17)-(Z15+Z17))</f>
        <v>48.16800000000012</v>
      </c>
      <c r="I50" s="199">
        <f>-0.601-586.757</f>
        <v>-587.35799999999995</v>
      </c>
      <c r="J50" s="199">
        <f>-306.86+1.989</f>
        <v>-304.87100000000004</v>
      </c>
      <c r="K50" s="199">
        <f>-320.468+3.572</f>
        <v>-316.89600000000002</v>
      </c>
      <c r="L50" s="172">
        <f>-75.8</f>
        <v>-75.8</v>
      </c>
      <c r="M50" s="28"/>
      <c r="N50" s="28"/>
      <c r="O50" s="143">
        <v>-299</v>
      </c>
      <c r="P50" s="202">
        <v>-299</v>
      </c>
      <c r="Q50" s="143">
        <v>-500</v>
      </c>
      <c r="R50" s="205">
        <v>-595.1</v>
      </c>
      <c r="S50" s="205">
        <v>-1199.3</v>
      </c>
      <c r="T50" s="205">
        <v>-1274.8</v>
      </c>
      <c r="U50" s="32"/>
      <c r="V50" s="193" t="s">
        <v>104</v>
      </c>
      <c r="W50" s="190">
        <v>48.7</v>
      </c>
      <c r="X50" s="25">
        <v>54.6</v>
      </c>
      <c r="Y50" s="50">
        <v>60.7</v>
      </c>
      <c r="Z50" s="25">
        <v>117</v>
      </c>
      <c r="AA50" s="196">
        <v>76.849999999999994</v>
      </c>
      <c r="AB50" s="199">
        <v>99.9</v>
      </c>
      <c r="AC50" s="199">
        <v>113</v>
      </c>
      <c r="AD50" s="199">
        <v>133.19999999999999</v>
      </c>
      <c r="AE50" s="199">
        <v>156.69999999999999</v>
      </c>
      <c r="AF50" s="199">
        <v>171</v>
      </c>
      <c r="AG50" s="199">
        <v>190</v>
      </c>
      <c r="AH50" s="153">
        <v>239</v>
      </c>
      <c r="AI50" s="153">
        <v>261.3</v>
      </c>
      <c r="AJ50" s="112">
        <v>262.39999999999998</v>
      </c>
    </row>
    <row r="51" spans="2:264" ht="14.4" thickBot="1">
      <c r="B51" s="194" t="s">
        <v>51</v>
      </c>
      <c r="C51" s="192" t="e">
        <f t="shared" ref="C51:H51" si="30">SUM(C49:C50)</f>
        <v>#REF!</v>
      </c>
      <c r="D51" s="144" t="e">
        <f t="shared" si="30"/>
        <v>#REF!</v>
      </c>
      <c r="E51" s="144" t="e">
        <f t="shared" si="30"/>
        <v>#REF!</v>
      </c>
      <c r="F51" s="144" t="e">
        <f t="shared" si="30"/>
        <v>#REF!</v>
      </c>
      <c r="G51" s="144">
        <f t="shared" si="30"/>
        <v>86.712035000001094</v>
      </c>
      <c r="H51" s="197">
        <f t="shared" si="30"/>
        <v>383.09200000000112</v>
      </c>
      <c r="I51" s="200">
        <f t="shared" ref="I51:Q51" si="31">SUM(I49:I50)</f>
        <v>274.0630000000001</v>
      </c>
      <c r="J51" s="200">
        <f t="shared" si="31"/>
        <v>961.24299999999835</v>
      </c>
      <c r="K51" s="151">
        <f t="shared" si="31"/>
        <v>662.40400000000091</v>
      </c>
      <c r="L51" s="192">
        <f t="shared" si="31"/>
        <v>692.50000000000011</v>
      </c>
      <c r="M51" s="145">
        <f t="shared" si="31"/>
        <v>0</v>
      </c>
      <c r="N51" s="144">
        <f t="shared" si="31"/>
        <v>0</v>
      </c>
      <c r="O51" s="203">
        <f t="shared" si="31"/>
        <v>1672</v>
      </c>
      <c r="P51" s="201">
        <f t="shared" si="31"/>
        <v>1672</v>
      </c>
      <c r="Q51" s="203">
        <f t="shared" si="31"/>
        <v>414</v>
      </c>
      <c r="R51" s="151">
        <f>R49+R50</f>
        <v>31.899999999999977</v>
      </c>
      <c r="S51" s="151">
        <f>S49+S50</f>
        <v>100.10000000000014</v>
      </c>
      <c r="T51" s="151">
        <f>T49+T50</f>
        <v>-1492.8999999999999</v>
      </c>
      <c r="U51" s="32"/>
      <c r="V51" s="319" t="s">
        <v>105</v>
      </c>
      <c r="W51" s="237">
        <v>42.8</v>
      </c>
      <c r="X51" s="7">
        <v>75.099999999999994</v>
      </c>
      <c r="Y51" s="39">
        <v>67.7</v>
      </c>
      <c r="Z51" s="7">
        <v>46.7</v>
      </c>
      <c r="AA51" s="196">
        <v>43.74</v>
      </c>
      <c r="AB51" s="199">
        <v>41.4</v>
      </c>
      <c r="AC51" s="199">
        <v>20.3</v>
      </c>
      <c r="AD51" s="199">
        <v>11</v>
      </c>
      <c r="AE51" s="199">
        <v>4.6070000000000002</v>
      </c>
      <c r="AF51" s="199" t="s">
        <v>70</v>
      </c>
      <c r="AG51" s="199">
        <v>2</v>
      </c>
      <c r="AH51" s="153">
        <v>8</v>
      </c>
      <c r="AI51" s="153">
        <v>93.1</v>
      </c>
      <c r="AJ51" s="112">
        <v>92.9</v>
      </c>
    </row>
    <row r="52" spans="2:264" ht="15" thickBot="1"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V52" s="193" t="s">
        <v>79</v>
      </c>
      <c r="W52" s="190">
        <v>69</v>
      </c>
      <c r="X52" s="25">
        <v>72</v>
      </c>
      <c r="Y52" s="50">
        <v>81</v>
      </c>
      <c r="Z52" s="25">
        <v>109.6</v>
      </c>
      <c r="AA52" s="196">
        <v>7.5629999999999997</v>
      </c>
      <c r="AB52" s="199">
        <v>5.8</v>
      </c>
      <c r="AC52" s="199">
        <v>5.8</v>
      </c>
      <c r="AD52" s="199">
        <v>5.8</v>
      </c>
      <c r="AE52" s="199">
        <v>5.0999999999999996</v>
      </c>
      <c r="AF52" s="199">
        <v>5.0999999999999996</v>
      </c>
      <c r="AG52" s="199">
        <v>5</v>
      </c>
      <c r="AH52" s="153">
        <v>5.0999999999999996</v>
      </c>
      <c r="AI52" s="153">
        <v>3.8</v>
      </c>
      <c r="AJ52" s="112">
        <v>3.8</v>
      </c>
    </row>
    <row r="53" spans="2:264">
      <c r="B53" s="224" t="s">
        <v>53</v>
      </c>
      <c r="C53" s="219">
        <v>14.56</v>
      </c>
      <c r="D53" s="121">
        <v>14.5</v>
      </c>
      <c r="E53" s="121">
        <v>14.5</v>
      </c>
      <c r="F53" s="121">
        <v>14.5</v>
      </c>
      <c r="G53" s="122">
        <v>14.56</v>
      </c>
      <c r="H53" s="227">
        <v>14.56</v>
      </c>
      <c r="I53" s="152">
        <v>14.56</v>
      </c>
      <c r="J53" s="152">
        <v>14.56</v>
      </c>
      <c r="K53" s="152">
        <v>14.6</v>
      </c>
      <c r="L53" s="226"/>
      <c r="M53" s="132"/>
      <c r="N53" s="132"/>
      <c r="O53" s="227">
        <v>14.6</v>
      </c>
      <c r="P53" s="226">
        <v>15.6</v>
      </c>
      <c r="Q53" s="227">
        <v>14.7</v>
      </c>
      <c r="R53" s="152">
        <v>146.66669999999999</v>
      </c>
      <c r="S53" s="152">
        <v>146.66669999999999</v>
      </c>
      <c r="T53" s="386">
        <f>146666590/10^6</f>
        <v>146.66659000000001</v>
      </c>
      <c r="V53" s="251" t="s">
        <v>102</v>
      </c>
      <c r="W53" s="290">
        <v>0</v>
      </c>
      <c r="X53" s="39">
        <v>0</v>
      </c>
      <c r="Y53" s="39">
        <v>0</v>
      </c>
      <c r="Z53" s="39">
        <v>0</v>
      </c>
      <c r="AA53" s="265">
        <v>51.593000000000004</v>
      </c>
      <c r="AB53" s="199">
        <v>17.399999999999999</v>
      </c>
      <c r="AC53" s="199">
        <v>17.399999999999999</v>
      </c>
      <c r="AD53" s="199">
        <v>15.3</v>
      </c>
      <c r="AE53" s="199">
        <v>19</v>
      </c>
      <c r="AF53" s="199" t="s">
        <v>70</v>
      </c>
      <c r="AG53" s="199" t="s">
        <v>70</v>
      </c>
      <c r="AH53" s="153">
        <v>0</v>
      </c>
      <c r="AI53" s="153">
        <v>0</v>
      </c>
      <c r="AJ53" s="112">
        <v>0</v>
      </c>
    </row>
    <row r="54" spans="2:264">
      <c r="B54" s="193" t="s">
        <v>231</v>
      </c>
      <c r="C54" s="220" t="e">
        <f>C53*V61</f>
        <v>#VALUE!</v>
      </c>
      <c r="D54" s="59">
        <f>D53*W61</f>
        <v>1986.5</v>
      </c>
      <c r="E54" s="59">
        <f>E53*X61</f>
        <v>1290.5</v>
      </c>
      <c r="F54" s="59">
        <f>F53*Y61</f>
        <v>2972.5</v>
      </c>
      <c r="G54" s="59">
        <f>G53*AA61</f>
        <v>449.904</v>
      </c>
      <c r="H54" s="196">
        <f>H53*AB61</f>
        <v>566.02</v>
      </c>
      <c r="I54" s="199">
        <f>I53*AC61</f>
        <v>724.57839999999999</v>
      </c>
      <c r="J54" s="199">
        <v>800</v>
      </c>
      <c r="K54" s="199">
        <f>K53*AE61</f>
        <v>879.50399999999991</v>
      </c>
      <c r="L54" s="190">
        <f>L53*AE61</f>
        <v>0</v>
      </c>
      <c r="M54" s="25">
        <f>M53*AF61</f>
        <v>0</v>
      </c>
      <c r="N54" s="25">
        <f>N53*AG61</f>
        <v>0</v>
      </c>
      <c r="O54" s="196">
        <f>O53*AF61</f>
        <v>1907.49</v>
      </c>
      <c r="P54" s="190">
        <f>P53*AG61</f>
        <v>2563.8599999999997</v>
      </c>
      <c r="Q54" s="196">
        <f>Q53*AG61</f>
        <v>2415.9449999999997</v>
      </c>
      <c r="R54" s="153">
        <f>R53*AH61</f>
        <v>50048.544708000001</v>
      </c>
      <c r="S54" s="153">
        <f>S53*AI61</f>
        <v>74389.35024</v>
      </c>
      <c r="T54" s="153">
        <f>T53*AJ61</f>
        <v>96381.949618500003</v>
      </c>
      <c r="V54" s="248" t="s">
        <v>19</v>
      </c>
      <c r="W54" s="313">
        <f>SUM(W15:W24)+W47-W51-W50-W52</f>
        <v>2004.5</v>
      </c>
      <c r="X54" s="16">
        <f>SUM(X15:X24)+X47-X51-X50-X52</f>
        <v>2286.1999999999994</v>
      </c>
      <c r="Y54" s="40">
        <f>SUM(Y15:Y24)+Y47-Y51-Y50-Y52</f>
        <v>2491.2000000000007</v>
      </c>
      <c r="Z54" s="16">
        <f>SUM(Z15:Z24)+Z47-Z51-Z50-Z52</f>
        <v>2414.5000000000005</v>
      </c>
      <c r="AA54" s="137">
        <f>SUM(AA15:AA24)+AA47-AA51-AA50-AA52</f>
        <v>2482.5570000000002</v>
      </c>
      <c r="AB54" s="324">
        <f>(AB15+AB29)-(AB40+AB47)</f>
        <v>1143.9999999999991</v>
      </c>
      <c r="AC54" s="324">
        <f>SUM(AC16:AC28)+(AC29-AC40)-AC47</f>
        <v>2029.5000000000005</v>
      </c>
      <c r="AD54" s="324">
        <f>SUM(AD16:AD28)+(AD29-AD40)-AD47</f>
        <v>2622.2000000000012</v>
      </c>
      <c r="AE54" s="324">
        <f>SUM(AE16:AE28)+(AE29-AE40)-AE47</f>
        <v>3650.9040000000041</v>
      </c>
      <c r="AF54" s="324">
        <v>5463</v>
      </c>
      <c r="AG54" s="324">
        <f>SUM(AG16:AG28)+(AG29-AG40)-AG47</f>
        <v>6548</v>
      </c>
      <c r="AH54" s="332">
        <f>AH47+AH8+AH7+AH11</f>
        <v>9045.4</v>
      </c>
      <c r="AI54" s="332">
        <f>AI47+AI8+AI7+AI11</f>
        <v>12993.099999999999</v>
      </c>
      <c r="AJ54" s="137">
        <f>AJ47+AJ8+AJ7+AJ11</f>
        <v>14678.8</v>
      </c>
    </row>
    <row r="55" spans="2:264">
      <c r="B55" s="193" t="s">
        <v>54</v>
      </c>
      <c r="C55" s="221" t="str">
        <f>V10</f>
        <v>Total Debt</v>
      </c>
      <c r="D55" s="46">
        <f>W10</f>
        <v>560.5</v>
      </c>
      <c r="E55" s="46">
        <f>X10</f>
        <v>703.4</v>
      </c>
      <c r="F55" s="46">
        <f>Y10</f>
        <v>890.4</v>
      </c>
      <c r="G55" s="46">
        <f>AA10</f>
        <v>861.34100000000001</v>
      </c>
      <c r="H55" s="196">
        <f>AB10</f>
        <v>980.5</v>
      </c>
      <c r="I55" s="199">
        <f>AC10</f>
        <v>1459.4</v>
      </c>
      <c r="J55" s="199">
        <f>AD10</f>
        <v>928.3</v>
      </c>
      <c r="K55" s="199">
        <f>AE10</f>
        <v>910.02700000000004</v>
      </c>
      <c r="L55" s="190"/>
      <c r="M55" s="25"/>
      <c r="N55" s="25"/>
      <c r="O55" s="196">
        <f>AF10</f>
        <v>513</v>
      </c>
      <c r="P55" s="190">
        <v>406</v>
      </c>
      <c r="Q55" s="196">
        <f>AG10</f>
        <v>481</v>
      </c>
      <c r="R55" s="153">
        <f>AH10</f>
        <v>525</v>
      </c>
      <c r="S55" s="153">
        <f>AI10</f>
        <v>1375.8</v>
      </c>
      <c r="T55" s="153">
        <f>AJ10</f>
        <v>1945.3</v>
      </c>
      <c r="V55" s="249" t="s">
        <v>179</v>
      </c>
      <c r="W55" s="232"/>
      <c r="X55" s="5"/>
      <c r="Y55" s="5"/>
      <c r="Z55" s="5"/>
      <c r="AA55" s="135">
        <f t="shared" ref="AA55:AG55" si="32">AA29+SUM(AA16:AA28)</f>
        <v>6804.0439999999999</v>
      </c>
      <c r="AB55" s="272">
        <f t="shared" si="32"/>
        <v>9707.4</v>
      </c>
      <c r="AC55" s="272">
        <f t="shared" si="32"/>
        <v>10652.300000000001</v>
      </c>
      <c r="AD55" s="272">
        <f t="shared" si="32"/>
        <v>11652.5</v>
      </c>
      <c r="AE55" s="272">
        <f t="shared" si="32"/>
        <v>13821.918000000001</v>
      </c>
      <c r="AF55" s="272">
        <f>AF29+SUM(AF16:AF28)</f>
        <v>14433.400000000001</v>
      </c>
      <c r="AG55" s="272">
        <f t="shared" si="32"/>
        <v>16252</v>
      </c>
      <c r="AH55" s="272">
        <f>AH29+SUM(AH16:AH28)</f>
        <v>19401.5</v>
      </c>
      <c r="AI55" s="325">
        <f>AI29+SUM(AI16:AI28)</f>
        <v>24493.9</v>
      </c>
      <c r="AJ55" s="149">
        <f>AJ29+SUM(AJ16:AJ28)</f>
        <v>26245.599999999999</v>
      </c>
    </row>
    <row r="56" spans="2:264" ht="14.4" thickBot="1">
      <c r="B56" s="193" t="s">
        <v>55</v>
      </c>
      <c r="C56" s="222" t="str">
        <f>V34</f>
        <v>-Cash &amp; Bank Balances</v>
      </c>
      <c r="D56" s="56">
        <f>W34</f>
        <v>188</v>
      </c>
      <c r="E56" s="56">
        <f>X34</f>
        <v>260</v>
      </c>
      <c r="F56" s="56">
        <f>Y34</f>
        <v>237.9</v>
      </c>
      <c r="G56" s="56">
        <f>AA34+AA35</f>
        <v>340.82299999999998</v>
      </c>
      <c r="H56" s="196">
        <f t="shared" ref="H56:P56" si="33">AB34+AB35</f>
        <v>1676.8</v>
      </c>
      <c r="I56" s="199">
        <f t="shared" si="33"/>
        <v>2631.8</v>
      </c>
      <c r="J56" s="199">
        <f t="shared" si="33"/>
        <v>2904.1</v>
      </c>
      <c r="K56" s="199">
        <f t="shared" si="33"/>
        <v>3730.9</v>
      </c>
      <c r="L56" s="190">
        <f t="shared" si="33"/>
        <v>5054</v>
      </c>
      <c r="M56" s="25">
        <f t="shared" si="33"/>
        <v>5359</v>
      </c>
      <c r="N56" s="25">
        <f t="shared" si="33"/>
        <v>5479.7</v>
      </c>
      <c r="O56" s="196">
        <f>AF34+AF35</f>
        <v>5054</v>
      </c>
      <c r="P56" s="190">
        <f t="shared" si="33"/>
        <v>4901.6000000000004</v>
      </c>
      <c r="Q56" s="196">
        <f>AG34+AG35</f>
        <v>5359</v>
      </c>
      <c r="R56" s="153">
        <f>AH34+AH35</f>
        <v>5479.7</v>
      </c>
      <c r="S56" s="153">
        <f>AI34+AI35</f>
        <v>5879</v>
      </c>
      <c r="T56" s="153">
        <f>AJ34+AJ35</f>
        <v>4901.6000000000004</v>
      </c>
      <c r="V56" s="343" t="s">
        <v>180</v>
      </c>
      <c r="W56" s="344"/>
      <c r="X56" s="345"/>
      <c r="Y56" s="345"/>
      <c r="Z56" s="345"/>
      <c r="AA56" s="346">
        <f>AA47+AA40+AA7+AA11</f>
        <v>6803.7170000000006</v>
      </c>
      <c r="AB56" s="346">
        <f>AB47+AB40+AB7+AB11-1</f>
        <v>9706.8000000000011</v>
      </c>
      <c r="AC56" s="346">
        <f t="shared" ref="AC56:AJ56" si="34">AC47+AC40+AC7+AC11</f>
        <v>10651.900000000001</v>
      </c>
      <c r="AD56" s="346">
        <f t="shared" si="34"/>
        <v>11652.499999999998</v>
      </c>
      <c r="AE56" s="346">
        <f t="shared" si="34"/>
        <v>13821.913999999999</v>
      </c>
      <c r="AF56" s="346">
        <f t="shared" si="34"/>
        <v>14433.2</v>
      </c>
      <c r="AG56" s="346">
        <f t="shared" si="34"/>
        <v>16252</v>
      </c>
      <c r="AH56" s="346">
        <f t="shared" si="34"/>
        <v>19402.400000000001</v>
      </c>
      <c r="AI56" s="346">
        <f t="shared" si="34"/>
        <v>24493.599999999999</v>
      </c>
      <c r="AJ56" s="346">
        <f t="shared" si="34"/>
        <v>26245.599999999999</v>
      </c>
    </row>
    <row r="57" spans="2:264" s="36" customFormat="1" ht="14.4" thickBot="1">
      <c r="B57" s="225" t="s">
        <v>21</v>
      </c>
      <c r="C57" s="223" t="e">
        <f t="shared" ref="C57:K57" si="35">C54+C55-C56</f>
        <v>#VALUE!</v>
      </c>
      <c r="D57" s="126">
        <f t="shared" si="35"/>
        <v>2359</v>
      </c>
      <c r="E57" s="126">
        <f t="shared" si="35"/>
        <v>1733.9</v>
      </c>
      <c r="F57" s="126">
        <f t="shared" si="35"/>
        <v>3625</v>
      </c>
      <c r="G57" s="126">
        <f t="shared" si="35"/>
        <v>970.42199999999991</v>
      </c>
      <c r="H57" s="228">
        <f t="shared" si="35"/>
        <v>-130.27999999999997</v>
      </c>
      <c r="I57" s="229">
        <f t="shared" si="35"/>
        <v>-447.82160000000022</v>
      </c>
      <c r="J57" s="229">
        <f t="shared" si="35"/>
        <v>-1175.8</v>
      </c>
      <c r="K57" s="229">
        <f t="shared" si="35"/>
        <v>-1941.3690000000001</v>
      </c>
      <c r="L57" s="223"/>
      <c r="M57" s="113"/>
      <c r="N57" s="113"/>
      <c r="O57" s="114">
        <f t="shared" ref="O57" si="36">O54+O55-O56</f>
        <v>-2633.51</v>
      </c>
      <c r="P57" s="173">
        <v>18560</v>
      </c>
      <c r="Q57" s="114">
        <f>Q54+Q55-Q56</f>
        <v>-2462.0550000000003</v>
      </c>
      <c r="R57" s="154">
        <f>R54+R55-R56</f>
        <v>45093.844708000004</v>
      </c>
      <c r="S57" s="154">
        <f>S54+S55-S56</f>
        <v>69886.150240000003</v>
      </c>
      <c r="T57" s="154">
        <f>T54+T55-T56</f>
        <v>93425.6496185</v>
      </c>
      <c r="U57" s="35"/>
      <c r="V57" s="54"/>
      <c r="W57" s="67"/>
      <c r="X57" s="67"/>
      <c r="Y57" s="67"/>
      <c r="Z57" s="67"/>
      <c r="AA57" s="67"/>
      <c r="AB57" s="67"/>
      <c r="AC57" s="67"/>
      <c r="AD57" s="67"/>
      <c r="AE57" s="67"/>
      <c r="AF57" s="120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  <c r="IS57" s="35"/>
      <c r="IT57" s="35"/>
      <c r="IU57" s="35"/>
      <c r="IV57" s="35"/>
      <c r="IW57" s="35"/>
      <c r="IX57" s="35"/>
      <c r="IY57" s="35"/>
      <c r="IZ57" s="35"/>
      <c r="JA57" s="35"/>
      <c r="JB57" s="35"/>
      <c r="JC57" s="35"/>
      <c r="JD57" s="35"/>
    </row>
    <row r="58" spans="2:264" ht="15" thickBot="1">
      <c r="B58" s="1"/>
      <c r="C58" s="125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/>
      <c r="P58"/>
      <c r="Q58"/>
      <c r="R58"/>
      <c r="S58"/>
      <c r="T58"/>
      <c r="W58" s="44"/>
      <c r="X58" s="44"/>
      <c r="Y58" s="44"/>
      <c r="Z58" s="44"/>
      <c r="AB58" s="1"/>
      <c r="AC58" s="1"/>
      <c r="AD58" s="1"/>
      <c r="AE58" s="1"/>
      <c r="AF58" s="68"/>
    </row>
    <row r="59" spans="2:264" ht="15.75" customHeight="1" thickBot="1"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V59" s="390" t="s">
        <v>36</v>
      </c>
      <c r="W59" s="391"/>
      <c r="X59" s="391"/>
      <c r="Y59" s="391"/>
      <c r="Z59" s="391"/>
      <c r="AA59" s="391"/>
      <c r="AB59" s="391"/>
      <c r="AC59" s="391"/>
      <c r="AD59" s="391"/>
      <c r="AE59" s="391"/>
      <c r="AF59" s="391"/>
      <c r="AG59" s="391"/>
      <c r="AH59" s="391"/>
      <c r="AI59" s="391"/>
      <c r="AJ59" s="392"/>
    </row>
    <row r="60" spans="2:264" ht="15" thickBot="1"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V60" s="164" t="s">
        <v>37</v>
      </c>
      <c r="W60" s="216" t="str">
        <f>+C40</f>
        <v>FY12</v>
      </c>
      <c r="X60" s="217" t="str">
        <f>+D40</f>
        <v>FY13</v>
      </c>
      <c r="Y60" s="217" t="str">
        <f>+E40</f>
        <v>FY14</v>
      </c>
      <c r="Z60" s="217" t="str">
        <f>Z4</f>
        <v>FY15</v>
      </c>
      <c r="AA60" s="359" t="s">
        <v>77</v>
      </c>
      <c r="AB60" s="167" t="s">
        <v>80</v>
      </c>
      <c r="AC60" s="156" t="s">
        <v>83</v>
      </c>
      <c r="AD60" s="156" t="s">
        <v>110</v>
      </c>
      <c r="AE60" s="156" t="s">
        <v>189</v>
      </c>
      <c r="AF60" s="156" t="s">
        <v>223</v>
      </c>
      <c r="AG60" s="156" t="s">
        <v>225</v>
      </c>
      <c r="AH60" s="156" t="s">
        <v>227</v>
      </c>
      <c r="AI60" s="156" t="s">
        <v>228</v>
      </c>
      <c r="AJ60" s="156" t="s">
        <v>234</v>
      </c>
    </row>
    <row r="61" spans="2:264" ht="14.4"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V61" s="318" t="s">
        <v>57</v>
      </c>
      <c r="W61" s="357">
        <v>137</v>
      </c>
      <c r="X61" s="358">
        <v>89</v>
      </c>
      <c r="Y61" s="358">
        <v>205</v>
      </c>
      <c r="Z61" s="358">
        <v>234</v>
      </c>
      <c r="AA61" s="360">
        <f>309/10</f>
        <v>30.9</v>
      </c>
      <c r="AB61" s="361">
        <f>388.75/10</f>
        <v>38.875</v>
      </c>
      <c r="AC61" s="362">
        <f>497.65/10</f>
        <v>49.765000000000001</v>
      </c>
      <c r="AD61" s="362">
        <v>398.05</v>
      </c>
      <c r="AE61" s="362">
        <f>602.4/10</f>
        <v>60.239999999999995</v>
      </c>
      <c r="AF61" s="363">
        <f>1306.5/10</f>
        <v>130.65</v>
      </c>
      <c r="AG61" s="364">
        <f>1643.5/10</f>
        <v>164.35</v>
      </c>
      <c r="AH61" s="364">
        <f>3412.4/10</f>
        <v>341.24</v>
      </c>
      <c r="AI61" s="365">
        <v>507.2</v>
      </c>
      <c r="AJ61" s="402">
        <v>657.15</v>
      </c>
    </row>
    <row r="62" spans="2:264" ht="14.4">
      <c r="B62" s="1"/>
      <c r="C62" s="1"/>
      <c r="D62" s="1"/>
      <c r="E62" s="1"/>
      <c r="F62" s="1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V62" s="251" t="s">
        <v>58</v>
      </c>
      <c r="W62" s="347">
        <f t="shared" ref="W62:AC62" si="37">C35</f>
        <v>-4.4184445973846849</v>
      </c>
      <c r="X62" s="29">
        <f t="shared" si="37"/>
        <v>3.6613902271163221</v>
      </c>
      <c r="Y62" s="29">
        <f t="shared" si="37"/>
        <v>-3.3035099793531146</v>
      </c>
      <c r="Z62" s="29">
        <f t="shared" si="37"/>
        <v>0.77770130763943224</v>
      </c>
      <c r="AA62" s="366">
        <f t="shared" si="37"/>
        <v>10.61</v>
      </c>
      <c r="AB62" s="367">
        <f t="shared" si="37"/>
        <v>2.4969999999999999</v>
      </c>
      <c r="AC62" s="367">
        <f t="shared" si="37"/>
        <v>3.4460000000000002</v>
      </c>
      <c r="AD62" s="367">
        <f>J35/10</f>
        <v>0.57000000000000006</v>
      </c>
      <c r="AE62" s="367">
        <f>K35</f>
        <v>8.01</v>
      </c>
      <c r="AF62" s="368">
        <f>O35</f>
        <v>12.141</v>
      </c>
      <c r="AG62" s="369">
        <f>Q35</f>
        <v>13.73</v>
      </c>
      <c r="AH62" s="369">
        <f>R35</f>
        <v>16.594999999999999</v>
      </c>
      <c r="AI62" s="369">
        <f>S35</f>
        <v>16.533999999999999</v>
      </c>
      <c r="AJ62" s="387">
        <f>16.534+12.185-10.395</f>
        <v>18.324000000000002</v>
      </c>
      <c r="AK62" s="2" t="s">
        <v>233</v>
      </c>
      <c r="AL62" s="2">
        <f>16.534+12.185-10.395</f>
        <v>18.324000000000002</v>
      </c>
    </row>
    <row r="63" spans="2:264" ht="14.4">
      <c r="B63" s="1"/>
      <c r="C63" s="1"/>
      <c r="D63" s="1"/>
      <c r="E63" s="1"/>
      <c r="F63" s="1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V63" s="355" t="s">
        <v>59</v>
      </c>
      <c r="W63" s="348">
        <f>(W7/$Z$5)*10</f>
        <v>97.359829666430088</v>
      </c>
      <c r="X63" s="30">
        <f>(X7/$Z$5)*10</f>
        <v>106.93399574166077</v>
      </c>
      <c r="Y63" s="30">
        <f>(Y7/$Z$5)*10</f>
        <v>108.02696948190206</v>
      </c>
      <c r="Z63" s="30">
        <f>(Z7/$Z$5)*10</f>
        <v>110.75940383250533</v>
      </c>
      <c r="AA63" s="370">
        <f>(AA7/AA5)*10</f>
        <v>99.638794326241126</v>
      </c>
      <c r="AB63" s="371">
        <f t="shared" ref="AB63:AG63" si="38">(AB7/AB5)*10</f>
        <v>117.17498243148276</v>
      </c>
      <c r="AC63" s="371">
        <f t="shared" si="38"/>
        <v>140.62543921293042</v>
      </c>
      <c r="AD63" s="371">
        <f t="shared" si="38"/>
        <v>182.73366127898805</v>
      </c>
      <c r="AE63" s="371">
        <f t="shared" si="38"/>
        <v>255.13703443429375</v>
      </c>
      <c r="AF63" s="371">
        <f t="shared" si="38"/>
        <v>355.4673225579761</v>
      </c>
      <c r="AG63" s="371">
        <f t="shared" si="38"/>
        <v>461.6901408450704</v>
      </c>
      <c r="AH63" s="371">
        <f>AH7/R53</f>
        <v>56.831577992823185</v>
      </c>
      <c r="AI63" s="371">
        <f>AI7/S53</f>
        <v>69.400893317978785</v>
      </c>
      <c r="AJ63" s="371" t="s">
        <v>178</v>
      </c>
    </row>
    <row r="64" spans="2:264" ht="14.4">
      <c r="B64" s="1"/>
      <c r="C64" s="1"/>
      <c r="D64" s="1"/>
      <c r="E64" s="1"/>
      <c r="F64" s="1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V64" s="251" t="s">
        <v>60</v>
      </c>
      <c r="W64" s="349">
        <v>2</v>
      </c>
      <c r="X64" s="43">
        <v>2</v>
      </c>
      <c r="Y64" s="43">
        <v>2</v>
      </c>
      <c r="Z64" s="43">
        <v>3</v>
      </c>
      <c r="AA64" s="372">
        <v>3</v>
      </c>
      <c r="AB64" s="373">
        <v>3</v>
      </c>
      <c r="AC64" s="373">
        <v>3</v>
      </c>
      <c r="AD64" s="373">
        <v>4.5</v>
      </c>
      <c r="AE64" s="373">
        <v>1.5</v>
      </c>
      <c r="AF64" s="373">
        <v>10</v>
      </c>
      <c r="AG64" s="373">
        <v>10</v>
      </c>
      <c r="AH64" s="373">
        <v>12.5</v>
      </c>
      <c r="AI64" s="374">
        <v>0</v>
      </c>
      <c r="AJ64" s="388" t="s">
        <v>178</v>
      </c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</row>
    <row r="65" spans="2:264" ht="14.4">
      <c r="B65" s="1"/>
      <c r="C65" s="1"/>
      <c r="D65" s="1"/>
      <c r="E65" s="1"/>
      <c r="F65" s="1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V65" s="251" t="s">
        <v>61</v>
      </c>
      <c r="W65" s="350">
        <f t="shared" ref="W65:AF65" si="39">W61/W62</f>
        <v>-31.006386292835145</v>
      </c>
      <c r="X65" s="31">
        <f t="shared" si="39"/>
        <v>24.307706766917221</v>
      </c>
      <c r="Y65" s="31">
        <f t="shared" si="39"/>
        <v>-62.055208333332359</v>
      </c>
      <c r="Z65" s="31">
        <f t="shared" si="39"/>
        <v>300.88672566369149</v>
      </c>
      <c r="AA65" s="375">
        <f t="shared" si="39"/>
        <v>2.9123468426013197</v>
      </c>
      <c r="AB65" s="368">
        <f>AB61/AB62</f>
        <v>15.568682418902684</v>
      </c>
      <c r="AC65" s="368">
        <f t="shared" si="39"/>
        <v>14.441381311665699</v>
      </c>
      <c r="AD65" s="368">
        <f t="shared" si="39"/>
        <v>698.33333333333326</v>
      </c>
      <c r="AE65" s="368">
        <f t="shared" si="39"/>
        <v>7.5205992509363293</v>
      </c>
      <c r="AF65" s="368">
        <f t="shared" si="39"/>
        <v>10.761057573511243</v>
      </c>
      <c r="AG65" s="368">
        <f>AG61/AG62</f>
        <v>11.970138383102695</v>
      </c>
      <c r="AH65" s="368">
        <f>AH61/AH62</f>
        <v>20.562820126544143</v>
      </c>
      <c r="AI65" s="368">
        <f>AI61/AI62</f>
        <v>30.676182411999516</v>
      </c>
      <c r="AJ65" s="389">
        <f>AJ61/AJ62</f>
        <v>35.862802881466926</v>
      </c>
      <c r="AK65" s="1" t="s">
        <v>235</v>
      </c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  <c r="IX65" s="1"/>
      <c r="IY65" s="1"/>
      <c r="IZ65" s="1"/>
      <c r="JA65" s="1"/>
      <c r="JB65" s="1"/>
      <c r="JC65" s="1"/>
      <c r="JD65" s="1"/>
    </row>
    <row r="66" spans="2:264" ht="14.4">
      <c r="B66" s="1"/>
      <c r="C66" s="1"/>
      <c r="D66" s="1"/>
      <c r="E66" s="1"/>
      <c r="F66" s="1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V66" s="251" t="s">
        <v>62</v>
      </c>
      <c r="W66" s="350">
        <f t="shared" ref="W66:AF66" si="40">W61/W63</f>
        <v>1.4071511882198573</v>
      </c>
      <c r="X66" s="31">
        <f t="shared" si="40"/>
        <v>0.83228910864803862</v>
      </c>
      <c r="Y66" s="31">
        <f t="shared" si="40"/>
        <v>1.8976742658169634</v>
      </c>
      <c r="Z66" s="31">
        <f t="shared" si="40"/>
        <v>2.1126874279123413</v>
      </c>
      <c r="AA66" s="375">
        <f t="shared" si="40"/>
        <v>0.31012017165549038</v>
      </c>
      <c r="AB66" s="368">
        <f t="shared" si="40"/>
        <v>0.33176877174043429</v>
      </c>
      <c r="AC66" s="368">
        <f t="shared" si="40"/>
        <v>0.35388333916346015</v>
      </c>
      <c r="AD66" s="368">
        <f t="shared" si="40"/>
        <v>2.1783069261239087</v>
      </c>
      <c r="AE66" s="368">
        <f t="shared" si="40"/>
        <v>0.23610841183275488</v>
      </c>
      <c r="AF66" s="368">
        <f t="shared" si="40"/>
        <v>0.36754433307633</v>
      </c>
      <c r="AG66" s="368">
        <f>AG61/AG63</f>
        <v>0.35597467968273339</v>
      </c>
      <c r="AH66" s="368">
        <f>AH61/AH63</f>
        <v>6.0044083245953956</v>
      </c>
      <c r="AI66" s="368">
        <f>AI61/AI63</f>
        <v>7.3082632766141398</v>
      </c>
      <c r="AJ66" s="389" t="s">
        <v>178</v>
      </c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</row>
    <row r="67" spans="2:264" ht="14.4">
      <c r="B67" s="1"/>
      <c r="C67" s="1"/>
      <c r="D67" s="1"/>
      <c r="E67" s="1"/>
      <c r="F67" s="1"/>
      <c r="I67"/>
      <c r="J67"/>
      <c r="K67"/>
      <c r="L67" t="s">
        <v>214</v>
      </c>
      <c r="M67"/>
      <c r="N67"/>
      <c r="O67"/>
      <c r="P67"/>
      <c r="Q67"/>
      <c r="R67"/>
      <c r="S67"/>
      <c r="T67"/>
      <c r="V67" s="251" t="s">
        <v>63</v>
      </c>
      <c r="W67" s="350" t="e">
        <f t="shared" ref="W67:AE67" si="41">C57/C15</f>
        <v>#VALUE!</v>
      </c>
      <c r="X67" s="31">
        <f t="shared" si="41"/>
        <v>4.7869318181818166</v>
      </c>
      <c r="Y67" s="31">
        <f t="shared" si="41"/>
        <v>5.0802812774685142</v>
      </c>
      <c r="Z67" s="31">
        <f t="shared" si="41"/>
        <v>7.7789699570815296</v>
      </c>
      <c r="AA67" s="375">
        <f t="shared" si="41"/>
        <v>1.7438568522646458</v>
      </c>
      <c r="AB67" s="368">
        <f t="shared" si="41"/>
        <v>-0.18721080615030852</v>
      </c>
      <c r="AC67" s="368">
        <f t="shared" si="41"/>
        <v>-0.58158649350649383</v>
      </c>
      <c r="AD67" s="368">
        <f t="shared" si="41"/>
        <v>-1.1034159159159174</v>
      </c>
      <c r="AE67" s="368">
        <f t="shared" si="41"/>
        <v>-1.4425390102541229</v>
      </c>
      <c r="AF67" s="368">
        <f>O57/O15</f>
        <v>-1.3017844784972814</v>
      </c>
      <c r="AG67" s="368">
        <f>Q57/Q15</f>
        <v>-1.1542686357243321</v>
      </c>
      <c r="AH67" s="368">
        <f>R57/R15</f>
        <v>17.683860669803924</v>
      </c>
      <c r="AI67" s="368">
        <f>S57/S15</f>
        <v>25.698161514984374</v>
      </c>
      <c r="AJ67" s="368" t="s">
        <v>178</v>
      </c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  <c r="IX67" s="1"/>
      <c r="IY67" s="1"/>
      <c r="IZ67" s="1"/>
      <c r="JA67" s="1"/>
      <c r="JB67" s="1"/>
      <c r="JC67" s="1"/>
      <c r="JD67" s="1"/>
    </row>
    <row r="68" spans="2:264" ht="14.4">
      <c r="B68" s="1"/>
      <c r="C68" s="1"/>
      <c r="D68" s="1"/>
      <c r="E68" s="1"/>
      <c r="F68" s="1"/>
      <c r="I68"/>
      <c r="J68"/>
      <c r="K68"/>
      <c r="L68"/>
      <c r="M68"/>
      <c r="N68"/>
      <c r="O68"/>
      <c r="P68"/>
      <c r="Q68"/>
      <c r="R68"/>
      <c r="S68"/>
      <c r="T68"/>
      <c r="V68" s="251" t="s">
        <v>72</v>
      </c>
      <c r="W68" s="350">
        <f>W$15/C$6</f>
        <v>0.12424078916421091</v>
      </c>
      <c r="X68" s="31">
        <f>X$15/D$6</f>
        <v>0.11991134958590925</v>
      </c>
      <c r="Y68" s="31">
        <f>Y$15/E$6</f>
        <v>0.11954602774274906</v>
      </c>
      <c r="Z68" s="31">
        <f>Z$15/F$6</f>
        <v>0.12355086947831301</v>
      </c>
      <c r="AA68" s="375">
        <f>G6/SUM(AA16:AA17)</f>
        <v>9.7870782747137195</v>
      </c>
      <c r="AB68" s="368">
        <f>H6/SUM(AB16:AB17)</f>
        <v>7.9817835365853664</v>
      </c>
      <c r="AC68" s="368">
        <f>I6/SUM(AC16:AC17)</f>
        <v>7.0249067661161435</v>
      </c>
      <c r="AD68" s="368">
        <f>J6/SUM(AD16:AD17)</f>
        <v>7.13274010432648</v>
      </c>
      <c r="AE68" s="368">
        <f>K6/SUM(AE16:AE17)</f>
        <v>9.4017512137911563</v>
      </c>
      <c r="AF68" s="368">
        <f>O6/SUM(AF16:AF17)</f>
        <v>8.8818627450980401</v>
      </c>
      <c r="AG68" s="368">
        <f>Q6/SUM(AG16:AG18)</f>
        <v>7.8258064516129036</v>
      </c>
      <c r="AH68" s="368">
        <f>R6/SUM(AH16:AH18)</f>
        <v>8.0566916379833966</v>
      </c>
      <c r="AI68" s="368">
        <f>S6/SUM(AI16:AI18)</f>
        <v>5.858055340702113</v>
      </c>
      <c r="AJ68" s="368" t="s">
        <v>178</v>
      </c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  <c r="IX68" s="1"/>
      <c r="IY68" s="1"/>
      <c r="IZ68" s="1"/>
      <c r="JA68" s="1"/>
      <c r="JB68" s="1"/>
      <c r="JC68" s="1"/>
      <c r="JD68" s="1"/>
    </row>
    <row r="69" spans="2:264" ht="14.4">
      <c r="B69" s="1"/>
      <c r="C69" s="1"/>
      <c r="D69" s="1"/>
      <c r="E69" s="1"/>
      <c r="F69" s="1"/>
      <c r="I69"/>
      <c r="J69"/>
      <c r="K69"/>
      <c r="L69" t="s">
        <v>215</v>
      </c>
      <c r="M69"/>
      <c r="N69"/>
      <c r="O69"/>
      <c r="P69"/>
      <c r="Q69"/>
      <c r="R69"/>
      <c r="S69"/>
      <c r="T69"/>
      <c r="V69" s="355" t="s">
        <v>64</v>
      </c>
      <c r="W69" s="351">
        <f t="shared" ref="W69:AE69" si="42">C29/W7</f>
        <v>-5.8098848228604366E-2</v>
      </c>
      <c r="X69" s="34">
        <f t="shared" si="42"/>
        <v>3.1924072476272755E-2</v>
      </c>
      <c r="Y69" s="34">
        <f t="shared" si="42"/>
        <v>-3.3046448984955491E-2</v>
      </c>
      <c r="Z69" s="34">
        <f t="shared" si="42"/>
        <v>7.2408048186600972E-3</v>
      </c>
      <c r="AA69" s="376">
        <f t="shared" si="42"/>
        <v>0.10945422038611906</v>
      </c>
      <c r="AB69" s="377">
        <f t="shared" si="42"/>
        <v>0.17320379033225469</v>
      </c>
      <c r="AC69" s="377">
        <f t="shared" si="42"/>
        <v>0.19924041777022636</v>
      </c>
      <c r="AD69" s="377">
        <f t="shared" si="42"/>
        <v>0.25347075337461006</v>
      </c>
      <c r="AE69" s="377">
        <f t="shared" si="42"/>
        <v>0.25932352779154988</v>
      </c>
      <c r="AF69" s="377">
        <f>O29/AF7</f>
        <v>0.28323745131763634</v>
      </c>
      <c r="AG69" s="377">
        <f>Q29/AG7</f>
        <v>0.24694935936546675</v>
      </c>
      <c r="AH69" s="377">
        <f>R29/AH7</f>
        <v>0.23394478902978899</v>
      </c>
      <c r="AI69" s="377">
        <f>S29/AI7</f>
        <v>0.19192832160962003</v>
      </c>
      <c r="AJ69" s="377" t="s">
        <v>178</v>
      </c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  <c r="IX69" s="1"/>
      <c r="IY69" s="1"/>
      <c r="IZ69" s="1"/>
      <c r="JA69" s="1"/>
      <c r="JB69" s="1"/>
      <c r="JC69" s="1"/>
      <c r="JD69" s="1"/>
    </row>
    <row r="70" spans="2:264" ht="14.4">
      <c r="B70" s="1"/>
      <c r="C70" s="1"/>
      <c r="D70" s="1"/>
      <c r="E70" s="1"/>
      <c r="F70" s="1"/>
      <c r="I70"/>
      <c r="J70"/>
      <c r="K70"/>
      <c r="L70" t="s">
        <v>216</v>
      </c>
      <c r="M70"/>
      <c r="N70"/>
      <c r="O70"/>
      <c r="P70"/>
      <c r="Q70"/>
      <c r="R70"/>
      <c r="S70"/>
      <c r="T70"/>
      <c r="V70" s="355" t="s">
        <v>65</v>
      </c>
      <c r="W70" s="351">
        <f t="shared" ref="W70:AE70" si="43">(C15-C19)/W12</f>
        <v>0.1143042458713768</v>
      </c>
      <c r="X70" s="34">
        <f t="shared" si="43"/>
        <v>0.16181102362204733</v>
      </c>
      <c r="Y70" s="34">
        <f t="shared" si="43"/>
        <v>9.4635830723520151E-2</v>
      </c>
      <c r="Z70" s="34">
        <f t="shared" si="43"/>
        <v>0.14282164892956267</v>
      </c>
      <c r="AA70" s="376">
        <f t="shared" si="43"/>
        <v>0.1970421691739572</v>
      </c>
      <c r="AB70" s="377">
        <f t="shared" si="43"/>
        <v>0.22647427854454266</v>
      </c>
      <c r="AC70" s="377">
        <f t="shared" si="43"/>
        <v>0.2172523961661342</v>
      </c>
      <c r="AD70" s="377">
        <f t="shared" si="43"/>
        <v>0.25650327375685672</v>
      </c>
      <c r="AE70" s="377">
        <f t="shared" si="43"/>
        <v>0.2525071079443445</v>
      </c>
      <c r="AF70" s="377">
        <f>(O15-O19)/AF12</f>
        <v>0.31611817095688061</v>
      </c>
      <c r="AG70" s="377">
        <v>0.32500000000000001</v>
      </c>
      <c r="AH70" s="377">
        <f>(Q15-Q19)/AH12</f>
        <v>0.21750102705557839</v>
      </c>
      <c r="AI70" s="377">
        <f>(R15-R19)/AI12</f>
        <v>0.19444635725106732</v>
      </c>
      <c r="AJ70" s="377" t="s">
        <v>178</v>
      </c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  <c r="IX70" s="1"/>
      <c r="IY70" s="1"/>
      <c r="IZ70" s="1"/>
      <c r="JA70" s="1"/>
      <c r="JB70" s="1"/>
      <c r="JC70" s="1"/>
      <c r="JD70" s="1"/>
    </row>
    <row r="71" spans="2:264" ht="14.4">
      <c r="B71" s="1"/>
      <c r="C71" s="1"/>
      <c r="D71" s="1"/>
      <c r="E71" s="1"/>
      <c r="F71" s="1"/>
      <c r="I71"/>
      <c r="J71"/>
      <c r="K71"/>
      <c r="L71"/>
      <c r="M71"/>
      <c r="N71"/>
      <c r="O71"/>
      <c r="P71"/>
      <c r="Q71"/>
      <c r="R71"/>
      <c r="S71"/>
      <c r="T71"/>
      <c r="V71" s="251" t="s">
        <v>66</v>
      </c>
      <c r="W71" s="350">
        <f t="shared" ref="W71:AF71" si="44">W10/W7</f>
        <v>0.40858725761772857</v>
      </c>
      <c r="X71" s="31">
        <f t="shared" si="44"/>
        <v>0.46684807858233224</v>
      </c>
      <c r="Y71" s="31">
        <f t="shared" si="44"/>
        <v>0.58498127586886528</v>
      </c>
      <c r="Z71" s="31">
        <f t="shared" si="44"/>
        <v>0.49301550685633733</v>
      </c>
      <c r="AA71" s="375">
        <f t="shared" si="44"/>
        <v>0.61309467459411904</v>
      </c>
      <c r="AB71" s="368">
        <f t="shared" si="44"/>
        <v>0.58804126184478833</v>
      </c>
      <c r="AC71" s="368">
        <f t="shared" si="44"/>
        <v>0.72929888561291301</v>
      </c>
      <c r="AD71" s="368">
        <f t="shared" si="44"/>
        <v>0.35699726954582162</v>
      </c>
      <c r="AE71" s="368">
        <f t="shared" si="44"/>
        <v>0.25065471271966067</v>
      </c>
      <c r="AF71" s="368">
        <f t="shared" si="44"/>
        <v>0.1014174722732934</v>
      </c>
      <c r="AG71" s="368">
        <f>AG10/AG7</f>
        <v>7.3367907260524709E-2</v>
      </c>
      <c r="AH71" s="368">
        <f>AH10/AH7</f>
        <v>6.298513550802011E-2</v>
      </c>
      <c r="AI71" s="368">
        <f>AI10/AI7</f>
        <v>0.13516328054387552</v>
      </c>
      <c r="AJ71" s="368" t="s">
        <v>178</v>
      </c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  <c r="IX71" s="1"/>
      <c r="IY71" s="1"/>
      <c r="IZ71" s="1"/>
      <c r="JA71" s="1"/>
      <c r="JB71" s="1"/>
      <c r="JC71" s="1"/>
      <c r="JD71" s="1"/>
    </row>
    <row r="72" spans="2:264">
      <c r="L72" s="2" t="s">
        <v>217</v>
      </c>
      <c r="V72" s="355" t="s">
        <v>67</v>
      </c>
      <c r="W72" s="348">
        <f t="shared" ref="W72:AF72" si="45">(W10-W34-W35)/W7</f>
        <v>0.27154104096807113</v>
      </c>
      <c r="X72" s="30">
        <f t="shared" si="45"/>
        <v>0.29428552465653413</v>
      </c>
      <c r="Y72" s="30">
        <f t="shared" si="45"/>
        <v>0.42868405492411793</v>
      </c>
      <c r="Z72" s="30">
        <f t="shared" si="45"/>
        <v>0.32538767140843267</v>
      </c>
      <c r="AA72" s="378">
        <f t="shared" si="45"/>
        <v>0.37049996903709642</v>
      </c>
      <c r="AB72" s="379">
        <f t="shared" si="45"/>
        <v>-0.41759625764663549</v>
      </c>
      <c r="AC72" s="379">
        <f t="shared" si="45"/>
        <v>-0.58587776722802454</v>
      </c>
      <c r="AD72" s="379">
        <f t="shared" si="45"/>
        <v>-0.75983540360727608</v>
      </c>
      <c r="AE72" s="379">
        <f t="shared" si="45"/>
        <v>-0.77697157494628977</v>
      </c>
      <c r="AF72" s="379">
        <f t="shared" si="45"/>
        <v>-0.89773243975248596</v>
      </c>
      <c r="AG72" s="379">
        <f>(AG10-AG34-AG35)/AG7</f>
        <v>-0.74405125076266021</v>
      </c>
      <c r="AH72" s="379">
        <f>(AH10-AH34-AH35)/AH7</f>
        <v>-0.59442371600302335</v>
      </c>
      <c r="AI72" s="379">
        <f>(AI10-AI34-AI35)/AI7</f>
        <v>-0.44240971430817</v>
      </c>
      <c r="AJ72" s="379" t="s">
        <v>178</v>
      </c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  <c r="IX72" s="1"/>
      <c r="IY72" s="1"/>
      <c r="IZ72" s="1"/>
      <c r="JA72" s="1"/>
      <c r="JB72" s="1"/>
      <c r="JC72" s="1"/>
      <c r="JD72" s="1"/>
    </row>
    <row r="73" spans="2:264">
      <c r="V73" s="251" t="s">
        <v>68</v>
      </c>
      <c r="W73" s="352" t="s">
        <v>70</v>
      </c>
      <c r="X73" s="42" t="s">
        <v>70</v>
      </c>
      <c r="Y73" s="42">
        <f t="shared" ref="Y73:AG73" si="46">Y$64/Y$61</f>
        <v>9.7560975609756097E-3</v>
      </c>
      <c r="Z73" s="42">
        <f t="shared" si="46"/>
        <v>1.282051282051282E-2</v>
      </c>
      <c r="AA73" s="380">
        <f t="shared" si="46"/>
        <v>9.7087378640776698E-2</v>
      </c>
      <c r="AB73" s="381">
        <f t="shared" si="46"/>
        <v>7.7170418006430874E-2</v>
      </c>
      <c r="AC73" s="381">
        <f t="shared" si="46"/>
        <v>6.0283331658796339E-2</v>
      </c>
      <c r="AD73" s="381">
        <f t="shared" si="46"/>
        <v>1.130511242306243E-2</v>
      </c>
      <c r="AE73" s="381">
        <f t="shared" si="46"/>
        <v>2.4900398406374504E-2</v>
      </c>
      <c r="AF73" s="381">
        <f t="shared" si="46"/>
        <v>7.6540375047837728E-2</v>
      </c>
      <c r="AG73" s="381">
        <f t="shared" si="46"/>
        <v>6.0845756008518409E-2</v>
      </c>
      <c r="AH73" s="382">
        <f>AH$64/AH$61</f>
        <v>3.6631110069159534E-2</v>
      </c>
      <c r="AI73" s="382">
        <f>AI$64/AI$61</f>
        <v>0</v>
      </c>
      <c r="AJ73" s="382" t="s">
        <v>178</v>
      </c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  <c r="IX73" s="1"/>
      <c r="IY73" s="1"/>
      <c r="IZ73" s="1"/>
      <c r="JA73" s="1"/>
      <c r="JB73" s="1"/>
      <c r="JC73" s="1"/>
      <c r="JD73" s="1"/>
    </row>
    <row r="74" spans="2:264">
      <c r="L74" s="2" t="s">
        <v>218</v>
      </c>
      <c r="V74" s="355" t="s">
        <v>50</v>
      </c>
      <c r="W74" s="353" t="e">
        <f>#REF!-#REF!+#REF!</f>
        <v>#REF!</v>
      </c>
      <c r="X74" s="101" t="e">
        <f>#REF!-#REF!+#REF!</f>
        <v>#REF!</v>
      </c>
      <c r="Y74" s="101" t="e">
        <f>#REF!-#REF!+#REF!</f>
        <v>#REF!</v>
      </c>
      <c r="Z74" s="101" t="e">
        <f>#REF!-#REF!+#REF!</f>
        <v>#REF!</v>
      </c>
      <c r="AA74" s="370"/>
      <c r="AB74" s="371"/>
      <c r="AC74" s="371">
        <v>70</v>
      </c>
      <c r="AD74" s="371">
        <v>23</v>
      </c>
      <c r="AE74" s="371">
        <v>31</v>
      </c>
      <c r="AF74" s="371">
        <v>58</v>
      </c>
      <c r="AG74" s="371">
        <v>83</v>
      </c>
      <c r="AH74" s="371">
        <f>(AH29-AH40)/R6*365</f>
        <v>105.7630428226779</v>
      </c>
      <c r="AI74" s="371">
        <f>(AI29-AI40)/S6*365</f>
        <v>107.5093170347339</v>
      </c>
      <c r="AJ74" s="371" t="s">
        <v>178</v>
      </c>
    </row>
    <row r="75" spans="2:264" ht="14.4" thickBot="1">
      <c r="L75" s="2" t="s">
        <v>219</v>
      </c>
      <c r="V75" s="356" t="s">
        <v>52</v>
      </c>
      <c r="W75" s="354">
        <f t="shared" ref="W75:AE75" si="47">C20/W10</f>
        <v>0.2096342551293488</v>
      </c>
      <c r="X75" s="124">
        <f t="shared" si="47"/>
        <v>0.22206425931191356</v>
      </c>
      <c r="Y75" s="124">
        <f t="shared" si="47"/>
        <v>0.1527403414195867</v>
      </c>
      <c r="Z75" s="124">
        <f t="shared" si="47"/>
        <v>0.19456719521705221</v>
      </c>
      <c r="AA75" s="383">
        <f t="shared" si="47"/>
        <v>0.17340501497084199</v>
      </c>
      <c r="AB75" s="384">
        <f t="shared" si="47"/>
        <v>0.16593574706782252</v>
      </c>
      <c r="AC75" s="384">
        <f t="shared" si="47"/>
        <v>0.12799780731807592</v>
      </c>
      <c r="AD75" s="384">
        <f t="shared" si="47"/>
        <v>0.2051061079392438</v>
      </c>
      <c r="AE75" s="384">
        <f t="shared" si="47"/>
        <v>0.17548929866916035</v>
      </c>
      <c r="AF75" s="384">
        <f>O20/AF10</f>
        <v>0.24580896686159842</v>
      </c>
      <c r="AG75" s="384">
        <f>Q20/AG10</f>
        <v>0.20582120582120583</v>
      </c>
      <c r="AH75" s="385">
        <f>R20/AH10</f>
        <v>0.17523809523809525</v>
      </c>
      <c r="AI75" s="385">
        <f>S20/AI10</f>
        <v>8.7658089838639333E-2</v>
      </c>
      <c r="AJ75" s="385" t="s">
        <v>178</v>
      </c>
    </row>
    <row r="76" spans="2:264">
      <c r="L76" s="2" t="s">
        <v>220</v>
      </c>
      <c r="AA76" s="55"/>
      <c r="AB76" s="55"/>
      <c r="AC76" s="55"/>
      <c r="AD76" s="55"/>
      <c r="AE76" s="55"/>
    </row>
    <row r="77" spans="2:264">
      <c r="B77" s="1"/>
      <c r="C77" s="1"/>
      <c r="D77" s="1"/>
      <c r="E77" s="1"/>
      <c r="F77" s="1"/>
      <c r="G77" s="1"/>
      <c r="H77" s="1"/>
      <c r="I77" s="1"/>
      <c r="J77" s="1"/>
      <c r="K77" s="1"/>
      <c r="L77" s="1" t="s">
        <v>221</v>
      </c>
      <c r="M77" s="1"/>
      <c r="N77" s="1"/>
      <c r="O77" s="1"/>
      <c r="P77" s="1"/>
      <c r="Q77" s="1"/>
      <c r="R77" s="1"/>
      <c r="S77" s="1"/>
      <c r="T77" s="1"/>
      <c r="AA77" s="36"/>
      <c r="AB77" s="35"/>
      <c r="AC77" s="35"/>
      <c r="AD77" s="35"/>
      <c r="AE77" s="35"/>
    </row>
    <row r="78" spans="2:264" ht="14.4">
      <c r="B78" s="1"/>
      <c r="C78" s="1"/>
      <c r="D78" s="1"/>
      <c r="E78" s="1"/>
      <c r="F78" s="1"/>
      <c r="G78" s="1"/>
      <c r="H78" s="1"/>
      <c r="I78" s="1"/>
      <c r="J78" s="1"/>
      <c r="K78" s="1"/>
      <c r="L78" s="111" t="s">
        <v>222</v>
      </c>
      <c r="M78" s="1"/>
      <c r="N78" s="1"/>
      <c r="O78" s="1"/>
      <c r="P78" s="1"/>
      <c r="Q78" s="1"/>
      <c r="R78" s="1"/>
      <c r="S78" s="1"/>
      <c r="T78" s="1"/>
      <c r="V78" s="130"/>
      <c r="W78"/>
      <c r="X78"/>
      <c r="Y78"/>
      <c r="Z78"/>
      <c r="AA78"/>
      <c r="AF78" s="1"/>
    </row>
    <row r="79" spans="2:264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AA79" s="1"/>
      <c r="AF79" s="1"/>
      <c r="AG79" s="1"/>
    </row>
    <row r="80" spans="2:264" ht="14.4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V80" s="1"/>
      <c r="W80" s="1"/>
      <c r="X80" s="1"/>
      <c r="Y80" s="1"/>
      <c r="Z80" s="1"/>
      <c r="AA80" s="1"/>
      <c r="AB80" s="1"/>
      <c r="AC80" s="1"/>
      <c r="AF80" s="1"/>
      <c r="AG80" s="1"/>
      <c r="AK80"/>
      <c r="AL80"/>
      <c r="AU80" s="1"/>
    </row>
    <row r="81" spans="2:264" ht="14.4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V81" s="1"/>
      <c r="W81" s="1"/>
      <c r="X81" s="1"/>
      <c r="Y81" s="1"/>
      <c r="Z81" s="1"/>
      <c r="AA81" s="1"/>
      <c r="AB81" s="1"/>
      <c r="AC81" s="1"/>
      <c r="AF81" s="1"/>
      <c r="AG81" s="1"/>
      <c r="AK81"/>
      <c r="AL81"/>
      <c r="AP81" s="35"/>
      <c r="AQ81" s="35"/>
      <c r="AR81" s="35"/>
      <c r="AS81" s="35"/>
      <c r="AT81" s="35"/>
      <c r="AU81" s="1"/>
    </row>
    <row r="82" spans="2:264" ht="14.4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F82" s="1"/>
      <c r="AG82" s="1"/>
      <c r="AH82" s="1"/>
      <c r="AI82" s="1"/>
      <c r="AJ82" s="1"/>
      <c r="AK82"/>
      <c r="AL82"/>
      <c r="AM82" s="1"/>
      <c r="AN82" s="1"/>
      <c r="AO82" s="1"/>
      <c r="AU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</row>
    <row r="83" spans="2:264" ht="14.4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F83" s="1"/>
      <c r="AG83" s="1"/>
      <c r="AH83" s="1"/>
      <c r="AI83" s="1"/>
      <c r="AJ83" s="1"/>
      <c r="AK83"/>
      <c r="AL83"/>
      <c r="AM83" s="1"/>
      <c r="AN83" s="1"/>
      <c r="AO83" s="1"/>
      <c r="AU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</row>
    <row r="84" spans="2:264" ht="14.4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/>
      <c r="AL84"/>
      <c r="AM84" s="1"/>
      <c r="AN84" s="1"/>
      <c r="AO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  <c r="IW84" s="1"/>
      <c r="IX84" s="1"/>
      <c r="IY84" s="1"/>
      <c r="IZ84" s="1"/>
      <c r="JA84" s="1"/>
      <c r="JB84" s="1"/>
      <c r="JC84" s="1"/>
      <c r="JD84" s="1"/>
    </row>
    <row r="85" spans="2:264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M85" s="1"/>
      <c r="AN85" s="1"/>
      <c r="AO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  <c r="IX85" s="1"/>
      <c r="IY85" s="1"/>
      <c r="IZ85" s="1"/>
      <c r="JA85" s="1"/>
      <c r="JB85" s="1"/>
      <c r="JC85" s="1"/>
      <c r="JD85" s="1"/>
    </row>
    <row r="86" spans="2:264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M86" s="1"/>
      <c r="AN86" s="1"/>
      <c r="AO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  <c r="IX86" s="1"/>
      <c r="IY86" s="1"/>
      <c r="IZ86" s="1"/>
      <c r="JA86" s="1"/>
      <c r="JB86" s="1"/>
      <c r="JC86" s="1"/>
      <c r="JD86" s="1"/>
    </row>
    <row r="87" spans="2:264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M87" s="1"/>
      <c r="AN87" s="1"/>
      <c r="AO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  <c r="IW87" s="1"/>
      <c r="IX87" s="1"/>
      <c r="IY87" s="1"/>
      <c r="IZ87" s="1"/>
      <c r="JA87" s="1"/>
      <c r="JB87" s="1"/>
      <c r="JC87" s="1"/>
      <c r="JD87" s="1"/>
    </row>
    <row r="88" spans="2:264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G88" s="1"/>
      <c r="AH88" s="1"/>
      <c r="AI88" s="1"/>
      <c r="AJ88" s="1"/>
      <c r="AM88" s="1"/>
      <c r="AN88" s="1"/>
      <c r="AO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  <c r="IW88" s="1"/>
      <c r="IX88" s="1"/>
      <c r="IY88" s="1"/>
      <c r="IZ88" s="1"/>
      <c r="JA88" s="1"/>
      <c r="JB88" s="1"/>
      <c r="JC88" s="1"/>
      <c r="JD88" s="1"/>
    </row>
    <row r="89" spans="2:264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G89" s="1"/>
      <c r="AH89" s="1"/>
      <c r="AI89" s="1"/>
      <c r="AJ89" s="1"/>
      <c r="AM89" s="1"/>
      <c r="AN89" s="1"/>
      <c r="AO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  <c r="IX89" s="1"/>
      <c r="IY89" s="1"/>
      <c r="IZ89" s="1"/>
      <c r="JA89" s="1"/>
      <c r="JB89" s="1"/>
      <c r="JC89" s="1"/>
      <c r="JD89" s="1"/>
    </row>
    <row r="90" spans="2:264" ht="14.4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G90" s="1"/>
      <c r="AH90" s="1"/>
      <c r="AI90" s="1"/>
      <c r="AJ90" s="1"/>
      <c r="AK90" s="1"/>
      <c r="AL90" s="1"/>
      <c r="AM90" s="1"/>
      <c r="AN90" s="1"/>
      <c r="AO90" s="1"/>
      <c r="AV90" s="123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  <c r="IW90" s="1"/>
      <c r="IX90" s="1"/>
      <c r="IY90" s="1"/>
      <c r="IZ90" s="1"/>
      <c r="JA90" s="1"/>
      <c r="JB90" s="1"/>
      <c r="JC90" s="1"/>
      <c r="JD90" s="1"/>
    </row>
    <row r="91" spans="2:264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G91" s="1"/>
      <c r="AH91" s="1"/>
      <c r="AI91" s="1"/>
      <c r="AJ91" s="1"/>
      <c r="AK91" s="1"/>
      <c r="AL91" s="1"/>
      <c r="AM91" s="1"/>
      <c r="AN91" s="1"/>
      <c r="AO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  <c r="IW91" s="1"/>
      <c r="IX91" s="1"/>
      <c r="IY91" s="1"/>
      <c r="IZ91" s="1"/>
      <c r="JA91" s="1"/>
      <c r="JB91" s="1"/>
      <c r="JC91" s="1"/>
      <c r="JD91" s="1"/>
    </row>
    <row r="92" spans="2:264"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G92" s="1"/>
      <c r="AH92" s="1"/>
      <c r="AI92" s="1"/>
      <c r="AJ92" s="1"/>
      <c r="AK92" s="1"/>
      <c r="AL92" s="1"/>
      <c r="AM92" s="1"/>
      <c r="AN92" s="1"/>
      <c r="AO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  <c r="IW92" s="1"/>
      <c r="IX92" s="1"/>
      <c r="IY92" s="1"/>
      <c r="IZ92" s="1"/>
      <c r="JA92" s="1"/>
      <c r="JB92" s="1"/>
      <c r="JC92" s="1"/>
      <c r="JD92" s="1"/>
    </row>
    <row r="93" spans="2:264"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G93" s="1"/>
      <c r="AH93" s="1"/>
      <c r="AI93" s="1"/>
      <c r="AJ93" s="1"/>
      <c r="AK93" s="1"/>
      <c r="AL93" s="1"/>
      <c r="AM93" s="1"/>
      <c r="AN93" s="1"/>
      <c r="AO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  <c r="IW93" s="1"/>
      <c r="IX93" s="1"/>
      <c r="IY93" s="1"/>
      <c r="IZ93" s="1"/>
      <c r="JA93" s="1"/>
      <c r="JB93" s="1"/>
      <c r="JC93" s="1"/>
      <c r="JD93" s="1"/>
    </row>
    <row r="94" spans="2:264">
      <c r="U94" s="1"/>
      <c r="AH94" s="1"/>
      <c r="AI94" s="1"/>
      <c r="AJ94" s="1"/>
      <c r="AK94" s="1"/>
      <c r="AL94" s="1"/>
      <c r="AM94" s="1"/>
      <c r="AN94" s="1"/>
      <c r="AO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  <c r="IW94" s="1"/>
      <c r="IX94" s="1"/>
      <c r="IY94" s="1"/>
      <c r="IZ94" s="1"/>
      <c r="JA94" s="1"/>
      <c r="JB94" s="1"/>
      <c r="JC94" s="1"/>
      <c r="JD94" s="1"/>
    </row>
    <row r="95" spans="2:264">
      <c r="U95" s="1"/>
      <c r="AH95" s="1"/>
      <c r="AI95" s="1"/>
      <c r="AJ95" s="1"/>
      <c r="AK95" s="1"/>
      <c r="AL95" s="1"/>
      <c r="AM95" s="1"/>
      <c r="AN95" s="1"/>
      <c r="AO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  <c r="IW95" s="1"/>
      <c r="IX95" s="1"/>
      <c r="IY95" s="1"/>
      <c r="IZ95" s="1"/>
      <c r="JA95" s="1"/>
      <c r="JB95" s="1"/>
      <c r="JC95" s="1"/>
      <c r="JD95" s="1"/>
    </row>
    <row r="96" spans="2:264">
      <c r="U96" s="1"/>
      <c r="AH96" s="1"/>
      <c r="AI96" s="1"/>
      <c r="AJ96" s="1"/>
      <c r="AK96" s="1"/>
      <c r="AL96" s="1"/>
      <c r="AM96" s="1"/>
      <c r="AN96" s="1"/>
      <c r="AO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  <c r="IW96" s="1"/>
      <c r="IX96" s="1"/>
      <c r="IY96" s="1"/>
      <c r="IZ96" s="1"/>
      <c r="JA96" s="1"/>
      <c r="JB96" s="1"/>
      <c r="JC96" s="1"/>
      <c r="JD96" s="1"/>
    </row>
    <row r="97" spans="37:41">
      <c r="AK97" s="1"/>
      <c r="AL97" s="1"/>
    </row>
    <row r="98" spans="37:41">
      <c r="AK98" s="1"/>
      <c r="AL98" s="1"/>
    </row>
    <row r="99" spans="37:41">
      <c r="AK99" s="1"/>
      <c r="AL99" s="1"/>
    </row>
    <row r="104" spans="37:41">
      <c r="AK104" s="1"/>
      <c r="AL104" s="1"/>
      <c r="AM104" s="1"/>
      <c r="AN104" s="1"/>
      <c r="AO104" s="1"/>
    </row>
    <row r="105" spans="37:41">
      <c r="AK105" s="1"/>
      <c r="AL105" s="1"/>
      <c r="AM105" s="1"/>
      <c r="AN105" s="1"/>
      <c r="AO105" s="1"/>
    </row>
    <row r="106" spans="37:41">
      <c r="AK106" s="1"/>
      <c r="AL106" s="1"/>
      <c r="AM106" s="1"/>
      <c r="AN106" s="1"/>
      <c r="AO106" s="1"/>
    </row>
    <row r="107" spans="37:41">
      <c r="AK107" s="1"/>
      <c r="AL107" s="1"/>
      <c r="AM107" s="1"/>
      <c r="AN107" s="1"/>
      <c r="AO107" s="1"/>
    </row>
  </sheetData>
  <mergeCells count="5">
    <mergeCell ref="V59:AJ59"/>
    <mergeCell ref="B3:T3"/>
    <mergeCell ref="B39:T39"/>
    <mergeCell ref="B2:AJ2"/>
    <mergeCell ref="V3:AJ3"/>
  </mergeCells>
  <hyperlinks>
    <hyperlink ref="G64" r:id="rId1" display="gopal.ritolia@ubs.com"/>
    <hyperlink ref="L78" r:id="rId2"/>
  </hyperlinks>
  <printOptions horizontalCentered="1" verticalCentered="1"/>
  <pageMargins left="0" right="0" top="0" bottom="0" header="0" footer="0"/>
  <pageSetup paperSize="9" scale="55" fitToWidth="0" orientation="landscape" r:id="rId3"/>
  <ignoredErrors>
    <ignoredError sqref="O36 O7:O8 O56 AF55 Q7:Q36 AD62 AB56" formula="1"/>
    <ignoredError sqref="AD15:AG15 AF10 G45:I45 AA68:AF68 R45:S45 AG68:AI68 AH15:AJ1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topLeftCell="A5" zoomScale="71" zoomScaleNormal="71" workbookViewId="0">
      <selection activeCell="F38" sqref="F38:H42"/>
    </sheetView>
  </sheetViews>
  <sheetFormatPr defaultColWidth="9.109375" defaultRowHeight="14.4"/>
  <cols>
    <col min="1" max="1" width="20.5546875" bestFit="1" customWidth="1"/>
    <col min="2" max="2" width="11.88671875" bestFit="1" customWidth="1"/>
    <col min="3" max="3" width="14" bestFit="1" customWidth="1"/>
    <col min="4" max="5" width="11.44140625" bestFit="1" customWidth="1"/>
    <col min="6" max="6" width="11.6640625" bestFit="1" customWidth="1"/>
    <col min="8" max="8" width="20.109375" bestFit="1" customWidth="1"/>
    <col min="9" max="9" width="16.33203125" bestFit="1" customWidth="1"/>
    <col min="10" max="10" width="14.33203125" bestFit="1" customWidth="1"/>
    <col min="11" max="13" width="17.44140625" bestFit="1" customWidth="1"/>
  </cols>
  <sheetData>
    <row r="1" spans="1:13">
      <c r="A1" t="s">
        <v>111</v>
      </c>
    </row>
    <row r="4" spans="1:13">
      <c r="A4" s="60" t="s">
        <v>0</v>
      </c>
      <c r="B4" s="60" t="s">
        <v>112</v>
      </c>
      <c r="C4" s="60" t="s">
        <v>113</v>
      </c>
      <c r="D4" s="60" t="s">
        <v>114</v>
      </c>
      <c r="E4" s="60" t="s">
        <v>116</v>
      </c>
      <c r="F4" s="60" t="s">
        <v>115</v>
      </c>
      <c r="H4" s="60" t="s">
        <v>1</v>
      </c>
      <c r="I4" s="60" t="s">
        <v>112</v>
      </c>
      <c r="J4" s="60" t="s">
        <v>113</v>
      </c>
      <c r="K4" s="60" t="s">
        <v>114</v>
      </c>
      <c r="L4" s="60" t="s">
        <v>116</v>
      </c>
      <c r="M4" s="60" t="s">
        <v>115</v>
      </c>
    </row>
    <row r="5" spans="1:13">
      <c r="A5" s="60" t="s">
        <v>193</v>
      </c>
      <c r="B5" s="60">
        <f>Summary_Sheet_Cons!J6</f>
        <v>11622.8</v>
      </c>
      <c r="C5" s="103">
        <v>25572</v>
      </c>
      <c r="D5" s="72">
        <f>'Peer Analysis'!D5</f>
        <v>57313</v>
      </c>
      <c r="E5" s="72">
        <f>'Peer Analysis'!E5</f>
        <v>44366</v>
      </c>
      <c r="F5" s="72">
        <f>'Peer Analysis'!F5</f>
        <v>11042</v>
      </c>
      <c r="H5" s="60" t="s">
        <v>117</v>
      </c>
      <c r="I5" s="72">
        <f>Summary_Sheet_Cons!AE7</f>
        <v>3630.6000000000004</v>
      </c>
      <c r="J5" s="72">
        <f>(10.94+277.62+780.35)*10</f>
        <v>10689.1</v>
      </c>
      <c r="K5" s="72">
        <f>3014.29*10</f>
        <v>30142.9</v>
      </c>
      <c r="L5" s="72">
        <f>1140.52*10</f>
        <v>11405.2</v>
      </c>
      <c r="M5" s="72">
        <v>7450.2</v>
      </c>
    </row>
    <row r="6" spans="1:13">
      <c r="A6" s="60" t="s">
        <v>194</v>
      </c>
      <c r="B6" s="89">
        <f>Summary_Sheet_Cons!G6</f>
        <v>8710.8128510000006</v>
      </c>
      <c r="C6" s="72">
        <v>32079</v>
      </c>
      <c r="D6" s="60">
        <v>45897.2</v>
      </c>
      <c r="E6" s="60">
        <v>29555.7</v>
      </c>
      <c r="F6" s="60">
        <v>9455.6</v>
      </c>
      <c r="H6" s="60" t="s">
        <v>118</v>
      </c>
      <c r="I6" s="72">
        <f>26.1*10</f>
        <v>261</v>
      </c>
      <c r="J6" s="72">
        <f>99.59*10</f>
        <v>995.90000000000009</v>
      </c>
      <c r="K6" s="72">
        <f>35.07*10</f>
        <v>350.7</v>
      </c>
      <c r="L6" s="72">
        <f>373.5*10</f>
        <v>3735</v>
      </c>
      <c r="M6" s="99">
        <v>0</v>
      </c>
    </row>
    <row r="7" spans="1:13">
      <c r="A7" s="86" t="s">
        <v>119</v>
      </c>
      <c r="B7" s="73">
        <f>((B5/B6)^(1/3)-1)</f>
        <v>0.10090715388384108</v>
      </c>
      <c r="C7" s="73">
        <f>((C5/C6)^(1/3)-1)</f>
        <v>-7.2783201044789414E-2</v>
      </c>
      <c r="D7" s="73">
        <f>((D5/D6)^(1/3)-1)</f>
        <v>7.6851085079985282E-2</v>
      </c>
      <c r="E7" s="73">
        <f>((E5/E6)^(1/3)-1)</f>
        <v>0.14499346613486241</v>
      </c>
      <c r="F7" s="73">
        <f>((F5/F6)^(1/3)-1)</f>
        <v>5.3059435040732517E-2</v>
      </c>
      <c r="H7" s="60" t="s">
        <v>120</v>
      </c>
      <c r="I7" s="72">
        <f>66.7*10</f>
        <v>667</v>
      </c>
      <c r="J7" s="72">
        <f>484.11*10</f>
        <v>4841.1000000000004</v>
      </c>
      <c r="K7" s="72">
        <f>185*10</f>
        <v>1850</v>
      </c>
      <c r="L7" s="72">
        <f>1235.41*10</f>
        <v>12354.1</v>
      </c>
      <c r="M7" s="99">
        <v>0</v>
      </c>
    </row>
    <row r="8" spans="1:13">
      <c r="A8" s="60"/>
      <c r="B8" s="74"/>
      <c r="C8" s="60"/>
      <c r="D8" s="60"/>
      <c r="E8" s="60"/>
      <c r="F8" s="60"/>
      <c r="H8" s="86" t="s">
        <v>121</v>
      </c>
      <c r="I8" s="85">
        <f>I6+I7</f>
        <v>928</v>
      </c>
      <c r="J8" s="85">
        <f>J6+J7</f>
        <v>5837</v>
      </c>
      <c r="K8" s="85">
        <f>K6+K7</f>
        <v>2200.6999999999998</v>
      </c>
      <c r="L8" s="85">
        <f>L6+L7</f>
        <v>16089.1</v>
      </c>
      <c r="M8" s="100">
        <v>0</v>
      </c>
    </row>
    <row r="9" spans="1:13">
      <c r="A9" s="60" t="s">
        <v>122</v>
      </c>
      <c r="B9" s="72">
        <f>Summary_Sheet_Cons!J9</f>
        <v>10557.2</v>
      </c>
      <c r="C9" s="60">
        <f>2118.62*10</f>
        <v>21186.199999999997</v>
      </c>
      <c r="D9" s="60">
        <f>(3239.69+115.09)*10</f>
        <v>33547.800000000003</v>
      </c>
      <c r="E9" s="60">
        <f>(192.5+27519)</f>
        <v>27711.5</v>
      </c>
      <c r="F9" s="60">
        <f>601.33*10</f>
        <v>6013.3</v>
      </c>
      <c r="H9" s="86" t="s">
        <v>19</v>
      </c>
      <c r="I9" s="85">
        <f>(I10+I11-I17-I7)</f>
        <v>4368.4000000000033</v>
      </c>
      <c r="J9" s="85">
        <f>(J10+J11-J17-J7)</f>
        <v>8746.9</v>
      </c>
      <c r="K9" s="85">
        <f>(K10+K11-K17-K7)</f>
        <v>29611.299999999996</v>
      </c>
      <c r="L9" s="85">
        <f>(L10+L11-L17-L7)</f>
        <v>3837.0000000000018</v>
      </c>
      <c r="M9" s="85">
        <f>(M10+M11-M17-M7)</f>
        <v>7885.6</v>
      </c>
    </row>
    <row r="10" spans="1:13">
      <c r="A10" s="60" t="s">
        <v>123</v>
      </c>
      <c r="B10" s="60">
        <v>-9.9</v>
      </c>
      <c r="C10" s="60">
        <v>27.1</v>
      </c>
      <c r="D10" s="60">
        <f>-18.21*10</f>
        <v>-182.10000000000002</v>
      </c>
      <c r="E10" s="60">
        <f>-539.82*10</f>
        <v>-5398.2000000000007</v>
      </c>
      <c r="F10" s="60">
        <f>8.2*10</f>
        <v>82</v>
      </c>
      <c r="H10" s="60" t="s">
        <v>124</v>
      </c>
      <c r="I10" s="72">
        <f>226.53*10</f>
        <v>2265.3000000000002</v>
      </c>
      <c r="J10" s="72">
        <f>688.37*10</f>
        <v>6883.7</v>
      </c>
      <c r="K10" s="72">
        <f>2062.82*10</f>
        <v>20628.2</v>
      </c>
      <c r="L10" s="72">
        <f>1229.53*10</f>
        <v>12295.3</v>
      </c>
      <c r="M10" s="72">
        <v>3862.6</v>
      </c>
    </row>
    <row r="11" spans="1:13">
      <c r="A11" s="60"/>
      <c r="B11" s="60"/>
      <c r="C11" s="60"/>
      <c r="D11" s="60"/>
      <c r="E11" s="60"/>
      <c r="F11" s="60"/>
      <c r="H11" s="60" t="s">
        <v>125</v>
      </c>
      <c r="I11" s="72">
        <f>Summary_Sheet_Cons!AE29</f>
        <v>11293.000000000002</v>
      </c>
      <c r="J11" s="72">
        <f>3090.14*10</f>
        <v>30901.399999999998</v>
      </c>
      <c r="K11" s="72">
        <f>4737.12*10</f>
        <v>47371.199999999997</v>
      </c>
      <c r="L11" s="72">
        <f>2575.51*10</f>
        <v>25755.100000000002</v>
      </c>
      <c r="M11" s="72">
        <f>860.71*10</f>
        <v>8607.1</v>
      </c>
    </row>
    <row r="12" spans="1:13">
      <c r="A12" s="86" t="s">
        <v>195</v>
      </c>
      <c r="B12" s="86">
        <f>(B22+B16+B17)</f>
        <v>1398.9999999999986</v>
      </c>
      <c r="C12" s="86">
        <v>2172</v>
      </c>
      <c r="D12" s="109">
        <f>'Peer Analysis'!D7</f>
        <v>4062</v>
      </c>
      <c r="E12" s="109">
        <f>'Peer Analysis'!E7</f>
        <v>5432</v>
      </c>
      <c r="F12" s="109">
        <f>'Peer Analysis'!F7</f>
        <v>820</v>
      </c>
      <c r="H12" s="91" t="s">
        <v>126</v>
      </c>
      <c r="I12" s="92">
        <f>Summary_Sheet_Cons!AE30</f>
        <v>1345</v>
      </c>
      <c r="J12" s="92">
        <f>15.36*10</f>
        <v>153.6</v>
      </c>
      <c r="K12" s="92">
        <f>508.62*10</f>
        <v>5086.2</v>
      </c>
      <c r="L12" s="92">
        <f>2118.66*10</f>
        <v>21186.6</v>
      </c>
      <c r="M12" s="92">
        <f>126.38*10</f>
        <v>1263.8</v>
      </c>
    </row>
    <row r="13" spans="1:13">
      <c r="A13" s="86" t="s">
        <v>196</v>
      </c>
      <c r="B13" s="86">
        <f>(B23+B19+B20)</f>
        <v>621.7462480000014</v>
      </c>
      <c r="C13" s="86">
        <v>2966.2</v>
      </c>
      <c r="D13" s="86">
        <v>2497.6999999999998</v>
      </c>
      <c r="E13" s="86">
        <v>2850.4</v>
      </c>
      <c r="F13" s="86">
        <v>523.9</v>
      </c>
      <c r="H13" s="91" t="s">
        <v>127</v>
      </c>
      <c r="I13" s="92">
        <f>Summary_Sheet_Cons!AC30</f>
        <v>1011.9</v>
      </c>
      <c r="J13" s="92">
        <f>38.22*10</f>
        <v>382.2</v>
      </c>
      <c r="K13" s="92">
        <f>366.62*10</f>
        <v>3666.2</v>
      </c>
      <c r="L13" s="92">
        <f>1579.19*10</f>
        <v>15791.900000000001</v>
      </c>
      <c r="M13" s="92">
        <f>80.79*10</f>
        <v>807.90000000000009</v>
      </c>
    </row>
    <row r="14" spans="1:13">
      <c r="A14" s="86" t="s">
        <v>119</v>
      </c>
      <c r="B14" s="73">
        <f>((B12/B13)^(1/3)-1)</f>
        <v>0.31039284708317916</v>
      </c>
      <c r="C14" s="73">
        <f>((C12/C13)^(1/3)-1)</f>
        <v>-9.8664527136703928E-2</v>
      </c>
      <c r="D14" s="73">
        <f>((D12/D13)^(1/3)-1)</f>
        <v>0.17597985384783854</v>
      </c>
      <c r="E14" s="73">
        <f>((E12/E13)^(1/3)-1)</f>
        <v>0.23979910159572815</v>
      </c>
      <c r="F14" s="73">
        <f>((F12/F13)^(1/3)-1)</f>
        <v>0.16106130462317148</v>
      </c>
      <c r="H14" s="91" t="s">
        <v>128</v>
      </c>
      <c r="I14" s="92">
        <f>424.17*10</f>
        <v>4241.7</v>
      </c>
      <c r="J14" s="92">
        <f>1351.05*10</f>
        <v>13510.5</v>
      </c>
      <c r="K14" s="92">
        <f>1378.13*10</f>
        <v>13781.300000000001</v>
      </c>
      <c r="L14" s="92">
        <f>296.04*10</f>
        <v>2960.4</v>
      </c>
      <c r="M14" s="92">
        <f>305.29*10</f>
        <v>3052.9</v>
      </c>
    </row>
    <row r="15" spans="1:13">
      <c r="A15" s="60"/>
      <c r="B15" s="60"/>
      <c r="C15" s="60"/>
      <c r="D15" s="60"/>
      <c r="E15" s="60"/>
      <c r="F15" s="60"/>
      <c r="H15" s="91" t="s">
        <v>129</v>
      </c>
      <c r="I15" s="92">
        <f>437.1*10</f>
        <v>4371</v>
      </c>
      <c r="J15" s="92">
        <v>24561.200000000001</v>
      </c>
      <c r="K15" s="92">
        <f>1243.21*10</f>
        <v>12432.1</v>
      </c>
      <c r="L15" s="92">
        <f>311.4*10</f>
        <v>3114</v>
      </c>
      <c r="M15" s="92">
        <f>262.5*10</f>
        <v>2625</v>
      </c>
    </row>
    <row r="16" spans="1:13">
      <c r="A16" s="60" t="s">
        <v>130</v>
      </c>
      <c r="B16" s="72">
        <f>Summary_Sheet_Cons!J19</f>
        <v>195.9</v>
      </c>
      <c r="C16" s="72">
        <f>16.79*10</f>
        <v>167.89999999999998</v>
      </c>
      <c r="D16" s="72">
        <f>92.02*10</f>
        <v>920.19999999999993</v>
      </c>
      <c r="E16" s="72">
        <f>56.95*10</f>
        <v>569.5</v>
      </c>
      <c r="F16" s="72">
        <f>22.9581</f>
        <v>22.958100000000002</v>
      </c>
      <c r="H16" s="91" t="s">
        <v>131</v>
      </c>
      <c r="I16" s="92">
        <f>(45.17+245.24)*10</f>
        <v>2904.1000000000004</v>
      </c>
      <c r="J16" s="92">
        <v>1790.2</v>
      </c>
      <c r="K16" s="92">
        <f>(308.23+60.83)*10</f>
        <v>3690.6</v>
      </c>
      <c r="L16" s="92">
        <f>(14.62+4.41)*10</f>
        <v>190.3</v>
      </c>
      <c r="M16" s="92">
        <f>(63.56+24.4)*10</f>
        <v>879.60000000000014</v>
      </c>
    </row>
    <row r="17" spans="1:16">
      <c r="A17" s="60" t="s">
        <v>132</v>
      </c>
      <c r="B17" s="72">
        <f>Summary_Sheet_Cons!J20</f>
        <v>190.4</v>
      </c>
      <c r="C17" s="72">
        <v>753.2</v>
      </c>
      <c r="D17" s="72">
        <v>143.19999999999999</v>
      </c>
      <c r="E17" s="72">
        <v>679.9</v>
      </c>
      <c r="F17" s="72">
        <v>7.6</v>
      </c>
      <c r="H17" s="91" t="s">
        <v>133</v>
      </c>
      <c r="I17" s="92">
        <f>852.29*10</f>
        <v>8522.9</v>
      </c>
      <c r="J17" s="92">
        <f>2419.71*10</f>
        <v>24197.1</v>
      </c>
      <c r="K17" s="92">
        <f>3653.81*10</f>
        <v>36538.1</v>
      </c>
      <c r="L17" s="92">
        <f>2185.93*10</f>
        <v>21859.3</v>
      </c>
      <c r="M17" s="92">
        <f>458.41*10</f>
        <v>4584.1000000000004</v>
      </c>
    </row>
    <row r="18" spans="1:16">
      <c r="A18" s="60"/>
      <c r="B18" s="60"/>
      <c r="C18" s="60"/>
      <c r="D18" s="60"/>
      <c r="E18" s="60"/>
      <c r="F18" s="60"/>
      <c r="H18" s="91" t="s">
        <v>134</v>
      </c>
      <c r="I18" s="92">
        <f>Summary_Sheet_Cons!AE41</f>
        <v>4935.6000000000004</v>
      </c>
      <c r="J18" s="92">
        <f>(1582.15+9.22)*10</f>
        <v>15913.7</v>
      </c>
      <c r="K18" s="92">
        <f>(1197.55+173.1)*10</f>
        <v>13706.499999999998</v>
      </c>
      <c r="L18" s="92">
        <f>(636.72+0.92)*10</f>
        <v>6376.4</v>
      </c>
      <c r="M18" s="92">
        <f>234.54*10</f>
        <v>2345.4</v>
      </c>
      <c r="P18">
        <f>J14/C5*100</f>
        <v>52.833176912247772</v>
      </c>
    </row>
    <row r="19" spans="1:16">
      <c r="A19" s="60" t="s">
        <v>135</v>
      </c>
      <c r="B19" s="62">
        <f>Summary_Sheet_Cons!G19</f>
        <v>126.147108</v>
      </c>
      <c r="C19" s="60">
        <v>204.9</v>
      </c>
      <c r="D19" s="60">
        <v>819</v>
      </c>
      <c r="E19" s="60">
        <v>583.29999999999995</v>
      </c>
      <c r="F19" s="60">
        <v>250.3</v>
      </c>
      <c r="H19" s="91" t="s">
        <v>136</v>
      </c>
      <c r="I19" s="92">
        <f>Summary_Sheet_Cons!AC41</f>
        <v>3638.9</v>
      </c>
      <c r="J19" s="92">
        <f>(1481.62+8.25)*10</f>
        <v>14898.699999999999</v>
      </c>
      <c r="K19" s="92">
        <f>(890.24+148.36)*10</f>
        <v>10386</v>
      </c>
      <c r="L19" s="92">
        <f>(627.63+0.43)*10</f>
        <v>6280.5999999999995</v>
      </c>
      <c r="M19" s="92">
        <f>176.54*10</f>
        <v>1765.3999999999999</v>
      </c>
    </row>
    <row r="20" spans="1:16">
      <c r="A20" s="60" t="s">
        <v>137</v>
      </c>
      <c r="B20" s="62">
        <f>Summary_Sheet_Cons!G20</f>
        <v>149.360849</v>
      </c>
      <c r="C20" s="60">
        <v>45.74</v>
      </c>
      <c r="D20" s="60">
        <v>97.1</v>
      </c>
      <c r="E20" s="60">
        <v>114.97</v>
      </c>
      <c r="F20" s="60">
        <v>2.02</v>
      </c>
      <c r="H20" s="93" t="s">
        <v>138</v>
      </c>
      <c r="I20" s="94">
        <f>I11-I17-I7</f>
        <v>2103.1000000000022</v>
      </c>
      <c r="J20" s="94">
        <f>J11-J17-J7</f>
        <v>1863.1999999999989</v>
      </c>
      <c r="K20" s="94">
        <f>K11-K17-K7</f>
        <v>8983.0999999999985</v>
      </c>
      <c r="L20" s="94">
        <f>L11-L17-L7</f>
        <v>-8458.2999999999975</v>
      </c>
      <c r="M20" s="94">
        <f>M11-M17-M7</f>
        <v>4023</v>
      </c>
    </row>
    <row r="21" spans="1:16">
      <c r="A21" s="60"/>
      <c r="B21" s="60"/>
      <c r="C21" s="60"/>
      <c r="D21" s="60"/>
      <c r="E21" s="60"/>
      <c r="F21" s="60"/>
    </row>
    <row r="22" spans="1:16">
      <c r="A22" s="60" t="s">
        <v>139</v>
      </c>
      <c r="B22" s="60">
        <f>Summary_Sheet_Cons!J22</f>
        <v>1012.6999999999986</v>
      </c>
      <c r="C22" s="60">
        <v>1097.0999999999999</v>
      </c>
      <c r="D22" s="60">
        <v>4103.7</v>
      </c>
      <c r="E22" s="98">
        <v>2678.14</v>
      </c>
      <c r="F22" s="60">
        <v>879.4</v>
      </c>
    </row>
    <row r="23" spans="1:16">
      <c r="A23" s="60" t="s">
        <v>140</v>
      </c>
      <c r="B23" s="60">
        <f>Summary_Sheet_Cons!G22</f>
        <v>346.23829100000137</v>
      </c>
      <c r="C23" s="60">
        <v>1746.4</v>
      </c>
      <c r="D23" s="60">
        <v>4375.8999999999996</v>
      </c>
      <c r="E23" s="60">
        <v>-313.8</v>
      </c>
      <c r="F23" s="60">
        <v>1054.0999999999999</v>
      </c>
    </row>
    <row r="24" spans="1:16">
      <c r="A24" s="60"/>
      <c r="B24" s="60"/>
      <c r="C24" s="60"/>
      <c r="D24" s="60"/>
      <c r="E24" s="60"/>
      <c r="F24" s="60"/>
    </row>
    <row r="25" spans="1:16">
      <c r="A25" s="60" t="s">
        <v>197</v>
      </c>
      <c r="B25" s="62">
        <f>Summary_Sheet_Cons!J26</f>
        <v>659.09999999999854</v>
      </c>
      <c r="C25" s="60">
        <v>839</v>
      </c>
      <c r="D25" s="110">
        <f>'Peer Analysis'!D10</f>
        <v>2125</v>
      </c>
      <c r="E25" s="110">
        <f>'Peer Analysis'!E10</f>
        <v>3351</v>
      </c>
      <c r="F25" s="110">
        <f>'Peer Analysis'!F10</f>
        <v>704</v>
      </c>
      <c r="H25" s="60" t="s">
        <v>36</v>
      </c>
      <c r="I25" s="60" t="s">
        <v>112</v>
      </c>
      <c r="J25" s="60" t="s">
        <v>113</v>
      </c>
      <c r="K25" s="60" t="s">
        <v>114</v>
      </c>
      <c r="L25" s="60" t="s">
        <v>116</v>
      </c>
      <c r="M25" s="60" t="s">
        <v>115</v>
      </c>
    </row>
    <row r="26" spans="1:16">
      <c r="A26" s="60" t="s">
        <v>198</v>
      </c>
      <c r="B26" s="62">
        <f>Summary_Sheet_Cons!G26</f>
        <v>169.03086600000137</v>
      </c>
      <c r="C26" s="60">
        <v>1122</v>
      </c>
      <c r="D26" s="60">
        <v>2816</v>
      </c>
      <c r="E26" s="60">
        <v>2302.8000000000002</v>
      </c>
      <c r="F26" s="60">
        <v>446</v>
      </c>
      <c r="H26" s="60" t="s">
        <v>141</v>
      </c>
      <c r="I26" s="65">
        <v>14666659</v>
      </c>
      <c r="J26" s="65">
        <v>54690428</v>
      </c>
      <c r="K26" s="65">
        <v>119156300</v>
      </c>
      <c r="L26" s="65">
        <v>257945110</v>
      </c>
      <c r="M26" s="65">
        <v>182647850</v>
      </c>
    </row>
    <row r="27" spans="1:16">
      <c r="A27" s="86" t="s">
        <v>119</v>
      </c>
      <c r="B27" s="73">
        <f>((B25/B26)^(1/3)-1)</f>
        <v>0.57396509996591871</v>
      </c>
      <c r="C27" s="73">
        <f>((C25/C26)^(1/3)-1)</f>
        <v>-9.2340338885176676E-2</v>
      </c>
      <c r="D27" s="73">
        <f>((D25/D26)^(1/3)-1)</f>
        <v>-8.9579360721655288E-2</v>
      </c>
      <c r="E27" s="75">
        <f>((E25/E26)^(1/3)-1)</f>
        <v>0.13319870362484543</v>
      </c>
      <c r="F27" s="73">
        <f>((F25/F26)^(1/3)-1)</f>
        <v>0.16433852342602329</v>
      </c>
      <c r="H27" s="60" t="s">
        <v>142</v>
      </c>
      <c r="I27" s="85">
        <f>I26/1000000*I31</f>
        <v>5838.7969479000003</v>
      </c>
      <c r="J27" s="85">
        <f>J26/1000000*J31</f>
        <v>18157.222095999998</v>
      </c>
      <c r="K27" s="85">
        <f>K26/1000000*K31</f>
        <v>115819.92359999999</v>
      </c>
      <c r="L27" s="85">
        <f>L26/1000000*L31</f>
        <v>15708.857199</v>
      </c>
      <c r="M27" s="85">
        <f>M26/1000000*M31</f>
        <v>28310.41675</v>
      </c>
    </row>
    <row r="28" spans="1:16">
      <c r="A28" s="60"/>
      <c r="B28" s="60"/>
      <c r="C28" s="60"/>
      <c r="D28" s="60"/>
      <c r="E28" s="60"/>
      <c r="F28" s="60"/>
      <c r="H28" s="60" t="s">
        <v>15</v>
      </c>
      <c r="I28" s="86">
        <f>I8</f>
        <v>928</v>
      </c>
      <c r="J28" s="87">
        <f>J8</f>
        <v>5837</v>
      </c>
      <c r="K28" s="86">
        <f>K8</f>
        <v>2200.6999999999998</v>
      </c>
      <c r="L28" s="86">
        <f>L8</f>
        <v>16089.1</v>
      </c>
      <c r="M28" s="86">
        <f>M8</f>
        <v>0</v>
      </c>
    </row>
    <row r="29" spans="1:16">
      <c r="A29" s="60" t="s">
        <v>201</v>
      </c>
      <c r="B29" s="60">
        <v>56.99</v>
      </c>
      <c r="C29" s="60">
        <v>18.5</v>
      </c>
      <c r="D29" s="60">
        <v>28.9</v>
      </c>
      <c r="E29" s="60">
        <v>8.39</v>
      </c>
      <c r="F29" s="60">
        <v>3.74</v>
      </c>
      <c r="H29" s="60" t="s">
        <v>55</v>
      </c>
      <c r="I29" s="86">
        <f>I16</f>
        <v>2904.1000000000004</v>
      </c>
      <c r="J29" s="86">
        <f>J16</f>
        <v>1790.2</v>
      </c>
      <c r="K29" s="86">
        <f>K16</f>
        <v>3690.6</v>
      </c>
      <c r="L29" s="86">
        <f>L16</f>
        <v>190.3</v>
      </c>
      <c r="M29" s="86">
        <f>M16</f>
        <v>879.60000000000014</v>
      </c>
    </row>
    <row r="30" spans="1:16">
      <c r="H30" s="60" t="s">
        <v>21</v>
      </c>
      <c r="I30" s="88">
        <f>I27+I28-I29</f>
        <v>3862.6969478999999</v>
      </c>
      <c r="J30" s="88">
        <f>J27+J28-J29</f>
        <v>22204.022095999997</v>
      </c>
      <c r="K30" s="88">
        <f>K27+K28-K29</f>
        <v>114330.02359999999</v>
      </c>
      <c r="L30" s="88">
        <f>L27+L28-L29</f>
        <v>31607.657199000001</v>
      </c>
      <c r="M30" s="88">
        <f>M27+M28-M29</f>
        <v>27430.816750000002</v>
      </c>
    </row>
    <row r="31" spans="1:16">
      <c r="H31" s="60" t="s">
        <v>57</v>
      </c>
      <c r="I31" s="60">
        <v>398.1</v>
      </c>
      <c r="J31" s="60">
        <v>332</v>
      </c>
      <c r="K31" s="60">
        <v>972</v>
      </c>
      <c r="L31" s="60">
        <v>60.9</v>
      </c>
      <c r="M31" s="60">
        <v>155</v>
      </c>
    </row>
    <row r="32" spans="1:16">
      <c r="H32" s="60" t="s">
        <v>58</v>
      </c>
      <c r="I32" s="86">
        <f>B29</f>
        <v>56.99</v>
      </c>
      <c r="J32" s="86">
        <f>C29</f>
        <v>18.5</v>
      </c>
      <c r="K32" s="86">
        <f>D29</f>
        <v>28.9</v>
      </c>
      <c r="L32" s="86">
        <f>E29</f>
        <v>8.39</v>
      </c>
      <c r="M32" s="86">
        <f>F29</f>
        <v>3.74</v>
      </c>
    </row>
    <row r="33" spans="8:13">
      <c r="H33" s="60" t="s">
        <v>59</v>
      </c>
      <c r="I33" s="87">
        <f>I5*1000000/I26</f>
        <v>247.54103848736105</v>
      </c>
      <c r="J33" s="87">
        <f>J5*1000000/J26</f>
        <v>195.44736420786467</v>
      </c>
      <c r="K33" s="87">
        <f>K5*1000000/K26</f>
        <v>252.9694191578624</v>
      </c>
      <c r="L33" s="87">
        <f>L5*1000000/L26</f>
        <v>44.21560850678658</v>
      </c>
      <c r="M33" s="87">
        <f>M5*1000000/M26</f>
        <v>40.789968236691536</v>
      </c>
    </row>
    <row r="34" spans="8:13">
      <c r="H34" s="60" t="s">
        <v>61</v>
      </c>
      <c r="I34" s="85">
        <f>I31/I32</f>
        <v>6.9854360414107743</v>
      </c>
      <c r="J34" s="85">
        <f>J31/J32</f>
        <v>17.945945945945947</v>
      </c>
      <c r="K34" s="85">
        <f>K31/K32</f>
        <v>33.633217993079583</v>
      </c>
      <c r="L34" s="85">
        <f>L31/L32</f>
        <v>7.2586412395709168</v>
      </c>
      <c r="M34" s="85">
        <f>M31/M32</f>
        <v>41.443850267379673</v>
      </c>
    </row>
    <row r="35" spans="8:13">
      <c r="H35" s="60" t="s">
        <v>62</v>
      </c>
      <c r="I35" s="85">
        <f>I31/I33</f>
        <v>1.6082181864980993</v>
      </c>
      <c r="J35" s="85">
        <f>J31/J33</f>
        <v>1.6986670623345277</v>
      </c>
      <c r="K35" s="85">
        <f>K31/K33</f>
        <v>3.8423616705758237</v>
      </c>
      <c r="L35" s="85">
        <f>L31/L33</f>
        <v>1.3773416686248376</v>
      </c>
      <c r="M35" s="85">
        <f>M31/M33</f>
        <v>3.7999539274113445</v>
      </c>
    </row>
    <row r="36" spans="8:13">
      <c r="H36" s="60" t="s">
        <v>63</v>
      </c>
      <c r="I36" s="85">
        <f>I30/B12</f>
        <v>2.7610414209435339</v>
      </c>
      <c r="J36" s="85">
        <f>J30/C12</f>
        <v>10.22284626887661</v>
      </c>
      <c r="K36" s="85">
        <f>K30/D12</f>
        <v>28.146239192515999</v>
      </c>
      <c r="L36" s="85">
        <f>L30/E12</f>
        <v>5.8187881441458025</v>
      </c>
      <c r="M36" s="85">
        <f>M30/F12</f>
        <v>33.452215548780487</v>
      </c>
    </row>
    <row r="37" spans="8:13">
      <c r="H37" s="60" t="s">
        <v>64</v>
      </c>
      <c r="I37" s="73">
        <f>B25/I5</f>
        <v>0.18154024128243224</v>
      </c>
      <c r="J37" s="73">
        <f>C25/J5</f>
        <v>7.8491173251255944E-2</v>
      </c>
      <c r="K37" s="73">
        <f>D25/K5</f>
        <v>7.0497530098298442E-2</v>
      </c>
      <c r="L37" s="73">
        <f>E25/L5</f>
        <v>0.29381334829726791</v>
      </c>
      <c r="M37" s="73">
        <f>F25/M5</f>
        <v>9.4494107540737157E-2</v>
      </c>
    </row>
    <row r="38" spans="8:13">
      <c r="H38" s="60" t="s">
        <v>65</v>
      </c>
      <c r="I38" s="73">
        <f>(F12-F16)/I9</f>
        <v>0.18245625400604326</v>
      </c>
      <c r="J38" s="73">
        <v>0.13370000000000001</v>
      </c>
      <c r="K38" s="73">
        <v>0.16370000000000001</v>
      </c>
      <c r="L38" s="73">
        <v>0.19489999999999999</v>
      </c>
      <c r="M38" s="73">
        <v>0.1164</v>
      </c>
    </row>
    <row r="39" spans="8:13">
      <c r="H39" s="60" t="s">
        <v>66</v>
      </c>
      <c r="I39" s="85">
        <f>I8/I5</f>
        <v>0.2556051341376081</v>
      </c>
      <c r="J39" s="85">
        <f>J8/J5</f>
        <v>0.54607029590891654</v>
      </c>
      <c r="K39" s="85">
        <f>K8/K5</f>
        <v>7.3008900935211937E-2</v>
      </c>
      <c r="L39" s="85">
        <f>L8/L5</f>
        <v>1.4106810928348472</v>
      </c>
      <c r="M39" s="85">
        <f>M8/M5</f>
        <v>0</v>
      </c>
    </row>
    <row r="40" spans="8:13">
      <c r="H40" s="60" t="s">
        <v>67</v>
      </c>
      <c r="I40" s="85">
        <f>(I8-I16)/I5</f>
        <v>-0.54429019996694761</v>
      </c>
      <c r="J40" s="85">
        <f>(J8-J16)/J5</f>
        <v>0.37859127522429392</v>
      </c>
      <c r="K40" s="85">
        <f>(K8-K16)/K5</f>
        <v>-4.9427891808684635E-2</v>
      </c>
      <c r="L40" s="85">
        <f>(L8-L16)/L5</f>
        <v>1.3939957212499561</v>
      </c>
      <c r="M40" s="85">
        <f>(M8-M16)/M5</f>
        <v>-0.1180639445920915</v>
      </c>
    </row>
    <row r="41" spans="8:13">
      <c r="H41" s="60" t="s">
        <v>143</v>
      </c>
      <c r="I41" s="60">
        <v>4.5</v>
      </c>
      <c r="J41" s="60">
        <v>0</v>
      </c>
      <c r="K41" s="60">
        <v>7</v>
      </c>
      <c r="L41" s="60">
        <v>0</v>
      </c>
      <c r="M41" s="60">
        <v>1.62</v>
      </c>
    </row>
    <row r="42" spans="8:13">
      <c r="H42" s="91" t="s">
        <v>68</v>
      </c>
      <c r="I42" s="94">
        <f>I41/I31</f>
        <v>1.1303692539562923E-2</v>
      </c>
      <c r="J42" s="94">
        <f>J41/J31</f>
        <v>0</v>
      </c>
      <c r="K42" s="94">
        <f>K41/K31</f>
        <v>7.2016460905349796E-3</v>
      </c>
      <c r="L42" s="94">
        <f>L41/L31</f>
        <v>0</v>
      </c>
      <c r="M42" s="94">
        <f>M41/M31</f>
        <v>1.0451612903225807E-2</v>
      </c>
    </row>
    <row r="43" spans="8:13">
      <c r="H43" s="91" t="s">
        <v>45</v>
      </c>
      <c r="I43" s="95">
        <f>AVERAGE(I14:I15)/B5*365</f>
        <v>135.23572202911521</v>
      </c>
      <c r="J43" s="95">
        <f>AVERAGE(J14:J15)/C5*365</f>
        <v>271.7067593461598</v>
      </c>
      <c r="K43" s="95">
        <f>AVERAGE(K14:K15)/D5*365</f>
        <v>83.470512798143531</v>
      </c>
      <c r="L43" s="95">
        <f>AVERAGE(L14:L15)/E5*365</f>
        <v>24.987107244286165</v>
      </c>
      <c r="M43" s="95">
        <f>AVERAGE(M14:M15)/F5*365</f>
        <v>93.84321228038398</v>
      </c>
    </row>
    <row r="44" spans="8:13">
      <c r="H44" s="91" t="s">
        <v>46</v>
      </c>
      <c r="I44" s="95">
        <f>AVERAGE(I18:I19)/B9*365</f>
        <v>148.2255001326109</v>
      </c>
      <c r="J44" s="95">
        <f>AVERAGE(J18:J19)/C9*365</f>
        <v>265.42102878288705</v>
      </c>
      <c r="K44" s="95">
        <f>AVERAGE(K18:K19)/D9*365</f>
        <v>131.06317701905937</v>
      </c>
      <c r="L44" s="95">
        <f>AVERAGE(L18:L19)/E9*365</f>
        <v>83.355375926961727</v>
      </c>
      <c r="M44" s="95">
        <f>AVERAGE(M18:M19)/F9*365</f>
        <v>124.76028137628258</v>
      </c>
    </row>
    <row r="45" spans="8:13">
      <c r="H45" s="91" t="s">
        <v>48</v>
      </c>
      <c r="I45" s="95">
        <f>AVERAGE(I12:I13)/(B9+B10)*365</f>
        <v>40.781455917628207</v>
      </c>
      <c r="J45" s="95">
        <f>AVERAGE(J12:J13)/(C9+C10)*365</f>
        <v>4.6095374128494866</v>
      </c>
      <c r="K45" s="95">
        <f>AVERAGE(K12:K13)/(D9+D10)*365</f>
        <v>47.872905408847998</v>
      </c>
      <c r="L45" s="95">
        <f>AVERAGE(L12:L13)/(E9+E10)*365</f>
        <v>302.44635486458748</v>
      </c>
      <c r="M45" s="95">
        <f>AVERAGE(M12:M13)/(F9+F10)*365</f>
        <v>62.028981346283196</v>
      </c>
    </row>
    <row r="46" spans="8:13">
      <c r="H46" s="91" t="s">
        <v>144</v>
      </c>
      <c r="I46" s="95">
        <f>I43+I45-I44</f>
        <v>27.791677814132498</v>
      </c>
      <c r="J46" s="95">
        <f>J43+J45-J44</f>
        <v>10.895267976122227</v>
      </c>
      <c r="K46" s="95">
        <f>K43+K45-K44</f>
        <v>0.28024118793217667</v>
      </c>
      <c r="L46" s="95">
        <f>L43+L45-L44</f>
        <v>244.07808618191191</v>
      </c>
      <c r="M46" s="95">
        <f>M43+M45-M44</f>
        <v>31.111912250384606</v>
      </c>
    </row>
    <row r="47" spans="8:13">
      <c r="H47" s="91" t="s">
        <v>50</v>
      </c>
      <c r="I47" s="94">
        <v>51.08</v>
      </c>
      <c r="J47" s="94">
        <v>174</v>
      </c>
      <c r="K47" s="94">
        <v>72</v>
      </c>
      <c r="L47" s="94">
        <v>155</v>
      </c>
      <c r="M47" s="94">
        <v>81</v>
      </c>
    </row>
    <row r="48" spans="8:13">
      <c r="H48" s="91" t="s">
        <v>145</v>
      </c>
      <c r="I48" s="96">
        <f>B17/I8</f>
        <v>0.20517241379310344</v>
      </c>
      <c r="J48" s="96">
        <f>C17/J8</f>
        <v>0.12903888984067158</v>
      </c>
      <c r="K48" s="96">
        <f>D17/K8</f>
        <v>6.5070204934793471E-2</v>
      </c>
      <c r="L48" s="96">
        <f>E17/L8</f>
        <v>4.225842340466527E-2</v>
      </c>
      <c r="M48" s="96" t="s">
        <v>178</v>
      </c>
    </row>
    <row r="49" spans="8:13">
      <c r="H49" s="60" t="s">
        <v>146</v>
      </c>
      <c r="I49" s="85">
        <f>(I10+I11)/B5</f>
        <v>1.1665261382799328</v>
      </c>
      <c r="J49" s="85">
        <f>(J10+J11)/C5</f>
        <v>1.4775965900203347</v>
      </c>
      <c r="K49" s="85">
        <f>(K10+K11)/D5</f>
        <v>1.1864568248041456</v>
      </c>
      <c r="L49" s="85">
        <f>(L10+L11)/E5</f>
        <v>0.85764774827570667</v>
      </c>
      <c r="M49" s="85">
        <f>(M10+M11)/F5</f>
        <v>1.1292972287629053</v>
      </c>
    </row>
    <row r="50" spans="8:13">
      <c r="H50" s="60" t="s">
        <v>147</v>
      </c>
      <c r="I50" s="85">
        <f>(B22+B17)/B17</f>
        <v>6.3188025210083953</v>
      </c>
      <c r="J50" s="85">
        <f>(C22+C17)/C17</f>
        <v>2.4565852363250129</v>
      </c>
      <c r="K50" s="85">
        <v>35.979999999999997</v>
      </c>
      <c r="L50" s="85">
        <v>4.6399999999999997</v>
      </c>
      <c r="M50" s="85">
        <f>(F22+F17)/F17</f>
        <v>116.71052631578948</v>
      </c>
    </row>
  </sheetData>
  <pageMargins left="0.7" right="0.7" top="0.75" bottom="0.75" header="0.3" footer="0.3"/>
  <pageSetup paperSize="9" scale="67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52"/>
  <sheetViews>
    <sheetView topLeftCell="A7" workbookViewId="0">
      <selection sqref="A1:F1"/>
    </sheetView>
  </sheetViews>
  <sheetFormatPr defaultRowHeight="14.4"/>
  <cols>
    <col min="1" max="1" width="23.33203125" bestFit="1" customWidth="1"/>
    <col min="2" max="2" width="19" bestFit="1" customWidth="1"/>
    <col min="3" max="3" width="16.5546875" bestFit="1" customWidth="1"/>
    <col min="4" max="4" width="17.88671875" bestFit="1" customWidth="1"/>
    <col min="5" max="6" width="16.5546875" bestFit="1" customWidth="1"/>
    <col min="9" max="10" width="10" bestFit="1" customWidth="1"/>
    <col min="12" max="12" width="8.6640625" customWidth="1"/>
  </cols>
  <sheetData>
    <row r="1" spans="1:6" ht="15.6">
      <c r="A1" s="400" t="s">
        <v>148</v>
      </c>
      <c r="B1" s="400"/>
      <c r="C1" s="400"/>
      <c r="D1" s="400"/>
      <c r="E1" s="400"/>
      <c r="F1" s="400"/>
    </row>
    <row r="2" spans="1:6" ht="15.6">
      <c r="A2" s="76"/>
      <c r="B2" s="76" t="s">
        <v>149</v>
      </c>
      <c r="C2" s="76" t="s">
        <v>150</v>
      </c>
      <c r="D2" s="76" t="s">
        <v>114</v>
      </c>
      <c r="E2" s="76" t="s">
        <v>116</v>
      </c>
      <c r="F2" s="76" t="s">
        <v>115</v>
      </c>
    </row>
    <row r="3" spans="1:6" ht="15.6">
      <c r="A3" s="399" t="s">
        <v>177</v>
      </c>
      <c r="B3" s="399"/>
      <c r="C3" s="399"/>
      <c r="D3" s="399"/>
      <c r="E3" s="399"/>
      <c r="F3" s="399"/>
    </row>
    <row r="4" spans="1:6" ht="15.6">
      <c r="A4" s="77" t="s">
        <v>0</v>
      </c>
      <c r="B4" s="77"/>
      <c r="C4" s="77"/>
      <c r="D4" s="77"/>
      <c r="E4" s="77"/>
      <c r="F4" s="77"/>
    </row>
    <row r="5" spans="1:6" ht="15.6">
      <c r="A5" s="77" t="s">
        <v>151</v>
      </c>
      <c r="B5" s="103">
        <f>Summary_Sheet_Cons!K5</f>
        <v>14798.3</v>
      </c>
      <c r="C5" s="103">
        <v>25572</v>
      </c>
      <c r="D5" s="103">
        <v>57313</v>
      </c>
      <c r="E5" s="103">
        <v>44366</v>
      </c>
      <c r="F5" s="103">
        <v>11042</v>
      </c>
    </row>
    <row r="6" spans="1:6" ht="15.6">
      <c r="A6" s="77" t="s">
        <v>152</v>
      </c>
      <c r="B6" s="104">
        <f>Summary_Sheet_Cons!K8</f>
        <v>0.12217179515443854</v>
      </c>
      <c r="C6" s="104">
        <f>Workings!C7</f>
        <v>-7.2783201044789414E-2</v>
      </c>
      <c r="D6" s="104">
        <f>Workings!D7</f>
        <v>7.6851085079985282E-2</v>
      </c>
      <c r="E6" s="104">
        <f>Workings!E7</f>
        <v>0.14499346613486241</v>
      </c>
      <c r="F6" s="104">
        <f>Workings!F7</f>
        <v>5.3059435040732517E-2</v>
      </c>
    </row>
    <row r="7" spans="1:6" ht="15.6">
      <c r="A7" s="77" t="s">
        <v>20</v>
      </c>
      <c r="B7" s="79">
        <f>Summary_Sheet_Cons!K15</f>
        <v>1345.8000000000011</v>
      </c>
      <c r="C7" s="79">
        <v>2172</v>
      </c>
      <c r="D7" s="79">
        <v>4062</v>
      </c>
      <c r="E7" s="79">
        <v>5432</v>
      </c>
      <c r="F7" s="79">
        <v>820</v>
      </c>
    </row>
    <row r="8" spans="1:6" ht="15.6">
      <c r="A8" s="77" t="s">
        <v>152</v>
      </c>
      <c r="B8" s="78">
        <f>Summary_Sheet_Cons!K17</f>
        <v>0.24588482417298563</v>
      </c>
      <c r="C8" s="78">
        <f>Workings!C14</f>
        <v>-9.8664527136703928E-2</v>
      </c>
      <c r="D8" s="78">
        <f>Workings!D14</f>
        <v>0.17597985384783854</v>
      </c>
      <c r="E8" s="78">
        <f>Workings!E14</f>
        <v>0.23979910159572815</v>
      </c>
      <c r="F8" s="78">
        <f>Workings!F14</f>
        <v>0.16106130462317148</v>
      </c>
    </row>
    <row r="9" spans="1:6" ht="15.6">
      <c r="A9" s="77" t="s">
        <v>153</v>
      </c>
      <c r="B9" s="104">
        <f>Summary_Sheet_Cons!K18</f>
        <v>9.0942878573890329E-2</v>
      </c>
      <c r="C9" s="104">
        <f>C7/C5</f>
        <v>8.4936649460347249E-2</v>
      </c>
      <c r="D9" s="104">
        <f>D7/D5</f>
        <v>7.0873972746148345E-2</v>
      </c>
      <c r="E9" s="104">
        <f>E7/E5</f>
        <v>0.12243609971599874</v>
      </c>
      <c r="F9" s="104">
        <f>F7/F5</f>
        <v>7.4261909074443036E-2</v>
      </c>
    </row>
    <row r="10" spans="1:6" ht="15.6">
      <c r="A10" s="77" t="s">
        <v>29</v>
      </c>
      <c r="B10" s="79">
        <f>Summary_Sheet_Cons!K26</f>
        <v>941.50000000000114</v>
      </c>
      <c r="C10" s="79">
        <v>839</v>
      </c>
      <c r="D10" s="79">
        <v>2125</v>
      </c>
      <c r="E10" s="79">
        <v>3351</v>
      </c>
      <c r="F10" s="79">
        <v>704</v>
      </c>
    </row>
    <row r="11" spans="1:6" ht="15.6">
      <c r="A11" s="77" t="s">
        <v>152</v>
      </c>
      <c r="B11" s="78">
        <f>Summary_Sheet_Cons!K32</f>
        <v>0.48277200707378776</v>
      </c>
      <c r="C11" s="78">
        <f>Workings!C27</f>
        <v>-9.2340338885176676E-2</v>
      </c>
      <c r="D11" s="78">
        <f>Workings!D27</f>
        <v>-8.9579360721655288E-2</v>
      </c>
      <c r="E11" s="78">
        <f>Workings!E27</f>
        <v>0.13319870362484543</v>
      </c>
      <c r="F11" s="78">
        <f>Workings!F27</f>
        <v>0.16433852342602329</v>
      </c>
    </row>
    <row r="12" spans="1:6" ht="15.6">
      <c r="A12" s="77" t="s">
        <v>154</v>
      </c>
      <c r="B12" s="78">
        <f>Summary_Sheet_Cons!K30</f>
        <v>6.3622172817147993E-2</v>
      </c>
      <c r="C12" s="78">
        <f>C10/C5</f>
        <v>3.2809322696699512E-2</v>
      </c>
      <c r="D12" s="78">
        <f>D10/D5</f>
        <v>3.7077102926037719E-2</v>
      </c>
      <c r="E12" s="78">
        <f>E10/E5</f>
        <v>7.5530811882973448E-2</v>
      </c>
      <c r="F12" s="78">
        <f>F10/F5</f>
        <v>6.3756565839521828E-2</v>
      </c>
    </row>
    <row r="13" spans="1:6" ht="15.6">
      <c r="A13" s="77" t="s">
        <v>33</v>
      </c>
      <c r="B13" s="81">
        <f>Summary_Sheet_Cons!K35</f>
        <v>8.01</v>
      </c>
      <c r="C13" s="77">
        <v>19.3</v>
      </c>
      <c r="D13" s="77">
        <v>18.87</v>
      </c>
      <c r="E13" s="77">
        <v>13.32</v>
      </c>
      <c r="F13" s="77">
        <v>3.85</v>
      </c>
    </row>
    <row r="14" spans="1:6" ht="15.6">
      <c r="A14" s="77"/>
      <c r="B14" s="77"/>
      <c r="C14" s="77"/>
      <c r="D14" s="77"/>
      <c r="E14" s="77"/>
      <c r="F14" s="77"/>
    </row>
    <row r="15" spans="1:6" ht="15.6">
      <c r="A15" s="77"/>
      <c r="B15" s="77"/>
      <c r="C15" s="77"/>
      <c r="D15" s="77"/>
      <c r="E15" s="77"/>
      <c r="F15" s="77"/>
    </row>
    <row r="16" spans="1:6" ht="15.6">
      <c r="A16" s="399" t="s">
        <v>155</v>
      </c>
      <c r="B16" s="399"/>
      <c r="C16" s="399"/>
      <c r="D16" s="399"/>
      <c r="E16" s="399"/>
      <c r="F16" s="399"/>
    </row>
    <row r="17" spans="1:10" ht="15.6">
      <c r="A17" s="77" t="s">
        <v>156</v>
      </c>
      <c r="B17" s="90">
        <f>Summary_Sheet_Cons!AE7</f>
        <v>3630.6000000000004</v>
      </c>
      <c r="C17" s="90">
        <v>11721.8</v>
      </c>
      <c r="D17" s="90">
        <v>30279</v>
      </c>
      <c r="E17" s="90">
        <v>13386.6</v>
      </c>
      <c r="F17" s="90">
        <v>7199.2</v>
      </c>
      <c r="J17">
        <f>18600+5254</f>
        <v>23854</v>
      </c>
    </row>
    <row r="18" spans="1:10" ht="15.6">
      <c r="A18" s="77" t="s">
        <v>15</v>
      </c>
      <c r="B18" s="90">
        <f>Summary_Sheet_Cons!AE10</f>
        <v>910.02700000000004</v>
      </c>
      <c r="C18" s="90">
        <f>C19+C20</f>
        <v>4824.5</v>
      </c>
      <c r="D18" s="90">
        <f>D19+D20</f>
        <v>2115.4</v>
      </c>
      <c r="E18" s="90">
        <f>E19+E20</f>
        <v>13870.4</v>
      </c>
      <c r="F18" s="90">
        <f>F19+F20</f>
        <v>0</v>
      </c>
    </row>
    <row r="19" spans="1:10" ht="15.6">
      <c r="A19" s="80" t="s">
        <v>157</v>
      </c>
      <c r="B19" s="90">
        <f>Summary_Sheet_Cons!AE8</f>
        <v>187.52699999999999</v>
      </c>
      <c r="C19" s="90">
        <v>296.8</v>
      </c>
      <c r="D19" s="90">
        <v>333.9</v>
      </c>
      <c r="E19" s="90">
        <v>4436</v>
      </c>
      <c r="F19" s="90">
        <f>Workings!M6</f>
        <v>0</v>
      </c>
      <c r="J19">
        <f>14300+850+980+1300+1100+580</f>
        <v>19110</v>
      </c>
    </row>
    <row r="20" spans="1:10" ht="15.6">
      <c r="A20" s="80" t="s">
        <v>74</v>
      </c>
      <c r="B20" s="90">
        <f>Summary_Sheet_Cons!AE9</f>
        <v>722.5</v>
      </c>
      <c r="C20" s="90">
        <v>4527.7</v>
      </c>
      <c r="D20" s="90">
        <v>1781.5</v>
      </c>
      <c r="E20" s="90">
        <v>9434.4</v>
      </c>
      <c r="F20" s="90">
        <f>Workings!M7</f>
        <v>0</v>
      </c>
    </row>
    <row r="21" spans="1:10" ht="15.6">
      <c r="A21" s="77"/>
      <c r="B21" s="77"/>
      <c r="C21" s="77"/>
      <c r="D21" s="77"/>
      <c r="E21" s="77"/>
      <c r="F21" s="77"/>
    </row>
    <row r="22" spans="1:10" ht="15.6">
      <c r="A22" s="77"/>
      <c r="B22" s="77"/>
      <c r="C22" s="77"/>
      <c r="D22" s="77"/>
      <c r="E22" s="77"/>
      <c r="F22" s="77"/>
    </row>
    <row r="23" spans="1:10" ht="15.6">
      <c r="A23" s="399" t="s">
        <v>35</v>
      </c>
      <c r="B23" s="399"/>
      <c r="C23" s="399"/>
      <c r="D23" s="399"/>
      <c r="E23" s="399"/>
      <c r="F23" s="399"/>
    </row>
    <row r="24" spans="1:10" ht="15.6">
      <c r="A24" s="77" t="s">
        <v>158</v>
      </c>
      <c r="B24" s="77">
        <f>Summary_Sheet_Cons!K49</f>
        <v>979.30000000000086</v>
      </c>
      <c r="C24" s="77">
        <v>2447.6</v>
      </c>
      <c r="D24" s="77">
        <v>3255.8</v>
      </c>
      <c r="E24" s="77">
        <v>5103.1000000000004</v>
      </c>
      <c r="F24" s="77">
        <v>146.69999999999999</v>
      </c>
    </row>
    <row r="25" spans="1:10" ht="15.6">
      <c r="A25" s="77" t="s">
        <v>51</v>
      </c>
      <c r="B25" s="81">
        <f>Summary_Sheet_Cons!K51</f>
        <v>662.40400000000091</v>
      </c>
      <c r="C25" s="81">
        <f>C24-297.3</f>
        <v>2150.2999999999997</v>
      </c>
      <c r="D25" s="81">
        <f>D24-1685.1</f>
        <v>1570.7000000000003</v>
      </c>
      <c r="E25" s="81">
        <f>E24-1072.4</f>
        <v>4030.7000000000003</v>
      </c>
      <c r="F25" s="77">
        <f>F24+620.7</f>
        <v>767.40000000000009</v>
      </c>
    </row>
    <row r="26" spans="1:10" ht="15.6">
      <c r="A26" s="77"/>
      <c r="B26" s="77"/>
      <c r="C26" s="77"/>
      <c r="D26" s="77"/>
      <c r="E26" s="77"/>
      <c r="F26" s="77"/>
    </row>
    <row r="27" spans="1:10" ht="15.6">
      <c r="A27" s="77" t="s">
        <v>142</v>
      </c>
      <c r="B27" s="90">
        <f>Summary_Sheet_Cons!K54</f>
        <v>879.50399999999991</v>
      </c>
      <c r="C27" s="90">
        <v>4525</v>
      </c>
      <c r="D27" s="90">
        <v>88116</v>
      </c>
      <c r="E27" s="90">
        <v>9062</v>
      </c>
      <c r="F27" s="90">
        <v>10082</v>
      </c>
    </row>
    <row r="28" spans="1:10" ht="15.6">
      <c r="A28" s="77" t="s">
        <v>159</v>
      </c>
      <c r="B28" s="81">
        <f>Summary_Sheet_Cons!K57</f>
        <v>-1941.3690000000001</v>
      </c>
      <c r="C28" s="81">
        <f>C27+C18-M43</f>
        <v>6144.1</v>
      </c>
      <c r="D28" s="81">
        <v>80622.100000000006</v>
      </c>
      <c r="E28" s="81">
        <v>22602.3</v>
      </c>
      <c r="F28" s="81">
        <v>9596</v>
      </c>
      <c r="J28" s="106"/>
    </row>
    <row r="29" spans="1:10" ht="15.6">
      <c r="A29" s="77"/>
      <c r="B29" s="77"/>
      <c r="C29" s="77"/>
      <c r="D29" s="77"/>
      <c r="E29" s="401"/>
      <c r="F29" s="401"/>
      <c r="H29" s="106">
        <f>F27-L43</f>
        <v>9588.9</v>
      </c>
      <c r="I29" s="106"/>
    </row>
    <row r="30" spans="1:10" ht="15.6">
      <c r="A30" s="77"/>
      <c r="B30" s="77"/>
      <c r="C30" s="77"/>
      <c r="D30" s="77"/>
      <c r="E30" s="401"/>
      <c r="F30" s="401"/>
    </row>
    <row r="31" spans="1:10" ht="15.6">
      <c r="A31" s="399" t="s">
        <v>160</v>
      </c>
      <c r="B31" s="399"/>
      <c r="C31" s="399"/>
      <c r="D31" s="399"/>
      <c r="E31" s="399"/>
      <c r="F31" s="399"/>
    </row>
    <row r="32" spans="1:10" ht="15.6">
      <c r="A32" s="77" t="s">
        <v>161</v>
      </c>
      <c r="B32" s="97">
        <f>Summary_Sheet_Cons!AE65</f>
        <v>7.5205992509363293</v>
      </c>
      <c r="C32" s="97">
        <f>C38/C13</f>
        <v>4.2875647668393784</v>
      </c>
      <c r="D32" s="97">
        <f>D38/D13</f>
        <v>39.189189189189186</v>
      </c>
      <c r="E32" s="97">
        <f>E38/E13</f>
        <v>2.7439939939939939</v>
      </c>
      <c r="F32" s="97">
        <f>F38/F13</f>
        <v>14.618181818181817</v>
      </c>
    </row>
    <row r="33" spans="1:13" ht="15.6">
      <c r="A33" s="77" t="s">
        <v>68</v>
      </c>
      <c r="B33" s="105">
        <f>Summary_Sheet_Cons!AE73</f>
        <v>2.4900398406374504E-2</v>
      </c>
      <c r="C33" s="105">
        <f>Workings!J42</f>
        <v>0</v>
      </c>
      <c r="D33" s="105">
        <v>9.1999999999999998E-3</v>
      </c>
      <c r="E33" s="105">
        <v>1.95E-2</v>
      </c>
      <c r="F33" s="105">
        <v>4.1399999999999999E-2</v>
      </c>
    </row>
    <row r="34" spans="1:13" ht="15.6">
      <c r="A34" s="77" t="s">
        <v>162</v>
      </c>
      <c r="B34" s="90">
        <f>Summary_Sheet_Cons!AE66</f>
        <v>0.23610841183275488</v>
      </c>
      <c r="C34" s="90">
        <f>C38/C40</f>
        <v>0.38615443020696483</v>
      </c>
      <c r="D34" s="90">
        <v>3</v>
      </c>
      <c r="E34" s="90">
        <v>1.04</v>
      </c>
      <c r="F34" s="90">
        <v>1.66</v>
      </c>
    </row>
    <row r="35" spans="1:13" ht="15.6">
      <c r="A35" s="77" t="s">
        <v>163</v>
      </c>
      <c r="B35" s="81">
        <f>Summary_Sheet_Cons!K57/Summary_Sheet_Cons!K15</f>
        <v>-1.4425390102541229</v>
      </c>
      <c r="C35" s="81">
        <f>C28/C7</f>
        <v>2.8287753222836098</v>
      </c>
      <c r="D35" s="81">
        <f>D28/D7</f>
        <v>19.84788281634663</v>
      </c>
      <c r="E35" s="81">
        <f>E28/E7</f>
        <v>4.1609536082474223</v>
      </c>
      <c r="F35" s="81">
        <f>F28/F7</f>
        <v>11.702439024390245</v>
      </c>
    </row>
    <row r="36" spans="1:13" ht="15.6">
      <c r="A36" s="77"/>
      <c r="B36" s="77"/>
      <c r="C36" s="77"/>
      <c r="D36" s="77"/>
      <c r="E36" s="77"/>
      <c r="F36" s="77"/>
    </row>
    <row r="37" spans="1:13" ht="15.6">
      <c r="A37" s="399" t="s">
        <v>164</v>
      </c>
      <c r="B37" s="399"/>
      <c r="C37" s="399"/>
      <c r="D37" s="399"/>
      <c r="E37" s="399"/>
      <c r="F37" s="399"/>
      <c r="M37" t="s">
        <v>200</v>
      </c>
    </row>
    <row r="38" spans="1:13" ht="15.6">
      <c r="A38" s="77" t="s">
        <v>165</v>
      </c>
      <c r="B38" s="81">
        <f>Summary_Sheet_Cons!AE61</f>
        <v>60.239999999999995</v>
      </c>
      <c r="C38" s="77">
        <v>82.75</v>
      </c>
      <c r="D38" s="77">
        <v>739.5</v>
      </c>
      <c r="E38" s="77">
        <v>36.549999999999997</v>
      </c>
      <c r="F38" s="77">
        <v>56.28</v>
      </c>
      <c r="I38" s="107"/>
      <c r="M38" t="s">
        <v>199</v>
      </c>
    </row>
    <row r="39" spans="1:13" ht="15.6">
      <c r="A39" s="77" t="s">
        <v>166</v>
      </c>
      <c r="B39" s="81">
        <f>Summary_Sheet_Cons!AE7</f>
        <v>3630.6000000000004</v>
      </c>
      <c r="C39" s="81">
        <f>C17</f>
        <v>11721.8</v>
      </c>
      <c r="D39" s="81">
        <f>D17</f>
        <v>30279</v>
      </c>
      <c r="E39" s="81">
        <f>E17</f>
        <v>13386.6</v>
      </c>
      <c r="F39" s="81">
        <f>F17</f>
        <v>7199.2</v>
      </c>
    </row>
    <row r="40" spans="1:13" ht="15.6">
      <c r="A40" s="77" t="s">
        <v>167</v>
      </c>
      <c r="B40" s="81">
        <f>Summary_Sheet_Cons!AE63</f>
        <v>255.13703443429375</v>
      </c>
      <c r="C40" s="81">
        <f>C39/54.7</f>
        <v>214.2925045703839</v>
      </c>
      <c r="D40" s="81">
        <f>D39/112.6</f>
        <v>268.90763765541743</v>
      </c>
      <c r="E40" s="81">
        <f>E39/257.95</f>
        <v>51.896103896103902</v>
      </c>
      <c r="F40" s="81">
        <f>F39/180.75</f>
        <v>39.829598893499309</v>
      </c>
    </row>
    <row r="41" spans="1:13" ht="15.6">
      <c r="A41" s="77" t="s">
        <v>168</v>
      </c>
      <c r="B41" s="104">
        <f>Summary_Sheet_Cons!AE69</f>
        <v>0.25932352779154988</v>
      </c>
      <c r="C41" s="104">
        <f>C10/C17</f>
        <v>7.157603780989269E-2</v>
      </c>
      <c r="D41" s="104">
        <f>D10/D17</f>
        <v>7.0180653258033618E-2</v>
      </c>
      <c r="E41" s="104">
        <v>0.25030000000000002</v>
      </c>
      <c r="F41" s="104">
        <f>F10/F17</f>
        <v>9.7788643182575838E-2</v>
      </c>
      <c r="J41" t="s">
        <v>55</v>
      </c>
    </row>
    <row r="42" spans="1:13" ht="15.6">
      <c r="A42" s="77" t="s">
        <v>169</v>
      </c>
      <c r="B42" s="78">
        <f>Summary_Sheet_Cons!AE70</f>
        <v>0.2525071079443445</v>
      </c>
      <c r="C42" s="78">
        <f>Workings!J38</f>
        <v>0.13370000000000001</v>
      </c>
      <c r="D42" s="78">
        <v>0.1229</v>
      </c>
      <c r="E42" s="78">
        <v>0.26019999999999999</v>
      </c>
      <c r="F42" s="78">
        <v>0.11459999999999999</v>
      </c>
      <c r="J42" t="s">
        <v>114</v>
      </c>
      <c r="K42" t="s">
        <v>190</v>
      </c>
      <c r="L42" t="s">
        <v>192</v>
      </c>
      <c r="M42" t="s">
        <v>202</v>
      </c>
    </row>
    <row r="43" spans="1:13" ht="15.6">
      <c r="A43" s="77" t="s">
        <v>72</v>
      </c>
      <c r="B43" s="83">
        <f>Summary_Sheet_Cons!AE68</f>
        <v>9.4017512137911563</v>
      </c>
      <c r="C43" s="83">
        <f>Workings!J49</f>
        <v>1.4775965900203347</v>
      </c>
      <c r="D43" s="108">
        <v>3</v>
      </c>
      <c r="E43" s="83">
        <v>3.06</v>
      </c>
      <c r="F43" s="83">
        <v>2.12</v>
      </c>
      <c r="G43" t="s">
        <v>188</v>
      </c>
      <c r="J43">
        <v>4761</v>
      </c>
      <c r="K43">
        <f>320.4+8.4</f>
        <v>328.79999999999995</v>
      </c>
      <c r="L43">
        <f>458.4+34.7</f>
        <v>493.09999999999997</v>
      </c>
      <c r="M43">
        <f>2489.1+716.3</f>
        <v>3205.3999999999996</v>
      </c>
    </row>
    <row r="44" spans="1:13" ht="15.6">
      <c r="A44" s="77" t="s">
        <v>170</v>
      </c>
      <c r="B44" s="102" t="e">
        <f>Summary_Sheet_Cons!#REF!</f>
        <v>#REF!</v>
      </c>
      <c r="C44" s="102">
        <f>Workings!J43</f>
        <v>271.7067593461598</v>
      </c>
      <c r="D44" s="102">
        <v>80.09</v>
      </c>
      <c r="E44" s="102">
        <v>35.17</v>
      </c>
      <c r="F44" s="102">
        <v>96.29</v>
      </c>
      <c r="J44" t="s">
        <v>24</v>
      </c>
    </row>
    <row r="45" spans="1:13" ht="15.6">
      <c r="A45" s="77" t="s">
        <v>48</v>
      </c>
      <c r="B45" s="102" t="e">
        <f>Summary_Sheet_Cons!#REF!</f>
        <v>#REF!</v>
      </c>
      <c r="C45" s="102">
        <f>Workings!J45</f>
        <v>4.6095374128494866</v>
      </c>
      <c r="D45" s="102">
        <v>26.74</v>
      </c>
      <c r="E45" s="102">
        <v>214.12</v>
      </c>
      <c r="F45" s="102">
        <v>35.130000000000003</v>
      </c>
      <c r="J45" t="s">
        <v>114</v>
      </c>
      <c r="K45" t="s">
        <v>191</v>
      </c>
      <c r="L45" t="s">
        <v>192</v>
      </c>
      <c r="M45" t="s">
        <v>202</v>
      </c>
    </row>
    <row r="46" spans="1:13" ht="15.6">
      <c r="A46" s="77" t="s">
        <v>171</v>
      </c>
      <c r="B46" s="102" t="e">
        <f>Summary_Sheet_Cons!#REF!</f>
        <v>#REF!</v>
      </c>
      <c r="C46" s="102">
        <f>Workings!J44</f>
        <v>265.42102878288705</v>
      </c>
      <c r="D46" s="102">
        <v>83.4</v>
      </c>
      <c r="E46" s="102">
        <v>70.64</v>
      </c>
      <c r="F46" s="102">
        <v>81.93</v>
      </c>
      <c r="J46">
        <v>49</v>
      </c>
      <c r="K46">
        <v>793.3</v>
      </c>
      <c r="L46">
        <v>7.9</v>
      </c>
      <c r="M46">
        <v>272.60000000000002</v>
      </c>
    </row>
    <row r="47" spans="1:13" ht="15.6">
      <c r="A47" s="77" t="s">
        <v>172</v>
      </c>
      <c r="B47" s="102">
        <f>Summary_Sheet_Cons!AE74</f>
        <v>31</v>
      </c>
      <c r="C47" s="102">
        <f>Workings!J46</f>
        <v>10.895267976122227</v>
      </c>
      <c r="D47" s="102">
        <v>23.45</v>
      </c>
      <c r="E47" s="102">
        <v>178.66</v>
      </c>
      <c r="F47" s="102">
        <v>49.49</v>
      </c>
    </row>
    <row r="48" spans="1:13" ht="15.6">
      <c r="A48" s="77" t="s">
        <v>173</v>
      </c>
      <c r="B48" s="82">
        <f>Summary_Sheet_Cons!AE71</f>
        <v>0.25065471271966067</v>
      </c>
      <c r="C48" s="82">
        <f>C18/C17</f>
        <v>0.4115835451893054</v>
      </c>
      <c r="D48" s="82">
        <f>D18/D17</f>
        <v>6.9863601836256159E-2</v>
      </c>
      <c r="E48" s="82">
        <f>E18/E17</f>
        <v>1.0361406182301705</v>
      </c>
      <c r="F48" s="82">
        <f>F18/F17</f>
        <v>0</v>
      </c>
    </row>
    <row r="49" spans="1:6" ht="15.6">
      <c r="A49" s="77" t="s">
        <v>174</v>
      </c>
      <c r="B49" s="82">
        <f>Summary_Sheet_Cons!AE72</f>
        <v>-0.77697157494628977</v>
      </c>
      <c r="C49" s="82">
        <f>(C18-M43)/C17</f>
        <v>0.13812725008104562</v>
      </c>
      <c r="D49" s="82">
        <f>(D18-J43)/D17</f>
        <v>-8.7374087651507643E-2</v>
      </c>
      <c r="E49" s="82">
        <f>(E18-K43)/E17</f>
        <v>1.0115787429220264</v>
      </c>
      <c r="F49" s="82">
        <v>0</v>
      </c>
    </row>
    <row r="50" spans="1:6" ht="15.6">
      <c r="A50" s="77" t="s">
        <v>175</v>
      </c>
      <c r="B50" s="82">
        <f>(Summary_Sheet_Cons!K15-Summary_Sheet_Cons!K19)/Summary_Sheet_Cons!K20</f>
        <v>6.953663118346908</v>
      </c>
      <c r="C50" s="82">
        <f>Workings!J50</f>
        <v>2.4565852363250129</v>
      </c>
      <c r="D50" s="82">
        <v>25.94</v>
      </c>
      <c r="E50" s="82">
        <v>6.36</v>
      </c>
      <c r="F50" s="82">
        <v>27.82</v>
      </c>
    </row>
    <row r="51" spans="1:6" ht="15.6">
      <c r="A51" s="77" t="s">
        <v>176</v>
      </c>
      <c r="B51" s="78">
        <f>Summary_Sheet_Cons!AE75</f>
        <v>0.17548929866916035</v>
      </c>
      <c r="C51" s="78">
        <f>M46/C18</f>
        <v>5.6503264587003839E-2</v>
      </c>
      <c r="D51" s="78">
        <f>J46/D18</f>
        <v>2.3163467902051621E-2</v>
      </c>
      <c r="E51" s="78">
        <f>K46/E18</f>
        <v>5.7193736301764907E-2</v>
      </c>
      <c r="F51" s="78">
        <v>0</v>
      </c>
    </row>
    <row r="52" spans="1:6" ht="15.6">
      <c r="A52" s="84"/>
      <c r="B52" s="84"/>
      <c r="C52" s="84"/>
      <c r="D52" s="84"/>
      <c r="E52" s="84"/>
      <c r="F52" s="84"/>
    </row>
  </sheetData>
  <mergeCells count="7">
    <mergeCell ref="A37:F37"/>
    <mergeCell ref="A1:F1"/>
    <mergeCell ref="A3:F3"/>
    <mergeCell ref="A16:F16"/>
    <mergeCell ref="A23:F23"/>
    <mergeCell ref="E29:F30"/>
    <mergeCell ref="A31:F31"/>
  </mergeCells>
  <pageMargins left="0.7" right="0.7" top="0.75" bottom="0.75" header="0.3" footer="0.3"/>
  <pageSetup paperSize="9" scale="83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S10" sqref="S10"/>
    </sheetView>
  </sheetViews>
  <sheetFormatPr defaultRowHeight="14.4"/>
  <cols>
    <col min="2" max="2" width="11.5546875" bestFit="1" customWidth="1"/>
    <col min="4" max="4" width="12.109375" bestFit="1" customWidth="1"/>
    <col min="5" max="5" width="16.5546875" bestFit="1" customWidth="1"/>
  </cols>
  <sheetData>
    <row r="1" spans="1:6">
      <c r="B1" s="115" t="s">
        <v>207</v>
      </c>
    </row>
    <row r="2" spans="1:6">
      <c r="B2" s="115" t="s">
        <v>208</v>
      </c>
      <c r="C2" s="115" t="s">
        <v>209</v>
      </c>
      <c r="D2" s="115" t="s">
        <v>210</v>
      </c>
      <c r="E2" s="115" t="s">
        <v>19</v>
      </c>
      <c r="F2" s="115" t="s">
        <v>169</v>
      </c>
    </row>
    <row r="3" spans="1:6">
      <c r="A3" s="115">
        <v>2016</v>
      </c>
      <c r="B3" s="116">
        <v>5139.7</v>
      </c>
      <c r="C3" s="116">
        <v>136.69999999999999</v>
      </c>
      <c r="D3" s="117">
        <f t="shared" ref="D3:D8" si="0">C3/B3</f>
        <v>2.6596883086561472E-2</v>
      </c>
      <c r="E3">
        <v>1215.5999999999999</v>
      </c>
      <c r="F3" s="117">
        <f>C3/E3</f>
        <v>0.11245475485357025</v>
      </c>
    </row>
    <row r="4" spans="1:6">
      <c r="A4" s="115">
        <v>2017</v>
      </c>
      <c r="B4" s="116">
        <v>6404.3</v>
      </c>
      <c r="C4" s="116">
        <v>220.4</v>
      </c>
      <c r="D4" s="117">
        <f t="shared" si="0"/>
        <v>3.4414377839888821E-2</v>
      </c>
      <c r="E4">
        <v>1279.5</v>
      </c>
      <c r="F4" s="117">
        <f>C4/E4</f>
        <v>0.1722547870261821</v>
      </c>
    </row>
    <row r="5" spans="1:6">
      <c r="A5" s="115">
        <v>2018</v>
      </c>
      <c r="B5" s="116">
        <v>6347.5</v>
      </c>
      <c r="C5" s="116">
        <v>352</v>
      </c>
      <c r="D5" s="117">
        <f t="shared" si="0"/>
        <v>5.5454903505317052E-2</v>
      </c>
      <c r="E5">
        <v>1835.5</v>
      </c>
      <c r="F5" s="117">
        <f>C5/E5</f>
        <v>0.19177335875783166</v>
      </c>
    </row>
    <row r="6" spans="1:6">
      <c r="A6" s="115">
        <v>2019</v>
      </c>
      <c r="B6" s="116">
        <v>6850.5</v>
      </c>
      <c r="C6" s="116">
        <v>560.5</v>
      </c>
      <c r="D6" s="117">
        <f t="shared" si="0"/>
        <v>8.1818845339756224E-2</v>
      </c>
      <c r="E6">
        <v>1721.3</v>
      </c>
      <c r="F6" s="117">
        <f>C6/E6</f>
        <v>0.32562598036367862</v>
      </c>
    </row>
    <row r="7" spans="1:6">
      <c r="A7" s="115">
        <v>2020</v>
      </c>
      <c r="B7" s="116">
        <v>9385.7000000000007</v>
      </c>
      <c r="C7" s="116">
        <v>769.9</v>
      </c>
      <c r="D7" s="117">
        <f t="shared" si="0"/>
        <v>8.2029044184237718E-2</v>
      </c>
      <c r="E7">
        <v>2161.6</v>
      </c>
      <c r="F7" s="117">
        <f>C7/E7</f>
        <v>0.35617135455218357</v>
      </c>
    </row>
    <row r="8" spans="1:6">
      <c r="A8" s="115">
        <v>2021</v>
      </c>
      <c r="B8" s="116">
        <v>9407</v>
      </c>
      <c r="C8" s="116">
        <v>995</v>
      </c>
      <c r="D8" s="117">
        <f t="shared" si="0"/>
        <v>0.10577229722547039</v>
      </c>
      <c r="F8" s="117"/>
    </row>
    <row r="10" spans="1:6">
      <c r="B10" s="115" t="s">
        <v>211</v>
      </c>
    </row>
    <row r="11" spans="1:6">
      <c r="B11" s="115" t="s">
        <v>208</v>
      </c>
      <c r="C11" s="115" t="s">
        <v>209</v>
      </c>
      <c r="D11" s="115" t="s">
        <v>210</v>
      </c>
      <c r="E11" s="115" t="s">
        <v>19</v>
      </c>
      <c r="F11" s="115" t="s">
        <v>169</v>
      </c>
    </row>
    <row r="12" spans="1:6">
      <c r="A12" s="115">
        <v>2016</v>
      </c>
      <c r="B12" s="116">
        <v>3105.8</v>
      </c>
      <c r="C12" s="116">
        <v>489.5</v>
      </c>
      <c r="D12" s="117">
        <f t="shared" ref="D12:D17" si="1">C12/B12</f>
        <v>0.15760834567583232</v>
      </c>
      <c r="E12">
        <v>823.5</v>
      </c>
      <c r="F12" s="117">
        <f>C12/E12</f>
        <v>0.59441408621736491</v>
      </c>
    </row>
    <row r="13" spans="1:6">
      <c r="A13" s="115">
        <v>2017</v>
      </c>
      <c r="B13" s="116">
        <v>3511.3</v>
      </c>
      <c r="C13" s="116">
        <v>546.29999999999995</v>
      </c>
      <c r="D13" s="117">
        <f t="shared" si="1"/>
        <v>0.15558340215874461</v>
      </c>
      <c r="E13">
        <v>839.3</v>
      </c>
      <c r="F13" s="117">
        <f>C13/E13</f>
        <v>0.65089955915643982</v>
      </c>
    </row>
    <row r="14" spans="1:6">
      <c r="A14" s="115">
        <v>2018</v>
      </c>
      <c r="B14" s="116">
        <v>3535.1</v>
      </c>
      <c r="C14" s="116">
        <v>498.3</v>
      </c>
      <c r="D14" s="117">
        <f t="shared" si="1"/>
        <v>0.14095782297530482</v>
      </c>
      <c r="E14">
        <v>1051.9000000000001</v>
      </c>
      <c r="F14" s="117">
        <f>C14/E14</f>
        <v>0.47371423139081659</v>
      </c>
    </row>
    <row r="15" spans="1:6">
      <c r="A15" s="115">
        <v>2019</v>
      </c>
      <c r="B15" s="116">
        <v>4233.7</v>
      </c>
      <c r="C15" s="116">
        <v>563.79999999999995</v>
      </c>
      <c r="D15" s="117">
        <f t="shared" si="1"/>
        <v>0.13316956799017407</v>
      </c>
      <c r="E15">
        <v>1088.2</v>
      </c>
      <c r="F15" s="117">
        <f>C15/E15</f>
        <v>0.51810328983642706</v>
      </c>
    </row>
    <row r="16" spans="1:6">
      <c r="A16" s="115">
        <v>2020</v>
      </c>
      <c r="B16" s="116">
        <v>4689</v>
      </c>
      <c r="C16" s="116">
        <v>733.7</v>
      </c>
      <c r="D16" s="117">
        <f t="shared" si="1"/>
        <v>0.15647259543612713</v>
      </c>
      <c r="E16">
        <v>1596.5</v>
      </c>
      <c r="F16" s="117">
        <f>C16/E16</f>
        <v>0.4595678045725024</v>
      </c>
    </row>
    <row r="17" spans="1:6">
      <c r="A17" s="115">
        <v>2021</v>
      </c>
      <c r="B17" s="116">
        <v>4396</v>
      </c>
      <c r="C17" s="116">
        <v>1062</v>
      </c>
      <c r="D17" s="117">
        <f t="shared" si="1"/>
        <v>0.24158325750682438</v>
      </c>
    </row>
    <row r="18" spans="1:6">
      <c r="B18" s="115" t="s">
        <v>212</v>
      </c>
    </row>
    <row r="19" spans="1:6">
      <c r="B19" s="115" t="s">
        <v>208</v>
      </c>
      <c r="C19" s="115" t="s">
        <v>209</v>
      </c>
      <c r="D19" s="115" t="s">
        <v>210</v>
      </c>
      <c r="E19" s="115" t="s">
        <v>19</v>
      </c>
      <c r="F19" s="115" t="s">
        <v>169</v>
      </c>
    </row>
    <row r="20" spans="1:6">
      <c r="A20" s="115">
        <v>2016</v>
      </c>
      <c r="B20" s="118">
        <v>871</v>
      </c>
      <c r="C20">
        <v>-34.9</v>
      </c>
      <c r="D20" s="107">
        <f t="shared" ref="D20:D25" si="2">C20/B20</f>
        <v>-4.0068886337543054E-2</v>
      </c>
      <c r="E20">
        <v>143.30000000000001</v>
      </c>
      <c r="F20" s="107">
        <f>C20/E20</f>
        <v>-0.24354501046755056</v>
      </c>
    </row>
    <row r="21" spans="1:6">
      <c r="A21" s="115">
        <v>2017</v>
      </c>
      <c r="B21">
        <v>1024.5</v>
      </c>
      <c r="C21">
        <v>-37.1</v>
      </c>
      <c r="D21" s="107">
        <f t="shared" si="2"/>
        <v>-3.6212786725231823E-2</v>
      </c>
      <c r="E21">
        <v>104.7</v>
      </c>
      <c r="F21" s="107">
        <f>C21/E21</f>
        <v>-0.35434574976122252</v>
      </c>
    </row>
    <row r="22" spans="1:6">
      <c r="A22" s="115">
        <v>2018</v>
      </c>
      <c r="B22" s="118">
        <v>1086</v>
      </c>
      <c r="C22">
        <v>-30</v>
      </c>
      <c r="D22" s="107">
        <f t="shared" si="2"/>
        <v>-2.7624309392265192E-2</v>
      </c>
      <c r="E22">
        <v>129.5</v>
      </c>
      <c r="F22" s="107">
        <f>C22/E22</f>
        <v>-0.23166023166023167</v>
      </c>
    </row>
    <row r="23" spans="1:6">
      <c r="A23" s="115">
        <v>2019</v>
      </c>
      <c r="B23">
        <v>1099.0999999999999</v>
      </c>
      <c r="C23">
        <v>-26.9</v>
      </c>
      <c r="D23" s="107">
        <f t="shared" si="2"/>
        <v>-2.4474570102811392E-2</v>
      </c>
      <c r="E23">
        <v>122.6</v>
      </c>
      <c r="F23" s="107">
        <f>C23/E23</f>
        <v>-0.21941272430668843</v>
      </c>
    </row>
    <row r="24" spans="1:6">
      <c r="A24" s="115">
        <v>2020</v>
      </c>
      <c r="B24">
        <v>1256.5</v>
      </c>
      <c r="C24">
        <v>-70.3</v>
      </c>
      <c r="D24" s="107">
        <f t="shared" si="2"/>
        <v>-5.5949064862713886E-2</v>
      </c>
      <c r="E24">
        <v>100.1</v>
      </c>
      <c r="F24" s="107">
        <f>C24/E24</f>
        <v>-0.70229770229770228</v>
      </c>
    </row>
    <row r="25" spans="1:6">
      <c r="A25" s="115">
        <v>2021</v>
      </c>
      <c r="B25">
        <v>1084</v>
      </c>
      <c r="C25">
        <v>-37</v>
      </c>
      <c r="D25" s="107">
        <f t="shared" si="2"/>
        <v>-3.4132841328413287E-2</v>
      </c>
    </row>
    <row r="26" spans="1:6">
      <c r="D26" s="116"/>
    </row>
    <row r="27" spans="1:6">
      <c r="D27" s="119"/>
    </row>
    <row r="28" spans="1:6">
      <c r="D28" s="11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Summary_Sheet_Cons</vt:lpstr>
      <vt:lpstr>Workings</vt:lpstr>
      <vt:lpstr>Peer Analysis</vt:lpstr>
      <vt:lpstr>Segmental</vt:lpstr>
      <vt:lpstr>Summary_Sheet_Cons!Print_Area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Yuvraj</cp:lastModifiedBy>
  <cp:lastPrinted>2023-06-14T09:16:37Z</cp:lastPrinted>
  <dcterms:created xsi:type="dcterms:W3CDTF">2015-06-04T09:35:02Z</dcterms:created>
  <dcterms:modified xsi:type="dcterms:W3CDTF">2025-02-25T06:17:24Z</dcterms:modified>
</cp:coreProperties>
</file>