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Amir/Kuantum/"/>
    </mc:Choice>
  </mc:AlternateContent>
  <xr:revisionPtr revIDLastSave="0" documentId="8_{4E56ABED-3AA3-4478-B2FC-0E8762C8D42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cluding Other Income" sheetId="4" state="hidden" r:id="rId1"/>
    <sheet name="Summary Sheet" sheetId="8" r:id="rId2"/>
    <sheet name="Working" sheetId="5" state="hidden" r:id="rId3"/>
  </sheets>
  <definedNames>
    <definedName name="_xlnm.Print_Area" localSheetId="1">'Summary Sheet'!$B$2:$V$79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9" i="8" l="1"/>
  <c r="V78" i="8"/>
  <c r="V77" i="8"/>
  <c r="V48" i="8"/>
  <c r="V76" i="8"/>
  <c r="V75" i="8"/>
  <c r="P73" i="8"/>
  <c r="Q73" i="8"/>
  <c r="R73" i="8"/>
  <c r="S73" i="8"/>
  <c r="T73" i="8"/>
  <c r="U73" i="8"/>
  <c r="V73" i="8"/>
  <c r="O73" i="8"/>
  <c r="O74" i="8"/>
  <c r="P74" i="8"/>
  <c r="Q74" i="8"/>
  <c r="R74" i="8"/>
  <c r="S74" i="8"/>
  <c r="T74" i="8"/>
  <c r="U74" i="8"/>
  <c r="V74" i="8"/>
  <c r="N74" i="8"/>
  <c r="N73" i="8"/>
  <c r="V72" i="8"/>
  <c r="V71" i="8"/>
  <c r="V70" i="8"/>
  <c r="V69" i="8"/>
  <c r="V68" i="8"/>
  <c r="V67" i="8"/>
  <c r="V66" i="8"/>
  <c r="V65" i="8"/>
  <c r="V64" i="8"/>
  <c r="V62" i="8"/>
  <c r="V28" i="8"/>
  <c r="X26" i="8"/>
  <c r="K57" i="8"/>
  <c r="K54" i="8"/>
  <c r="K51" i="8"/>
  <c r="K50" i="8"/>
  <c r="K46" i="8"/>
  <c r="K33" i="8"/>
  <c r="K28" i="8"/>
  <c r="K17" i="8"/>
  <c r="K24" i="8"/>
  <c r="K26" i="8" s="1"/>
  <c r="U61" i="8"/>
  <c r="V61" i="8"/>
  <c r="V42" i="8"/>
  <c r="K30" i="8"/>
  <c r="J31" i="8"/>
  <c r="K36" i="8"/>
  <c r="K35" i="8"/>
  <c r="K27" i="8"/>
  <c r="K19" i="8"/>
  <c r="K18" i="8"/>
  <c r="K16" i="8"/>
  <c r="K10" i="8"/>
  <c r="K20" i="8" s="1"/>
  <c r="K9" i="8"/>
  <c r="K8" i="8"/>
  <c r="K7" i="8"/>
  <c r="K31" i="8" l="1"/>
  <c r="V49" i="8"/>
  <c r="V41" i="8"/>
  <c r="V12" i="8"/>
  <c r="V16" i="8"/>
  <c r="K55" i="8"/>
  <c r="K56" i="8"/>
  <c r="K49" i="8"/>
  <c r="K32" i="8" l="1"/>
  <c r="V8" i="8"/>
  <c r="V55" i="8"/>
  <c r="V14" i="8" s="1"/>
  <c r="K45" i="8"/>
  <c r="V13" i="8" l="1"/>
  <c r="V56" i="8"/>
  <c r="J50" i="8"/>
  <c r="U77" i="8" l="1"/>
  <c r="U72" i="8"/>
  <c r="U71" i="8"/>
  <c r="U42" i="8"/>
  <c r="J36" i="8"/>
  <c r="J35" i="8"/>
  <c r="J30" i="8"/>
  <c r="J16" i="8"/>
  <c r="U64" i="8" l="1"/>
  <c r="U12" i="8"/>
  <c r="U78" i="8" s="1"/>
  <c r="J54" i="8"/>
  <c r="J7" i="8"/>
  <c r="J10" i="8"/>
  <c r="J55" i="8" l="1"/>
  <c r="J17" i="8"/>
  <c r="T72" i="8"/>
  <c r="U79" i="8" l="1"/>
  <c r="J24" i="8"/>
  <c r="J26" i="8" s="1"/>
  <c r="J20" i="8"/>
  <c r="U75" i="8"/>
  <c r="O72" i="8"/>
  <c r="P72" i="8"/>
  <c r="Q72" i="8"/>
  <c r="R72" i="8"/>
  <c r="S72" i="8"/>
  <c r="U41" i="8" l="1"/>
  <c r="U49" i="8"/>
  <c r="U5" i="8"/>
  <c r="U8" i="8" s="1"/>
  <c r="U16" i="8"/>
  <c r="U28" i="8"/>
  <c r="J56" i="8"/>
  <c r="J57" i="8" s="1"/>
  <c r="U66" i="8" s="1"/>
  <c r="J49" i="8"/>
  <c r="J51" i="8" s="1"/>
  <c r="J45" i="8"/>
  <c r="U62" i="8" l="1"/>
  <c r="U65" i="8" s="1"/>
  <c r="U69" i="8"/>
  <c r="U70" i="8"/>
  <c r="U13" i="8"/>
  <c r="U68" i="8" s="1"/>
  <c r="U48" i="8"/>
  <c r="U56" i="8"/>
  <c r="U55" i="8"/>
  <c r="U14" i="8" s="1"/>
  <c r="J27" i="8" l="1"/>
  <c r="U67" i="8" s="1"/>
  <c r="F25" i="8"/>
  <c r="J28" i="8" l="1"/>
  <c r="I50" i="8"/>
  <c r="O77" i="8" l="1"/>
  <c r="P77" i="8"/>
  <c r="Q77" i="8"/>
  <c r="R77" i="8"/>
  <c r="S77" i="8"/>
  <c r="T77" i="8"/>
  <c r="I35" i="8" l="1"/>
  <c r="I36" i="8"/>
  <c r="N41" i="8"/>
  <c r="O49" i="8"/>
  <c r="P49" i="8"/>
  <c r="Q49" i="8"/>
  <c r="R49" i="8"/>
  <c r="S49" i="8"/>
  <c r="T49" i="8"/>
  <c r="N49" i="8"/>
  <c r="I45" i="8"/>
  <c r="I16" i="8"/>
  <c r="I7" i="8"/>
  <c r="J8" i="8" s="1"/>
  <c r="O41" i="8" l="1"/>
  <c r="P41" i="8"/>
  <c r="S41" i="8"/>
  <c r="T41" i="8"/>
  <c r="T5" i="8"/>
  <c r="D35" i="8"/>
  <c r="T71" i="8" l="1"/>
  <c r="I49" i="8" l="1"/>
  <c r="I51" i="8" s="1"/>
  <c r="I56" i="8"/>
  <c r="I54" i="8"/>
  <c r="I10" i="8"/>
  <c r="I17" i="8" s="1"/>
  <c r="I24" i="8" s="1"/>
  <c r="T28" i="8"/>
  <c r="T8" i="8"/>
  <c r="T56" i="8" s="1"/>
  <c r="T12" i="8"/>
  <c r="T16" i="8"/>
  <c r="T61" i="8"/>
  <c r="T64" i="8" s="1"/>
  <c r="S61" i="8"/>
  <c r="H50" i="8"/>
  <c r="T55" i="8" l="1"/>
  <c r="T14" i="8" s="1"/>
  <c r="T79" i="8"/>
  <c r="J18" i="8"/>
  <c r="T78" i="8"/>
  <c r="T70" i="8"/>
  <c r="T69" i="8"/>
  <c r="T13" i="8"/>
  <c r="T68" i="8" s="1"/>
  <c r="T48" i="8"/>
  <c r="U76" i="8" s="1"/>
  <c r="T62" i="8"/>
  <c r="T65" i="8" s="1"/>
  <c r="I55" i="8"/>
  <c r="I57" i="8" s="1"/>
  <c r="S12" i="8"/>
  <c r="S8" i="8"/>
  <c r="S56" i="8" s="1"/>
  <c r="H16" i="8"/>
  <c r="H10" i="8" s="1"/>
  <c r="T66" i="8" l="1"/>
  <c r="T75" i="8"/>
  <c r="S13" i="8"/>
  <c r="I27" i="8"/>
  <c r="I31" i="8" s="1"/>
  <c r="J32" i="8" s="1"/>
  <c r="I20" i="8"/>
  <c r="G49" i="8"/>
  <c r="H49" i="8"/>
  <c r="G50" i="8"/>
  <c r="H7" i="8"/>
  <c r="I8" i="8" s="1"/>
  <c r="D7" i="8"/>
  <c r="E7" i="8"/>
  <c r="F7" i="8"/>
  <c r="G7" i="8"/>
  <c r="J9" i="8" s="1"/>
  <c r="I26" i="8" l="1"/>
  <c r="I9" i="8"/>
  <c r="I28" i="8" l="1"/>
  <c r="T67" i="8"/>
  <c r="H45" i="8"/>
  <c r="H46" i="8" s="1"/>
  <c r="I41" i="8" s="1"/>
  <c r="I46" i="8" s="1"/>
  <c r="J41" i="8" s="1"/>
  <c r="J46" i="8" s="1"/>
  <c r="K41" i="8" s="1"/>
  <c r="H36" i="8"/>
  <c r="H35" i="8"/>
  <c r="G51" i="8"/>
  <c r="H51" i="8"/>
  <c r="S71" i="8"/>
  <c r="H54" i="8"/>
  <c r="H56" i="8"/>
  <c r="S64" i="8"/>
  <c r="S28" i="8"/>
  <c r="S48" i="8" s="1"/>
  <c r="T76" i="8" s="1"/>
  <c r="S69" i="8" l="1"/>
  <c r="S70" i="8"/>
  <c r="H55" i="8"/>
  <c r="H57" i="8" s="1"/>
  <c r="S78" i="8"/>
  <c r="S62" i="8"/>
  <c r="S65" i="8" s="1"/>
  <c r="R42" i="8" l="1"/>
  <c r="R41" i="8" s="1"/>
  <c r="G54" i="8" l="1"/>
  <c r="G45" i="8" l="1"/>
  <c r="G46" i="8" s="1"/>
  <c r="G56" i="8" l="1"/>
  <c r="R71" i="8"/>
  <c r="R16" i="8"/>
  <c r="R28" i="8"/>
  <c r="R48" i="8" s="1"/>
  <c r="R12" i="8"/>
  <c r="G55" i="8" s="1"/>
  <c r="R8" i="8"/>
  <c r="R56" i="8" s="1"/>
  <c r="R55" i="8" l="1"/>
  <c r="R14" i="8" s="1"/>
  <c r="S76" i="8"/>
  <c r="R78" i="8"/>
  <c r="R13" i="8"/>
  <c r="R61" i="8"/>
  <c r="R64" i="8" s="1"/>
  <c r="R69" i="8"/>
  <c r="G57" i="8"/>
  <c r="R62" i="8"/>
  <c r="R65" i="8" s="1"/>
  <c r="R70" i="8"/>
  <c r="F50" i="8"/>
  <c r="E50" i="8"/>
  <c r="D50" i="8"/>
  <c r="C50" i="8"/>
  <c r="F49" i="8"/>
  <c r="E49" i="8"/>
  <c r="D49" i="8"/>
  <c r="C49" i="8"/>
  <c r="E13" i="8" l="1"/>
  <c r="G36" i="8" l="1"/>
  <c r="F36" i="8"/>
  <c r="G35" i="8" l="1"/>
  <c r="G10" i="8"/>
  <c r="H8" i="8" l="1"/>
  <c r="G17" i="8"/>
  <c r="G24" i="8" s="1"/>
  <c r="C43" i="8"/>
  <c r="D44" i="8"/>
  <c r="D43" i="8"/>
  <c r="E43" i="8"/>
  <c r="E45" i="8" s="1"/>
  <c r="E46" i="8" s="1"/>
  <c r="F44" i="8"/>
  <c r="F45" i="8" s="1"/>
  <c r="F46" i="8" s="1"/>
  <c r="F40" i="8"/>
  <c r="E40" i="8"/>
  <c r="F56" i="8"/>
  <c r="E56" i="8"/>
  <c r="D56" i="8"/>
  <c r="C56" i="8"/>
  <c r="F54" i="8"/>
  <c r="E54" i="8"/>
  <c r="D54" i="8"/>
  <c r="C54" i="8"/>
  <c r="F35" i="8"/>
  <c r="E35" i="8"/>
  <c r="F30" i="8"/>
  <c r="F16" i="8"/>
  <c r="F13" i="8"/>
  <c r="E30" i="8"/>
  <c r="E25" i="8"/>
  <c r="G8" i="8"/>
  <c r="Q61" i="8"/>
  <c r="Q64" i="8" s="1"/>
  <c r="P61" i="8"/>
  <c r="O61" i="8"/>
  <c r="N61" i="8"/>
  <c r="Q42" i="8"/>
  <c r="Q41" i="8" s="1"/>
  <c r="P6" i="8"/>
  <c r="Q6" i="8"/>
  <c r="Q8" i="8" s="1"/>
  <c r="Q71" i="8"/>
  <c r="Q28" i="8"/>
  <c r="Q16" i="8"/>
  <c r="Q12" i="8"/>
  <c r="R79" i="8" l="1"/>
  <c r="J19" i="8"/>
  <c r="Q55" i="8"/>
  <c r="Q14" i="8" s="1"/>
  <c r="Q56" i="8"/>
  <c r="Q48" i="8"/>
  <c r="R76" i="8" s="1"/>
  <c r="R75" i="8"/>
  <c r="G20" i="8"/>
  <c r="Q78" i="8"/>
  <c r="Q70" i="8"/>
  <c r="Q13" i="8"/>
  <c r="R68" i="8"/>
  <c r="R66" i="8"/>
  <c r="F10" i="8"/>
  <c r="F55" i="8"/>
  <c r="F57" i="8" s="1"/>
  <c r="Q62" i="8"/>
  <c r="Q65" i="8" s="1"/>
  <c r="Q69" i="8"/>
  <c r="C25" i="8"/>
  <c r="C5" i="8"/>
  <c r="N72" i="8" s="1"/>
  <c r="D25" i="8"/>
  <c r="G9" i="8"/>
  <c r="P16" i="8"/>
  <c r="O16" i="8"/>
  <c r="N16" i="8"/>
  <c r="G26" i="8" l="1"/>
  <c r="G27" i="8"/>
  <c r="N77" i="8"/>
  <c r="C7" i="8"/>
  <c r="F8" i="8"/>
  <c r="H9" i="8"/>
  <c r="E8" i="8"/>
  <c r="F17" i="8"/>
  <c r="F24" i="8" s="1"/>
  <c r="I19" i="8" l="1"/>
  <c r="Q79" i="8"/>
  <c r="G28" i="8"/>
  <c r="R67" i="8"/>
  <c r="G31" i="8"/>
  <c r="J33" i="8" s="1"/>
  <c r="G18" i="8"/>
  <c r="F9" i="8"/>
  <c r="Q68" i="8"/>
  <c r="F51" i="8"/>
  <c r="Q66" i="8"/>
  <c r="F20" i="8"/>
  <c r="Q75" i="8"/>
  <c r="E13" i="5"/>
  <c r="C13" i="5"/>
  <c r="D13" i="5"/>
  <c r="B13" i="5"/>
  <c r="C12" i="5"/>
  <c r="B12" i="5"/>
  <c r="E12" i="5"/>
  <c r="D12" i="5"/>
  <c r="P71" i="8"/>
  <c r="O71" i="8"/>
  <c r="N71" i="8"/>
  <c r="P64" i="8"/>
  <c r="O64" i="8"/>
  <c r="N64" i="8"/>
  <c r="D45" i="8"/>
  <c r="D46" i="8" s="1"/>
  <c r="C45" i="8"/>
  <c r="C46" i="8" s="1"/>
  <c r="P28" i="8"/>
  <c r="P55" i="8" s="1"/>
  <c r="O28" i="8"/>
  <c r="N28" i="8"/>
  <c r="N55" i="8" s="1"/>
  <c r="P12" i="8"/>
  <c r="O12" i="8"/>
  <c r="N12" i="8"/>
  <c r="E10" i="8"/>
  <c r="D10" i="8"/>
  <c r="C10" i="8"/>
  <c r="P8" i="8"/>
  <c r="P56" i="8" s="1"/>
  <c r="O8" i="8"/>
  <c r="O56" i="8" s="1"/>
  <c r="N8" i="8"/>
  <c r="N56" i="8" s="1"/>
  <c r="O48" i="8" l="1"/>
  <c r="O55" i="8"/>
  <c r="O14" i="8" s="1"/>
  <c r="P14" i="8"/>
  <c r="P48" i="8"/>
  <c r="Q76" i="8" s="1"/>
  <c r="O69" i="8"/>
  <c r="N13" i="8"/>
  <c r="N69" i="8"/>
  <c r="N48" i="8"/>
  <c r="N14" i="8"/>
  <c r="C55" i="8"/>
  <c r="C57" i="8" s="1"/>
  <c r="F26" i="8"/>
  <c r="F27" i="8"/>
  <c r="C17" i="8"/>
  <c r="C24" i="8" s="1"/>
  <c r="D17" i="8"/>
  <c r="D24" i="8" s="1"/>
  <c r="E17" i="8"/>
  <c r="O62" i="8"/>
  <c r="O65" i="8" s="1"/>
  <c r="O13" i="8"/>
  <c r="P62" i="8"/>
  <c r="P65" i="8" s="1"/>
  <c r="P13" i="8"/>
  <c r="P78" i="8"/>
  <c r="E55" i="8"/>
  <c r="E57" i="8" s="1"/>
  <c r="O78" i="8"/>
  <c r="D55" i="8"/>
  <c r="D57" i="8" s="1"/>
  <c r="N62" i="8"/>
  <c r="N65" i="8" s="1"/>
  <c r="P69" i="8"/>
  <c r="N70" i="8"/>
  <c r="N78" i="8"/>
  <c r="D8" i="8"/>
  <c r="O70" i="8"/>
  <c r="P70" i="8"/>
  <c r="P79" i="8" l="1"/>
  <c r="E24" i="8"/>
  <c r="D27" i="8"/>
  <c r="O79" i="8"/>
  <c r="C20" i="8"/>
  <c r="N79" i="8"/>
  <c r="F31" i="8"/>
  <c r="I33" i="8" s="1"/>
  <c r="O66" i="8"/>
  <c r="O68" i="8"/>
  <c r="Q67" i="8"/>
  <c r="F28" i="8"/>
  <c r="F19" i="8"/>
  <c r="G19" i="8"/>
  <c r="E20" i="8"/>
  <c r="N75" i="8"/>
  <c r="D18" i="8"/>
  <c r="D20" i="8"/>
  <c r="F18" i="8"/>
  <c r="O75" i="8"/>
  <c r="O76" i="8"/>
  <c r="E18" i="8"/>
  <c r="P76" i="8"/>
  <c r="N66" i="8"/>
  <c r="P66" i="8"/>
  <c r="P75" i="8"/>
  <c r="D51" i="8"/>
  <c r="P68" i="8"/>
  <c r="N76" i="8"/>
  <c r="N68" i="8"/>
  <c r="E51" i="8" l="1"/>
  <c r="E27" i="8"/>
  <c r="D26" i="8"/>
  <c r="G32" i="8"/>
  <c r="D28" i="8"/>
  <c r="E26" i="8"/>
  <c r="C27" i="8"/>
  <c r="C51" i="8"/>
  <c r="C26" i="8"/>
  <c r="D31" i="8"/>
  <c r="G33" i="8" s="1"/>
  <c r="O67" i="8"/>
  <c r="C28" i="8" l="1"/>
  <c r="E28" i="8"/>
  <c r="E31" i="8"/>
  <c r="N67" i="8"/>
  <c r="C31" i="8"/>
  <c r="P67" i="8"/>
  <c r="E32" i="8" l="1"/>
  <c r="F32" i="8"/>
  <c r="D32" i="8"/>
  <c r="F33" i="8"/>
  <c r="J37" i="4" l="1"/>
  <c r="K37" i="4"/>
  <c r="L37" i="4"/>
  <c r="M37" i="4"/>
  <c r="N37" i="4"/>
  <c r="J24" i="4"/>
  <c r="K24" i="4"/>
  <c r="K44" i="4" s="1"/>
  <c r="L24" i="4"/>
  <c r="L44" i="4" s="1"/>
  <c r="M24" i="4"/>
  <c r="N24" i="4"/>
  <c r="O37" i="4"/>
  <c r="I9" i="5"/>
  <c r="J9" i="5"/>
  <c r="K9" i="5"/>
  <c r="L9" i="5"/>
  <c r="M9" i="5"/>
  <c r="N44" i="4" l="1"/>
  <c r="M44" i="4"/>
  <c r="J44" i="4"/>
  <c r="Q22" i="4"/>
  <c r="Q21" i="4"/>
  <c r="Q16" i="4"/>
  <c r="J32" i="5" l="1"/>
  <c r="J34" i="5" s="1"/>
  <c r="J33" i="5"/>
  <c r="D9" i="5"/>
  <c r="J19" i="5"/>
  <c r="J18" i="5"/>
  <c r="J16" i="5"/>
  <c r="D27" i="5"/>
  <c r="B27" i="5"/>
  <c r="C14" i="5"/>
  <c r="B14" i="5"/>
  <c r="E7" i="5"/>
  <c r="C7" i="5"/>
  <c r="D7" i="5"/>
  <c r="B7" i="5"/>
  <c r="M38" i="5"/>
  <c r="L38" i="5"/>
  <c r="K38" i="5"/>
  <c r="I38" i="5"/>
  <c r="I27" i="5"/>
  <c r="J27" i="5"/>
  <c r="K27" i="5"/>
  <c r="L27" i="5"/>
  <c r="M27" i="5"/>
  <c r="I20" i="5"/>
  <c r="I43" i="5"/>
  <c r="M50" i="5" l="1"/>
  <c r="L50" i="5"/>
  <c r="K50" i="5"/>
  <c r="J50" i="5"/>
  <c r="I50" i="5"/>
  <c r="M49" i="5"/>
  <c r="L49" i="5"/>
  <c r="K49" i="5"/>
  <c r="J49" i="5"/>
  <c r="I49" i="5"/>
  <c r="L45" i="5"/>
  <c r="L44" i="5"/>
  <c r="M43" i="5"/>
  <c r="L43" i="5"/>
  <c r="K43" i="5"/>
  <c r="J43" i="5"/>
  <c r="M42" i="5"/>
  <c r="L42" i="5"/>
  <c r="K42" i="5"/>
  <c r="J42" i="5"/>
  <c r="I42" i="5"/>
  <c r="M37" i="5"/>
  <c r="L37" i="5"/>
  <c r="K37" i="5"/>
  <c r="J37" i="5"/>
  <c r="I37" i="5"/>
  <c r="M33" i="5"/>
  <c r="M35" i="5" s="1"/>
  <c r="L33" i="5"/>
  <c r="L35" i="5" s="1"/>
  <c r="K33" i="5"/>
  <c r="K35" i="5" s="1"/>
  <c r="J35" i="5"/>
  <c r="I33" i="5"/>
  <c r="I35" i="5" s="1"/>
  <c r="M32" i="5"/>
  <c r="M34" i="5" s="1"/>
  <c r="L32" i="5"/>
  <c r="L34" i="5" s="1"/>
  <c r="K32" i="5"/>
  <c r="K34" i="5" s="1"/>
  <c r="I32" i="5"/>
  <c r="I34" i="5" s="1"/>
  <c r="I29" i="5"/>
  <c r="F27" i="5"/>
  <c r="E27" i="5"/>
  <c r="C27" i="5"/>
  <c r="M20" i="5"/>
  <c r="M47" i="5" s="1"/>
  <c r="L20" i="5"/>
  <c r="L47" i="5" s="1"/>
  <c r="K20" i="5"/>
  <c r="K47" i="5" s="1"/>
  <c r="J20" i="5"/>
  <c r="J47" i="5" s="1"/>
  <c r="I47" i="5"/>
  <c r="M16" i="5"/>
  <c r="M29" i="5" s="1"/>
  <c r="L16" i="5"/>
  <c r="L29" i="5" s="1"/>
  <c r="K16" i="5"/>
  <c r="K29" i="5" s="1"/>
  <c r="J29" i="5"/>
  <c r="F13" i="5"/>
  <c r="F12" i="5"/>
  <c r="D14" i="5"/>
  <c r="J38" i="5"/>
  <c r="F9" i="5"/>
  <c r="M45" i="5" s="1"/>
  <c r="K44" i="5"/>
  <c r="C9" i="5"/>
  <c r="J45" i="5" s="1"/>
  <c r="B9" i="5"/>
  <c r="M8" i="5"/>
  <c r="L8" i="5"/>
  <c r="K8" i="5"/>
  <c r="J8" i="5"/>
  <c r="I8" i="5"/>
  <c r="I28" i="5" s="1"/>
  <c r="F7" i="5"/>
  <c r="K40" i="5" l="1"/>
  <c r="L46" i="5"/>
  <c r="M28" i="5"/>
  <c r="M30" i="5" s="1"/>
  <c r="F14" i="5"/>
  <c r="L28" i="5"/>
  <c r="L30" i="5" s="1"/>
  <c r="I45" i="5"/>
  <c r="I44" i="5"/>
  <c r="K48" i="5"/>
  <c r="J40" i="5"/>
  <c r="E14" i="5"/>
  <c r="J28" i="5"/>
  <c r="J30" i="5" s="1"/>
  <c r="I30" i="5"/>
  <c r="I36" i="5" s="1"/>
  <c r="K28" i="5"/>
  <c r="K30" i="5" s="1"/>
  <c r="I39" i="5"/>
  <c r="M39" i="5"/>
  <c r="L40" i="5"/>
  <c r="M44" i="5"/>
  <c r="I48" i="5"/>
  <c r="M48" i="5"/>
  <c r="L39" i="5"/>
  <c r="L48" i="5"/>
  <c r="J39" i="5"/>
  <c r="I40" i="5"/>
  <c r="M40" i="5"/>
  <c r="J44" i="5"/>
  <c r="J48" i="5"/>
  <c r="K45" i="5"/>
  <c r="K39" i="5"/>
  <c r="J67" i="4"/>
  <c r="O65" i="4"/>
  <c r="N65" i="4"/>
  <c r="M65" i="4"/>
  <c r="I46" i="5" l="1"/>
  <c r="L36" i="5"/>
  <c r="M46" i="5"/>
  <c r="K46" i="5"/>
  <c r="J46" i="5"/>
  <c r="M36" i="5"/>
  <c r="K36" i="5"/>
  <c r="J36" i="5"/>
  <c r="K67" i="4" l="1"/>
  <c r="L67" i="4"/>
  <c r="M67" i="4"/>
  <c r="N67" i="4"/>
  <c r="O67" i="4"/>
  <c r="G60" i="4" l="1"/>
  <c r="O68" i="4" l="1"/>
  <c r="G30" i="4"/>
  <c r="G25" i="4"/>
  <c r="M68" i="4" l="1"/>
  <c r="L68" i="4"/>
  <c r="K68" i="4"/>
  <c r="L55" i="4"/>
  <c r="L58" i="4" s="1"/>
  <c r="M55" i="4"/>
  <c r="M58" i="4" s="1"/>
  <c r="N55" i="4"/>
  <c r="N58" i="4" s="1"/>
  <c r="O55" i="4"/>
  <c r="O58" i="4" s="1"/>
  <c r="O24" i="4"/>
  <c r="L11" i="4"/>
  <c r="L71" i="4" s="1"/>
  <c r="M11" i="4"/>
  <c r="N11" i="4"/>
  <c r="O11" i="4"/>
  <c r="J7" i="4"/>
  <c r="K7" i="4"/>
  <c r="L7" i="4"/>
  <c r="M7" i="4"/>
  <c r="N7" i="4"/>
  <c r="C62" i="4"/>
  <c r="D62" i="4"/>
  <c r="E62" i="4"/>
  <c r="F62" i="4"/>
  <c r="G62" i="4"/>
  <c r="D61" i="4"/>
  <c r="D60" i="4"/>
  <c r="E60" i="4"/>
  <c r="F60" i="4"/>
  <c r="C45" i="4"/>
  <c r="C46" i="4" s="1"/>
  <c r="D45" i="4"/>
  <c r="D46" i="4" s="1"/>
  <c r="E45" i="4"/>
  <c r="E46" i="4" s="1"/>
  <c r="E36" i="4"/>
  <c r="F36" i="4"/>
  <c r="C35" i="4"/>
  <c r="D35" i="4"/>
  <c r="E35" i="4"/>
  <c r="D9" i="4"/>
  <c r="E9" i="4"/>
  <c r="F9" i="4"/>
  <c r="G9" i="4"/>
  <c r="D6" i="4"/>
  <c r="E6" i="4"/>
  <c r="F6" i="4"/>
  <c r="G6" i="4"/>
  <c r="F55" i="4"/>
  <c r="F16" i="4" l="1"/>
  <c r="F19" i="4" s="1"/>
  <c r="G8" i="4"/>
  <c r="M64" i="4"/>
  <c r="D63" i="4"/>
  <c r="D16" i="4"/>
  <c r="D24" i="4" s="1"/>
  <c r="D27" i="4" s="1"/>
  <c r="L66" i="4"/>
  <c r="L69" i="4" s="1"/>
  <c r="L56" i="4"/>
  <c r="L59" i="4" s="1"/>
  <c r="L51" i="4"/>
  <c r="L12" i="4"/>
  <c r="N64" i="4"/>
  <c r="K12" i="4"/>
  <c r="K51" i="4"/>
  <c r="N56" i="4"/>
  <c r="N59" i="4" s="1"/>
  <c r="N12" i="4"/>
  <c r="N51" i="4"/>
  <c r="J12" i="4"/>
  <c r="J51" i="4"/>
  <c r="E16" i="4"/>
  <c r="M66" i="4"/>
  <c r="M69" i="4" s="1"/>
  <c r="M56" i="4"/>
  <c r="M59" i="4" s="1"/>
  <c r="M12" i="4"/>
  <c r="M51" i="4"/>
  <c r="O44" i="4"/>
  <c r="O70" i="4" s="1"/>
  <c r="Q17" i="4"/>
  <c r="Q18" i="4" s="1"/>
  <c r="N70" i="4"/>
  <c r="M70" i="4"/>
  <c r="O66" i="4"/>
  <c r="O69" i="4" s="1"/>
  <c r="E61" i="4"/>
  <c r="E63" i="4" s="1"/>
  <c r="O71" i="4"/>
  <c r="L63" i="4"/>
  <c r="L64" i="4"/>
  <c r="M71" i="4"/>
  <c r="F61" i="4"/>
  <c r="F63" i="4" s="1"/>
  <c r="N63" i="4"/>
  <c r="M63" i="4"/>
  <c r="F24" i="4"/>
  <c r="E7" i="4"/>
  <c r="D19" i="4" l="1"/>
  <c r="E17" i="4"/>
  <c r="E19" i="4"/>
  <c r="D28" i="4"/>
  <c r="D31" i="4"/>
  <c r="L61" i="4"/>
  <c r="N68" i="4"/>
  <c r="N62" i="4"/>
  <c r="L62" i="4"/>
  <c r="O7" i="4"/>
  <c r="B25" i="4"/>
  <c r="C25" i="4"/>
  <c r="F30" i="4"/>
  <c r="F25" i="4"/>
  <c r="F27" i="4" s="1"/>
  <c r="O12" i="4" l="1"/>
  <c r="Q20" i="4"/>
  <c r="Q23" i="4" s="1"/>
  <c r="O51" i="4"/>
  <c r="R16" i="4"/>
  <c r="O63" i="4"/>
  <c r="O64" i="4"/>
  <c r="F28" i="4"/>
  <c r="N61" i="4"/>
  <c r="F31" i="4"/>
  <c r="O56" i="4"/>
  <c r="E20" i="4"/>
  <c r="O59" i="4" l="1"/>
  <c r="E24" i="4"/>
  <c r="E27" i="4" s="1"/>
  <c r="M62" i="4"/>
  <c r="J68" i="4"/>
  <c r="J11" i="4"/>
  <c r="K11" i="4"/>
  <c r="B9" i="4"/>
  <c r="C9" i="4"/>
  <c r="B6" i="4"/>
  <c r="J70" i="4" s="1"/>
  <c r="C6" i="4"/>
  <c r="K66" i="4" s="1"/>
  <c r="K69" i="4" s="1"/>
  <c r="J64" i="4" l="1"/>
  <c r="J71" i="4"/>
  <c r="F8" i="4"/>
  <c r="K71" i="4"/>
  <c r="C61" i="4"/>
  <c r="K64" i="4"/>
  <c r="K63" i="4"/>
  <c r="E28" i="4"/>
  <c r="M61" i="4"/>
  <c r="E31" i="4"/>
  <c r="C16" i="4"/>
  <c r="K62" i="4" s="1"/>
  <c r="C7" i="4"/>
  <c r="D7" i="4"/>
  <c r="E8" i="4"/>
  <c r="F7" i="4"/>
  <c r="G16" i="4"/>
  <c r="B16" i="4"/>
  <c r="E18" i="4" s="1"/>
  <c r="G18" i="4" l="1"/>
  <c r="O62" i="4"/>
  <c r="L70" i="4"/>
  <c r="K70" i="4"/>
  <c r="G19" i="4"/>
  <c r="E32" i="4"/>
  <c r="C24" i="4"/>
  <c r="C17" i="4"/>
  <c r="D17" i="4"/>
  <c r="G24" i="4"/>
  <c r="G27" i="4" s="1"/>
  <c r="B19" i="4"/>
  <c r="B24" i="4"/>
  <c r="F18" i="4"/>
  <c r="C19" i="4"/>
  <c r="F17" i="4"/>
  <c r="J66" i="4"/>
  <c r="J69" i="4" s="1"/>
  <c r="N66" i="4"/>
  <c r="N69" i="4" s="1"/>
  <c r="B62" i="4"/>
  <c r="C60" i="4"/>
  <c r="C63" i="4" s="1"/>
  <c r="B60" i="4"/>
  <c r="B55" i="4"/>
  <c r="B53" i="4"/>
  <c r="B51" i="4"/>
  <c r="F50" i="4"/>
  <c r="F51" i="4" s="1"/>
  <c r="E50" i="4"/>
  <c r="E51" i="4" s="1"/>
  <c r="D50" i="4"/>
  <c r="D51" i="4" s="1"/>
  <c r="C50" i="4"/>
  <c r="C51" i="4" s="1"/>
  <c r="B50" i="4"/>
  <c r="K55" i="4"/>
  <c r="K58" i="4" s="1"/>
  <c r="J55" i="4"/>
  <c r="F45" i="4"/>
  <c r="F46" i="4" s="1"/>
  <c r="B45" i="4"/>
  <c r="B46" i="4" s="1"/>
  <c r="F35" i="4"/>
  <c r="K56" i="4"/>
  <c r="K59" i="4" s="1"/>
  <c r="B27" i="4" l="1"/>
  <c r="J62" i="4"/>
  <c r="O61" i="4"/>
  <c r="G26" i="4"/>
  <c r="B26" i="4"/>
  <c r="E26" i="4"/>
  <c r="C27" i="4"/>
  <c r="F26" i="4"/>
  <c r="B31" i="4"/>
  <c r="E33" i="4" s="1"/>
  <c r="J61" i="4"/>
  <c r="G31" i="4"/>
  <c r="G33" i="4" s="1"/>
  <c r="B61" i="4"/>
  <c r="B63" i="4" s="1"/>
  <c r="J60" i="4" s="1"/>
  <c r="N60" i="4"/>
  <c r="N71" i="4"/>
  <c r="K50" i="4"/>
  <c r="K13" i="4" s="1"/>
  <c r="G61" i="4"/>
  <c r="G63" i="4" s="1"/>
  <c r="J50" i="4"/>
  <c r="J13" i="4" s="1"/>
  <c r="L50" i="4"/>
  <c r="L13" i="4" s="1"/>
  <c r="N50" i="4"/>
  <c r="N13" i="4" s="1"/>
  <c r="J63" i="4"/>
  <c r="O60" i="4" l="1"/>
  <c r="C28" i="4"/>
  <c r="K61" i="4"/>
  <c r="C31" i="4"/>
  <c r="M60" i="4"/>
  <c r="L60" i="4"/>
  <c r="K60" i="4"/>
  <c r="E49" i="4"/>
  <c r="B49" i="4"/>
  <c r="D49" i="4"/>
  <c r="C49" i="4"/>
  <c r="O50" i="4"/>
  <c r="M50" i="4"/>
  <c r="M13" i="4" s="1"/>
  <c r="B52" i="4"/>
  <c r="O13" i="4" l="1"/>
  <c r="P51" i="4"/>
  <c r="C32" i="4"/>
  <c r="D32" i="4"/>
  <c r="F33" i="4"/>
  <c r="C54" i="4"/>
  <c r="C56" i="4" s="1"/>
  <c r="G28" i="4"/>
  <c r="D54" i="4"/>
  <c r="D56" i="4" s="1"/>
  <c r="E54" i="4"/>
  <c r="E56" i="4" s="1"/>
  <c r="B54" i="4"/>
  <c r="B56" i="4" s="1"/>
  <c r="F49" i="4"/>
  <c r="B28" i="4" l="1"/>
  <c r="F54" i="4"/>
  <c r="F56" i="4" s="1"/>
  <c r="F32" i="4" l="1"/>
  <c r="H17" i="8" l="1"/>
  <c r="S79" i="8" l="1"/>
  <c r="H24" i="8"/>
  <c r="H27" i="8" s="1"/>
  <c r="H20" i="8"/>
  <c r="I18" i="8"/>
  <c r="S66" i="8"/>
  <c r="H19" i="8"/>
  <c r="S75" i="8"/>
  <c r="S68" i="8"/>
  <c r="H18" i="8"/>
  <c r="H26" i="8" l="1"/>
  <c r="H31" i="8"/>
  <c r="I32" i="8" s="1"/>
  <c r="S67" i="8"/>
  <c r="H28" i="8"/>
  <c r="H32" i="8" l="1"/>
  <c r="H33" i="8"/>
  <c r="S16" i="8"/>
  <c r="S55" i="8" s="1"/>
  <c r="S14" i="8" s="1"/>
  <c r="L57" i="4"/>
  <c r="L65" i="4"/>
</calcChain>
</file>

<file path=xl/sharedStrings.xml><?xml version="1.0" encoding="utf-8"?>
<sst xmlns="http://schemas.openxmlformats.org/spreadsheetml/2006/main" count="400" uniqueCount="180">
  <si>
    <t>Y/E, Mar (Rs. mn)</t>
  </si>
  <si>
    <t>Income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</si>
  <si>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</si>
  <si>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</si>
  <si>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</si>
  <si>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</si>
  <si>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</si>
  <si>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</si>
  <si>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</si>
  <si>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</si>
  <si>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</si>
  <si>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</si>
  <si>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</si>
  <si>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</si>
  <si>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</si>
  <si>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</si>
  <si>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</si>
  <si>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</si>
  <si>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</si>
  <si>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</si>
  <si>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</si>
  <si>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</si>
  <si>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</si>
  <si>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</si>
  <si>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</si>
  <si>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</si>
  <si>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</si>
  <si>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</si>
  <si>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</si>
  <si>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</si>
  <si>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</si>
  <si>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</si>
  <si>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</si>
  <si>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</si>
  <si>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</si>
  <si>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</si>
  <si>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</si>
  <si>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</si>
  <si>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</si>
  <si>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</si>
  <si>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</si>
  <si>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</si>
  <si>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</si>
  <si>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</si>
  <si>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</si>
  <si>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</si>
  <si>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</si>
  <si>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</si>
  <si>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</si>
  <si>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</si>
  <si>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</si>
  <si>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</si>
  <si>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</si>
  <si>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</si>
  <si>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</si>
  <si>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</si>
  <si>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</si>
  <si>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</si>
  <si>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</si>
  <si>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</si>
  <si>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</si>
  <si>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</si>
  <si>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</si>
  <si>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</si>
  <si>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</si>
  <si>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</si>
  <si>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</si>
  <si>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</si>
  <si>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</si>
  <si>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</si>
  <si>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</si>
  <si>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</si>
  <si>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</si>
  <si>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</si>
  <si>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</si>
  <si>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</si>
  <si>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</si>
  <si>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</si>
  <si>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</si>
  <si>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</si>
  <si>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</si>
  <si>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</si>
  <si>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</si>
  <si>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</si>
  <si>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</si>
  <si>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Asset qualified as held for sale</t>
  </si>
  <si>
    <t>Other financial liabilities</t>
  </si>
  <si>
    <t>FY18</t>
  </si>
  <si>
    <t>Interest Cost</t>
  </si>
  <si>
    <t>TOTAL ASSETS</t>
  </si>
  <si>
    <t>TOTAL LIABILITIES</t>
  </si>
  <si>
    <t>Net Income</t>
  </si>
  <si>
    <t>Balance Sheet</t>
  </si>
  <si>
    <t>Cost of Material consumed</t>
  </si>
  <si>
    <t>Purchease of SIT</t>
  </si>
  <si>
    <t>Changes in Inventory of FG, SIT &amp; WIP</t>
  </si>
  <si>
    <t>Excise Duty</t>
  </si>
  <si>
    <t>Extraordianry Items</t>
  </si>
  <si>
    <t>Pending Allotment</t>
  </si>
  <si>
    <t>Capital WIP</t>
  </si>
  <si>
    <t>Short term Loans and advances</t>
  </si>
  <si>
    <t>Other Non-Current Liabilities</t>
  </si>
  <si>
    <t>Current Tax Liabilities</t>
  </si>
  <si>
    <t>Property, plant and Equipment</t>
  </si>
  <si>
    <t>Financial Assets</t>
  </si>
  <si>
    <t>b) Loans</t>
  </si>
  <si>
    <t>a) Investments</t>
  </si>
  <si>
    <t>c) Other Financial assets</t>
  </si>
  <si>
    <t>Deferred tax asset (Net)</t>
  </si>
  <si>
    <t>Other non-current assets</t>
  </si>
  <si>
    <t>Biological assets other than bearer plants</t>
  </si>
  <si>
    <t>c) Bank balance other than above</t>
  </si>
  <si>
    <t>b) Cash &amp; Cash Equivalents</t>
  </si>
  <si>
    <t>d) Other financial assets</t>
  </si>
  <si>
    <t>Current Tax assets</t>
  </si>
  <si>
    <t>a) Trade Receivables</t>
  </si>
  <si>
    <t>Deferred Tax Liability (Net)</t>
  </si>
  <si>
    <t>Finance Cost</t>
  </si>
  <si>
    <t>CAGR (%) - 3 Years</t>
  </si>
  <si>
    <t>-</t>
  </si>
  <si>
    <t>Satia Industries ltd</t>
  </si>
  <si>
    <t>FY19</t>
  </si>
  <si>
    <t xml:space="preserve">                                                          </t>
  </si>
  <si>
    <t>Peer Analysis</t>
  </si>
  <si>
    <t>Income Statement</t>
  </si>
  <si>
    <t>Satia</t>
  </si>
  <si>
    <t>JK Paper</t>
  </si>
  <si>
    <t>Shreyans</t>
  </si>
  <si>
    <t xml:space="preserve">Ruchira </t>
  </si>
  <si>
    <t>Kuantum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</si>
  <si>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</si>
  <si>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</si>
  <si>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</si>
  <si>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</si>
  <si>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</si>
  <si>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</si>
  <si>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</si>
  <si>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</si>
  <si>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</si>
  <si>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</si>
  <si>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</si>
  <si>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</si>
  <si>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</si>
  <si>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</si>
  <si>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</si>
  <si>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</si>
  <si>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</si>
  <si>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</si>
  <si>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</si>
  <si>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</si>
  <si>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</si>
  <si>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</si>
  <si>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</si>
  <si>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</si>
  <si>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</si>
  <si>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</si>
  <si>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</si>
  <si>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</si>
  <si>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</si>
  <si>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</si>
  <si>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b) Loans &amp; Advances</t>
  </si>
  <si>
    <t>Non current Assets</t>
  </si>
  <si>
    <t xml:space="preserve">Deferred income </t>
  </si>
  <si>
    <t>Investment Property</t>
  </si>
  <si>
    <t xml:space="preserve">Intangible assets </t>
  </si>
  <si>
    <t>FY20</t>
  </si>
  <si>
    <t>Other financial Assets</t>
  </si>
  <si>
    <t>FY21</t>
  </si>
  <si>
    <t>FY22</t>
  </si>
  <si>
    <t>** PAT Calculation is Excluding Exceptional Items</t>
  </si>
  <si>
    <t>FY23</t>
  </si>
  <si>
    <t>NON CURRENT LIABILITES</t>
  </si>
  <si>
    <t>Interest Coverage Ratio</t>
  </si>
  <si>
    <t>Kuantum Papers ltd.</t>
  </si>
  <si>
    <t>Other intangible assets under development</t>
  </si>
  <si>
    <t>FY24</t>
  </si>
  <si>
    <t>Key Ratios</t>
  </si>
  <si>
    <t xml:space="preserve"> FY25</t>
  </si>
  <si>
    <t>FY25</t>
  </si>
  <si>
    <t>Fixed Asset Turnover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</si>
</sst>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_ ;_ * \-#,##0.000_ ;_ * &quot;-&quot;??_ ;_ @_ "/>
    <numFmt numFmtId="170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0">
    <xf numFmtId="0" fontId="0" fillId="0" borderId="0" xfId="0"/>
    <xf numFmtId="165" fontId="2" fillId="0" borderId="1" xfId="0" applyNumberFormat="1" applyFont="1" applyBorder="1"/>
    <xf numFmtId="0" fontId="2" fillId="0" borderId="0" xfId="0" applyFont="1"/>
    <xf numFmtId="165" fontId="2" fillId="0" borderId="0" xfId="0" applyNumberFormat="1" applyFont="1"/>
    <xf numFmtId="0" fontId="3" fillId="0" borderId="1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2" fillId="0" borderId="1" xfId="0" applyFont="1" applyBorder="1"/>
    <xf numFmtId="166" fontId="4" fillId="4" borderId="1" xfId="0" applyNumberFormat="1" applyFont="1" applyFill="1" applyBorder="1"/>
    <xf numFmtId="2" fontId="2" fillId="4" borderId="1" xfId="0" applyNumberFormat="1" applyFont="1" applyFill="1" applyBorder="1"/>
    <xf numFmtId="43" fontId="2" fillId="4" borderId="1" xfId="2" applyFont="1" applyFill="1" applyBorder="1"/>
    <xf numFmtId="43" fontId="3" fillId="4" borderId="1" xfId="2" applyFont="1" applyFill="1" applyBorder="1"/>
    <xf numFmtId="165" fontId="2" fillId="4" borderId="1" xfId="0" applyNumberFormat="1" applyFont="1" applyFill="1" applyBorder="1"/>
    <xf numFmtId="0" fontId="2" fillId="4" borderId="1" xfId="0" applyFont="1" applyFill="1" applyBorder="1"/>
    <xf numFmtId="10" fontId="2" fillId="4" borderId="1" xfId="1" applyNumberFormat="1" applyFont="1" applyFill="1" applyBorder="1"/>
    <xf numFmtId="43" fontId="2" fillId="0" borderId="1" xfId="2" applyFont="1" applyFill="1" applyBorder="1"/>
    <xf numFmtId="168" fontId="3" fillId="0" borderId="1" xfId="2" applyNumberFormat="1" applyFont="1" applyFill="1" applyBorder="1"/>
    <xf numFmtId="168" fontId="2" fillId="0" borderId="1" xfId="2" applyNumberFormat="1" applyFont="1" applyFill="1" applyBorder="1"/>
    <xf numFmtId="168" fontId="3" fillId="4" borderId="1" xfId="2" applyNumberFormat="1" applyFont="1" applyFill="1" applyBorder="1"/>
    <xf numFmtId="168" fontId="2" fillId="0" borderId="1" xfId="2" applyNumberFormat="1" applyFont="1" applyBorder="1"/>
    <xf numFmtId="10" fontId="4" fillId="4" borderId="1" xfId="0" applyNumberFormat="1" applyFont="1" applyFill="1" applyBorder="1"/>
    <xf numFmtId="43" fontId="3" fillId="0" borderId="1" xfId="2" applyFont="1" applyFill="1" applyBorder="1"/>
    <xf numFmtId="168" fontId="2" fillId="4" borderId="1" xfId="2" applyNumberFormat="1" applyFont="1" applyFill="1" applyBorder="1"/>
    <xf numFmtId="167" fontId="2" fillId="0" borderId="1" xfId="2" applyNumberFormat="1" applyFont="1" applyFill="1" applyBorder="1"/>
    <xf numFmtId="168" fontId="2" fillId="0" borderId="3" xfId="2" applyNumberFormat="1" applyFont="1" applyBorder="1"/>
    <xf numFmtId="168" fontId="2" fillId="0" borderId="0" xfId="2" applyNumberFormat="1" applyFont="1"/>
    <xf numFmtId="168" fontId="3" fillId="0" borderId="3" xfId="2" applyNumberFormat="1" applyFont="1" applyFill="1" applyBorder="1"/>
    <xf numFmtId="43" fontId="3" fillId="0" borderId="1" xfId="2" applyFont="1" applyBorder="1"/>
    <xf numFmtId="10" fontId="2" fillId="4" borderId="1" xfId="0" applyNumberFormat="1" applyFont="1" applyFill="1" applyBorder="1"/>
    <xf numFmtId="1" fontId="2" fillId="4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168" fontId="3" fillId="0" borderId="1" xfId="2" applyNumberFormat="1" applyFont="1" applyBorder="1"/>
    <xf numFmtId="10" fontId="2" fillId="0" borderId="0" xfId="1" applyNumberFormat="1" applyFont="1"/>
    <xf numFmtId="0" fontId="3" fillId="4" borderId="1" xfId="0" applyFont="1" applyFill="1" applyBorder="1"/>
    <xf numFmtId="0" fontId="4" fillId="4" borderId="1" xfId="0" applyFont="1" applyFill="1" applyBorder="1"/>
    <xf numFmtId="168" fontId="2" fillId="0" borderId="2" xfId="2" applyNumberFormat="1" applyFont="1" applyBorder="1"/>
    <xf numFmtId="10" fontId="3" fillId="4" borderId="1" xfId="0" applyNumberFormat="1" applyFont="1" applyFill="1" applyBorder="1"/>
    <xf numFmtId="10" fontId="3" fillId="4" borderId="1" xfId="1" applyNumberFormat="1" applyFont="1" applyFill="1" applyBorder="1"/>
    <xf numFmtId="165" fontId="3" fillId="4" borderId="1" xfId="0" applyNumberFormat="1" applyFont="1" applyFill="1" applyBorder="1"/>
    <xf numFmtId="166" fontId="2" fillId="4" borderId="1" xfId="0" applyNumberFormat="1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2" fillId="0" borderId="0" xfId="0" applyNumberFormat="1" applyFont="1"/>
    <xf numFmtId="165" fontId="3" fillId="0" borderId="1" xfId="0" applyNumberFormat="1" applyFont="1" applyBorder="1"/>
    <xf numFmtId="43" fontId="2" fillId="0" borderId="1" xfId="2" applyFont="1" applyBorder="1"/>
    <xf numFmtId="0" fontId="3" fillId="3" borderId="1" xfId="0" applyFont="1" applyFill="1" applyBorder="1"/>
    <xf numFmtId="166" fontId="2" fillId="0" borderId="1" xfId="0" applyNumberFormat="1" applyFont="1" applyBorder="1"/>
    <xf numFmtId="168" fontId="6" fillId="0" borderId="1" xfId="2" applyNumberFormat="1" applyFont="1" applyFill="1" applyBorder="1"/>
    <xf numFmtId="168" fontId="6" fillId="0" borderId="1" xfId="2" applyNumberFormat="1" applyFont="1" applyBorder="1"/>
    <xf numFmtId="168" fontId="7" fillId="0" borderId="1" xfId="2" applyNumberFormat="1" applyFont="1" applyBorder="1"/>
    <xf numFmtId="168" fontId="6" fillId="4" borderId="1" xfId="2" applyNumberFormat="1" applyFont="1" applyFill="1" applyBorder="1"/>
    <xf numFmtId="0" fontId="6" fillId="0" borderId="1" xfId="0" applyFont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0" fontId="2" fillId="4" borderId="1" xfId="2" applyNumberFormat="1" applyFont="1" applyFill="1" applyBorder="1"/>
    <xf numFmtId="0" fontId="3" fillId="0" borderId="0" xfId="0" applyFont="1" applyAlignment="1">
      <alignment horizontal="center"/>
    </xf>
    <xf numFmtId="168" fontId="2" fillId="0" borderId="0" xfId="2" applyNumberFormat="1" applyFont="1" applyFill="1" applyBorder="1"/>
    <xf numFmtId="168" fontId="3" fillId="0" borderId="0" xfId="2" applyNumberFormat="1" applyFont="1" applyFill="1" applyBorder="1"/>
    <xf numFmtId="43" fontId="2" fillId="0" borderId="1" xfId="2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10" fontId="0" fillId="4" borderId="1" xfId="1" applyNumberFormat="1" applyFont="1" applyFill="1" applyBorder="1"/>
    <xf numFmtId="10" fontId="0" fillId="0" borderId="1" xfId="1" applyNumberFormat="1" applyFont="1" applyBorder="1"/>
    <xf numFmtId="43" fontId="0" fillId="0" borderId="1" xfId="2" applyFont="1" applyBorder="1"/>
    <xf numFmtId="0" fontId="0" fillId="0" borderId="9" xfId="0" applyBorder="1"/>
    <xf numFmtId="2" fontId="0" fillId="4" borderId="1" xfId="0" applyNumberFormat="1" applyFill="1" applyBorder="1"/>
    <xf numFmtId="165" fontId="0" fillId="4" borderId="1" xfId="0" applyNumberFormat="1" applyFill="1" applyBorder="1"/>
    <xf numFmtId="43" fontId="7" fillId="4" borderId="1" xfId="2" applyFont="1" applyFill="1" applyBorder="1"/>
    <xf numFmtId="166" fontId="0" fillId="4" borderId="1" xfId="1" applyNumberFormat="1" applyFont="1" applyFill="1" applyBorder="1"/>
    <xf numFmtId="1" fontId="0" fillId="4" borderId="1" xfId="0" applyNumberFormat="1" applyFill="1" applyBorder="1"/>
    <xf numFmtId="168" fontId="2" fillId="0" borderId="0" xfId="0" applyNumberFormat="1" applyFont="1"/>
    <xf numFmtId="43" fontId="2" fillId="0" borderId="0" xfId="0" applyNumberFormat="1" applyFont="1"/>
    <xf numFmtId="0" fontId="10" fillId="0" borderId="0" xfId="0" applyFont="1"/>
    <xf numFmtId="0" fontId="9" fillId="0" borderId="0" xfId="0" applyFont="1"/>
    <xf numFmtId="165" fontId="10" fillId="0" borderId="0" xfId="0" applyNumberFormat="1" applyFont="1"/>
    <xf numFmtId="2" fontId="9" fillId="0" borderId="0" xfId="0" applyNumberFormat="1" applyFont="1"/>
    <xf numFmtId="0" fontId="9" fillId="5" borderId="0" xfId="0" applyFont="1" applyFill="1"/>
    <xf numFmtId="0" fontId="10" fillId="5" borderId="0" xfId="0" applyFont="1" applyFill="1"/>
    <xf numFmtId="11" fontId="9" fillId="0" borderId="0" xfId="0" applyNumberFormat="1" applyFont="1"/>
    <xf numFmtId="168" fontId="10" fillId="0" borderId="0" xfId="0" applyNumberFormat="1" applyFont="1"/>
    <xf numFmtId="164" fontId="10" fillId="0" borderId="0" xfId="0" applyNumberFormat="1" applyFont="1"/>
    <xf numFmtId="0" fontId="12" fillId="0" borderId="0" xfId="0" applyFont="1"/>
    <xf numFmtId="0" fontId="9" fillId="0" borderId="14" xfId="0" applyFont="1" applyBorder="1"/>
    <xf numFmtId="0" fontId="10" fillId="0" borderId="15" xfId="0" applyFont="1" applyBorder="1"/>
    <xf numFmtId="0" fontId="9" fillId="4" borderId="15" xfId="0" applyFont="1" applyFill="1" applyBorder="1"/>
    <xf numFmtId="0" fontId="12" fillId="4" borderId="15" xfId="0" applyFont="1" applyFill="1" applyBorder="1"/>
    <xf numFmtId="0" fontId="9" fillId="0" borderId="15" xfId="0" applyFont="1" applyBorder="1"/>
    <xf numFmtId="0" fontId="10" fillId="4" borderId="15" xfId="0" applyFont="1" applyFill="1" applyBorder="1"/>
    <xf numFmtId="0" fontId="10" fillId="4" borderId="16" xfId="0" applyFont="1" applyFill="1" applyBorder="1"/>
    <xf numFmtId="168" fontId="9" fillId="0" borderId="18" xfId="2" applyNumberFormat="1" applyFont="1" applyBorder="1"/>
    <xf numFmtId="168" fontId="10" fillId="0" borderId="19" xfId="2" applyNumberFormat="1" applyFont="1" applyBorder="1"/>
    <xf numFmtId="168" fontId="9" fillId="4" borderId="19" xfId="2" applyNumberFormat="1" applyFont="1" applyFill="1" applyBorder="1"/>
    <xf numFmtId="10" fontId="12" fillId="4" borderId="19" xfId="0" applyNumberFormat="1" applyFont="1" applyFill="1" applyBorder="1"/>
    <xf numFmtId="168" fontId="10" fillId="0" borderId="19" xfId="2" applyNumberFormat="1" applyFont="1" applyBorder="1" applyAlignment="1">
      <alignment horizontal="center"/>
    </xf>
    <xf numFmtId="165" fontId="10" fillId="0" borderId="19" xfId="0" applyNumberFormat="1" applyFont="1" applyBorder="1"/>
    <xf numFmtId="165" fontId="9" fillId="4" borderId="19" xfId="0" applyNumberFormat="1" applyFont="1" applyFill="1" applyBorder="1"/>
    <xf numFmtId="43" fontId="9" fillId="0" borderId="19" xfId="2" applyFont="1" applyFill="1" applyBorder="1"/>
    <xf numFmtId="10" fontId="10" fillId="4" borderId="19" xfId="0" applyNumberFormat="1" applyFont="1" applyFill="1" applyBorder="1"/>
    <xf numFmtId="10" fontId="12" fillId="4" borderId="20" xfId="0" applyNumberFormat="1" applyFont="1" applyFill="1" applyBorder="1"/>
    <xf numFmtId="168" fontId="9" fillId="0" borderId="21" xfId="2" applyNumberFormat="1" applyFont="1" applyFill="1" applyBorder="1"/>
    <xf numFmtId="168" fontId="10" fillId="0" borderId="22" xfId="2" applyNumberFormat="1" applyFont="1" applyFill="1" applyBorder="1"/>
    <xf numFmtId="168" fontId="9" fillId="4" borderId="22" xfId="2" applyNumberFormat="1" applyFont="1" applyFill="1" applyBorder="1"/>
    <xf numFmtId="10" fontId="12" fillId="4" borderId="22" xfId="0" applyNumberFormat="1" applyFont="1" applyFill="1" applyBorder="1"/>
    <xf numFmtId="168" fontId="10" fillId="0" borderId="22" xfId="2" applyNumberFormat="1" applyFont="1" applyFill="1" applyBorder="1" applyAlignment="1">
      <alignment horizontal="center"/>
    </xf>
    <xf numFmtId="165" fontId="10" fillId="0" borderId="22" xfId="0" applyNumberFormat="1" applyFont="1" applyBorder="1"/>
    <xf numFmtId="165" fontId="9" fillId="4" borderId="22" xfId="0" applyNumberFormat="1" applyFont="1" applyFill="1" applyBorder="1"/>
    <xf numFmtId="43" fontId="9" fillId="0" borderId="22" xfId="2" applyFont="1" applyFill="1" applyBorder="1"/>
    <xf numFmtId="10" fontId="10" fillId="4" borderId="22" xfId="0" applyNumberFormat="1" applyFont="1" applyFill="1" applyBorder="1"/>
    <xf numFmtId="10" fontId="12" fillId="4" borderId="23" xfId="0" applyNumberFormat="1" applyFont="1" applyFill="1" applyBorder="1"/>
    <xf numFmtId="168" fontId="10" fillId="0" borderId="24" xfId="2" applyNumberFormat="1" applyFont="1" applyFill="1" applyBorder="1"/>
    <xf numFmtId="0" fontId="9" fillId="4" borderId="10" xfId="0" applyFont="1" applyFill="1" applyBorder="1"/>
    <xf numFmtId="0" fontId="9" fillId="4" borderId="17" xfId="0" applyFont="1" applyFill="1" applyBorder="1"/>
    <xf numFmtId="0" fontId="9" fillId="4" borderId="13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8" fontId="13" fillId="0" borderId="21" xfId="2" applyNumberFormat="1" applyFont="1" applyFill="1" applyBorder="1"/>
    <xf numFmtId="168" fontId="13" fillId="0" borderId="22" xfId="2" applyNumberFormat="1" applyFont="1" applyBorder="1"/>
    <xf numFmtId="168" fontId="14" fillId="0" borderId="22" xfId="2" applyNumberFormat="1" applyFont="1" applyBorder="1"/>
    <xf numFmtId="168" fontId="13" fillId="0" borderId="23" xfId="2" applyNumberFormat="1" applyFont="1" applyBorder="1"/>
    <xf numFmtId="168" fontId="13" fillId="4" borderId="26" xfId="2" applyNumberFormat="1" applyFont="1" applyFill="1" applyBorder="1"/>
    <xf numFmtId="168" fontId="13" fillId="0" borderId="14" xfId="2" applyNumberFormat="1" applyFont="1" applyFill="1" applyBorder="1"/>
    <xf numFmtId="168" fontId="13" fillId="0" borderId="15" xfId="2" applyNumberFormat="1" applyFont="1" applyBorder="1"/>
    <xf numFmtId="168" fontId="14" fillId="0" borderId="15" xfId="2" applyNumberFormat="1" applyFont="1" applyBorder="1"/>
    <xf numFmtId="168" fontId="13" fillId="0" borderId="16" xfId="2" applyNumberFormat="1" applyFont="1" applyBorder="1"/>
    <xf numFmtId="168" fontId="13" fillId="4" borderId="27" xfId="2" applyNumberFormat="1" applyFont="1" applyFill="1" applyBorder="1"/>
    <xf numFmtId="0" fontId="13" fillId="4" borderId="28" xfId="0" applyFont="1" applyFill="1" applyBorder="1" applyAlignment="1">
      <alignment horizontal="center"/>
    </xf>
    <xf numFmtId="168" fontId="10" fillId="4" borderId="19" xfId="2" applyNumberFormat="1" applyFont="1" applyFill="1" applyBorder="1"/>
    <xf numFmtId="168" fontId="9" fillId="4" borderId="20" xfId="2" applyNumberFormat="1" applyFont="1" applyFill="1" applyBorder="1"/>
    <xf numFmtId="168" fontId="10" fillId="4" borderId="22" xfId="2" applyNumberFormat="1" applyFont="1" applyFill="1" applyBorder="1"/>
    <xf numFmtId="168" fontId="9" fillId="4" borderId="23" xfId="2" applyNumberFormat="1" applyFont="1" applyFill="1" applyBorder="1"/>
    <xf numFmtId="0" fontId="10" fillId="0" borderId="14" xfId="0" applyFont="1" applyBorder="1"/>
    <xf numFmtId="0" fontId="10" fillId="0" borderId="16" xfId="0" applyFont="1" applyBorder="1"/>
    <xf numFmtId="167" fontId="10" fillId="0" borderId="18" xfId="2" applyNumberFormat="1" applyFont="1" applyFill="1" applyBorder="1"/>
    <xf numFmtId="167" fontId="10" fillId="0" borderId="21" xfId="2" applyNumberFormat="1" applyFont="1" applyFill="1" applyBorder="1"/>
    <xf numFmtId="167" fontId="10" fillId="0" borderId="14" xfId="2" applyNumberFormat="1" applyFont="1" applyFill="1" applyBorder="1"/>
    <xf numFmtId="168" fontId="10" fillId="4" borderId="15" xfId="2" applyNumberFormat="1" applyFont="1" applyFill="1" applyBorder="1"/>
    <xf numFmtId="168" fontId="9" fillId="4" borderId="16" xfId="2" applyNumberFormat="1" applyFont="1" applyFill="1" applyBorder="1"/>
    <xf numFmtId="168" fontId="9" fillId="0" borderId="18" xfId="2" applyNumberFormat="1" applyFont="1" applyFill="1" applyBorder="1"/>
    <xf numFmtId="0" fontId="9" fillId="4" borderId="27" xfId="0" applyFont="1" applyFill="1" applyBorder="1"/>
    <xf numFmtId="0" fontId="10" fillId="0" borderId="30" xfId="0" applyFont="1" applyBorder="1"/>
    <xf numFmtId="0" fontId="10" fillId="0" borderId="29" xfId="0" applyFont="1" applyBorder="1"/>
    <xf numFmtId="165" fontId="10" fillId="0" borderId="15" xfId="0" applyNumberFormat="1" applyFont="1" applyBorder="1"/>
    <xf numFmtId="165" fontId="10" fillId="0" borderId="30" xfId="0" applyNumberFormat="1" applyFont="1" applyBorder="1"/>
    <xf numFmtId="165" fontId="10" fillId="0" borderId="29" xfId="0" applyNumberFormat="1" applyFont="1" applyBorder="1"/>
    <xf numFmtId="165" fontId="10" fillId="0" borderId="16" xfId="0" applyNumberFormat="1" applyFont="1" applyBorder="1"/>
    <xf numFmtId="0" fontId="9" fillId="4" borderId="31" xfId="0" applyFont="1" applyFill="1" applyBorder="1"/>
    <xf numFmtId="168" fontId="9" fillId="4" borderId="31" xfId="2" applyNumberFormat="1" applyFont="1" applyFill="1" applyBorder="1"/>
    <xf numFmtId="168" fontId="9" fillId="4" borderId="10" xfId="2" applyNumberFormat="1" applyFont="1" applyFill="1" applyBorder="1"/>
    <xf numFmtId="168" fontId="9" fillId="4" borderId="25" xfId="2" applyNumberFormat="1" applyFont="1" applyFill="1" applyBorder="1"/>
    <xf numFmtId="168" fontId="9" fillId="4" borderId="13" xfId="2" applyNumberFormat="1" applyFont="1" applyFill="1" applyBorder="1"/>
    <xf numFmtId="168" fontId="10" fillId="0" borderId="18" xfId="2" applyNumberFormat="1" applyFont="1" applyBorder="1"/>
    <xf numFmtId="168" fontId="10" fillId="0" borderId="20" xfId="2" applyNumberFormat="1" applyFont="1" applyBorder="1"/>
    <xf numFmtId="168" fontId="10" fillId="0" borderId="21" xfId="2" applyNumberFormat="1" applyFont="1" applyBorder="1"/>
    <xf numFmtId="168" fontId="10" fillId="0" borderId="22" xfId="2" applyNumberFormat="1" applyFont="1" applyBorder="1"/>
    <xf numFmtId="168" fontId="10" fillId="0" borderId="23" xfId="2" applyNumberFormat="1" applyFont="1" applyBorder="1"/>
    <xf numFmtId="168" fontId="10" fillId="0" borderId="21" xfId="2" applyNumberFormat="1" applyFont="1" applyFill="1" applyBorder="1"/>
    <xf numFmtId="168" fontId="10" fillId="0" borderId="23" xfId="2" applyNumberFormat="1" applyFont="1" applyFill="1" applyBorder="1"/>
    <xf numFmtId="166" fontId="10" fillId="0" borderId="15" xfId="0" applyNumberFormat="1" applyFont="1" applyBorder="1"/>
    <xf numFmtId="43" fontId="10" fillId="4" borderId="15" xfId="2" applyFont="1" applyFill="1" applyBorder="1"/>
    <xf numFmtId="43" fontId="10" fillId="0" borderId="15" xfId="2" applyFont="1" applyFill="1" applyBorder="1"/>
    <xf numFmtId="10" fontId="10" fillId="4" borderId="15" xfId="0" applyNumberFormat="1" applyFont="1" applyFill="1" applyBorder="1"/>
    <xf numFmtId="2" fontId="10" fillId="4" borderId="15" xfId="0" applyNumberFormat="1" applyFont="1" applyFill="1" applyBorder="1"/>
    <xf numFmtId="10" fontId="10" fillId="4" borderId="15" xfId="1" applyNumberFormat="1" applyFont="1" applyFill="1" applyBorder="1"/>
    <xf numFmtId="1" fontId="10" fillId="4" borderId="15" xfId="0" applyNumberFormat="1" applyFont="1" applyFill="1" applyBorder="1"/>
    <xf numFmtId="168" fontId="10" fillId="0" borderId="20" xfId="2" applyNumberFormat="1" applyFont="1" applyFill="1" applyBorder="1"/>
    <xf numFmtId="168" fontId="10" fillId="0" borderId="15" xfId="2" applyNumberFormat="1" applyFont="1" applyBorder="1"/>
    <xf numFmtId="168" fontId="10" fillId="0" borderId="16" xfId="2" applyNumberFormat="1" applyFont="1" applyBorder="1"/>
    <xf numFmtId="168" fontId="10" fillId="0" borderId="14" xfId="2" applyNumberFormat="1" applyFont="1" applyBorder="1"/>
    <xf numFmtId="168" fontId="10" fillId="0" borderId="26" xfId="2" applyNumberFormat="1" applyFont="1" applyBorder="1"/>
    <xf numFmtId="168" fontId="10" fillId="0" borderId="32" xfId="2" applyNumberFormat="1" applyFont="1" applyFill="1" applyBorder="1"/>
    <xf numFmtId="168" fontId="10" fillId="0" borderId="33" xfId="2" applyNumberFormat="1" applyFont="1" applyFill="1" applyBorder="1"/>
    <xf numFmtId="168" fontId="9" fillId="0" borderId="21" xfId="2" applyNumberFormat="1" applyFont="1" applyBorder="1"/>
    <xf numFmtId="168" fontId="9" fillId="0" borderId="22" xfId="2" applyNumberFormat="1" applyFont="1" applyBorder="1"/>
    <xf numFmtId="168" fontId="9" fillId="4" borderId="28" xfId="2" applyNumberFormat="1" applyFont="1" applyFill="1" applyBorder="1"/>
    <xf numFmtId="2" fontId="10" fillId="4" borderId="30" xfId="0" applyNumberFormat="1" applyFont="1" applyFill="1" applyBorder="1"/>
    <xf numFmtId="2" fontId="10" fillId="4" borderId="16" xfId="0" applyNumberFormat="1" applyFont="1" applyFill="1" applyBorder="1"/>
    <xf numFmtId="0" fontId="9" fillId="0" borderId="30" xfId="0" applyFont="1" applyBorder="1"/>
    <xf numFmtId="0" fontId="9" fillId="4" borderId="31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43" fontId="10" fillId="0" borderId="14" xfId="2" applyFont="1" applyBorder="1"/>
    <xf numFmtId="10" fontId="16" fillId="4" borderId="19" xfId="0" applyNumberFormat="1" applyFont="1" applyFill="1" applyBorder="1"/>
    <xf numFmtId="10" fontId="16" fillId="4" borderId="22" xfId="0" applyNumberFormat="1" applyFont="1" applyFill="1" applyBorder="1"/>
    <xf numFmtId="0" fontId="16" fillId="4" borderId="15" xfId="0" applyFont="1" applyFill="1" applyBorder="1"/>
    <xf numFmtId="10" fontId="16" fillId="4" borderId="19" xfId="1" applyNumberFormat="1" applyFont="1" applyFill="1" applyBorder="1"/>
    <xf numFmtId="10" fontId="16" fillId="4" borderId="22" xfId="1" applyNumberFormat="1" applyFont="1" applyFill="1" applyBorder="1"/>
    <xf numFmtId="0" fontId="9" fillId="4" borderId="10" xfId="0" applyFont="1" applyFill="1" applyBorder="1" applyAlignment="1">
      <alignment horizontal="center"/>
    </xf>
    <xf numFmtId="43" fontId="9" fillId="0" borderId="21" xfId="2" applyFont="1" applyFill="1" applyBorder="1"/>
    <xf numFmtId="43" fontId="10" fillId="0" borderId="22" xfId="2" applyFont="1" applyFill="1" applyBorder="1"/>
    <xf numFmtId="43" fontId="9" fillId="4" borderId="22" xfId="2" applyFont="1" applyFill="1" applyBorder="1"/>
    <xf numFmtId="43" fontId="10" fillId="0" borderId="22" xfId="2" quotePrefix="1" applyFont="1" applyFill="1" applyBorder="1" applyAlignment="1">
      <alignment horizontal="right"/>
    </xf>
    <xf numFmtId="43" fontId="10" fillId="0" borderId="24" xfId="2" applyFont="1" applyFill="1" applyBorder="1"/>
    <xf numFmtId="169" fontId="10" fillId="0" borderId="22" xfId="2" applyNumberFormat="1" applyFont="1" applyFill="1" applyBorder="1"/>
    <xf numFmtId="168" fontId="9" fillId="4" borderId="27" xfId="2" applyNumberFormat="1" applyFont="1" applyFill="1" applyBorder="1"/>
    <xf numFmtId="0" fontId="10" fillId="0" borderId="0" xfId="0" applyFont="1" applyAlignment="1">
      <alignment horizontal="right"/>
    </xf>
    <xf numFmtId="0" fontId="9" fillId="4" borderId="27" xfId="0" applyFont="1" applyFill="1" applyBorder="1" applyAlignment="1">
      <alignment horizontal="right"/>
    </xf>
    <xf numFmtId="168" fontId="10" fillId="0" borderId="14" xfId="2" applyNumberFormat="1" applyFont="1" applyBorder="1" applyAlignment="1">
      <alignment horizontal="right"/>
    </xf>
    <xf numFmtId="168" fontId="10" fillId="0" borderId="15" xfId="2" applyNumberFormat="1" applyFont="1" applyBorder="1" applyAlignment="1">
      <alignment horizontal="right"/>
    </xf>
    <xf numFmtId="168" fontId="10" fillId="0" borderId="30" xfId="0" applyNumberFormat="1" applyFont="1" applyBorder="1" applyAlignment="1">
      <alignment horizontal="right"/>
    </xf>
    <xf numFmtId="168" fontId="9" fillId="4" borderId="10" xfId="2" applyNumberFormat="1" applyFont="1" applyFill="1" applyBorder="1" applyAlignment="1">
      <alignment horizontal="right"/>
    </xf>
    <xf numFmtId="168" fontId="10" fillId="0" borderId="29" xfId="0" applyNumberFormat="1" applyFont="1" applyBorder="1" applyAlignment="1">
      <alignment horizontal="right"/>
    </xf>
    <xf numFmtId="168" fontId="10" fillId="0" borderId="16" xfId="2" applyNumberFormat="1" applyFont="1" applyBorder="1" applyAlignment="1">
      <alignment horizontal="right"/>
    </xf>
    <xf numFmtId="168" fontId="9" fillId="4" borderId="27" xfId="2" applyNumberFormat="1" applyFont="1" applyFill="1" applyBorder="1" applyAlignment="1">
      <alignment horizontal="right"/>
    </xf>
    <xf numFmtId="168" fontId="9" fillId="4" borderId="31" xfId="2" applyNumberFormat="1" applyFont="1" applyFill="1" applyBorder="1" applyAlignment="1">
      <alignment horizontal="right"/>
    </xf>
    <xf numFmtId="168" fontId="10" fillId="0" borderId="0" xfId="0" applyNumberFormat="1" applyFont="1" applyAlignment="1">
      <alignment horizontal="right"/>
    </xf>
    <xf numFmtId="168" fontId="10" fillId="0" borderId="16" xfId="0" applyNumberFormat="1" applyFont="1" applyBorder="1" applyAlignment="1">
      <alignment horizontal="right"/>
    </xf>
    <xf numFmtId="168" fontId="9" fillId="4" borderId="25" xfId="2" applyNumberFormat="1" applyFont="1" applyFill="1" applyBorder="1" applyAlignment="1">
      <alignment horizontal="right"/>
    </xf>
    <xf numFmtId="168" fontId="10" fillId="0" borderId="21" xfId="2" applyNumberFormat="1" applyFont="1" applyFill="1" applyBorder="1" applyAlignment="1">
      <alignment horizontal="right"/>
    </xf>
    <xf numFmtId="168" fontId="10" fillId="0" borderId="22" xfId="2" applyNumberFormat="1" applyFont="1" applyFill="1" applyBorder="1" applyAlignment="1">
      <alignment horizontal="right"/>
    </xf>
    <xf numFmtId="168" fontId="10" fillId="0" borderId="23" xfId="2" applyNumberFormat="1" applyFont="1" applyFill="1" applyBorder="1" applyAlignment="1">
      <alignment horizontal="right"/>
    </xf>
    <xf numFmtId="168" fontId="9" fillId="4" borderId="28" xfId="2" applyNumberFormat="1" applyFont="1" applyFill="1" applyBorder="1" applyAlignment="1">
      <alignment horizontal="right"/>
    </xf>
    <xf numFmtId="43" fontId="10" fillId="0" borderId="15" xfId="2" applyFont="1" applyFill="1" applyBorder="1" applyAlignment="1">
      <alignment horizontal="right"/>
    </xf>
    <xf numFmtId="43" fontId="10" fillId="0" borderId="38" xfId="2" applyFont="1" applyBorder="1"/>
    <xf numFmtId="43" fontId="10" fillId="0" borderId="39" xfId="2" applyFont="1" applyFill="1" applyBorder="1"/>
    <xf numFmtId="0" fontId="9" fillId="4" borderId="0" xfId="0" applyFont="1" applyFill="1" applyAlignment="1">
      <alignment horizontal="center"/>
    </xf>
    <xf numFmtId="43" fontId="10" fillId="4" borderId="39" xfId="2" applyFont="1" applyFill="1" applyBorder="1"/>
    <xf numFmtId="10" fontId="10" fillId="4" borderId="39" xfId="0" applyNumberFormat="1" applyFont="1" applyFill="1" applyBorder="1"/>
    <xf numFmtId="2" fontId="10" fillId="4" borderId="39" xfId="0" applyNumberFormat="1" applyFont="1" applyFill="1" applyBorder="1"/>
    <xf numFmtId="10" fontId="10" fillId="4" borderId="39" xfId="1" applyNumberFormat="1" applyFont="1" applyFill="1" applyBorder="1"/>
    <xf numFmtId="1" fontId="10" fillId="4" borderId="39" xfId="0" applyNumberFormat="1" applyFont="1" applyFill="1" applyBorder="1"/>
    <xf numFmtId="2" fontId="10" fillId="4" borderId="40" xfId="0" applyNumberFormat="1" applyFont="1" applyFill="1" applyBorder="1"/>
    <xf numFmtId="2" fontId="10" fillId="4" borderId="41" xfId="0" applyNumberFormat="1" applyFont="1" applyFill="1" applyBorder="1"/>
    <xf numFmtId="0" fontId="0" fillId="0" borderId="15" xfId="0" applyBorder="1"/>
    <xf numFmtId="0" fontId="0" fillId="0" borderId="29" xfId="0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7" fillId="0" borderId="35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1" fillId="4" borderId="36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169" fontId="9" fillId="4" borderId="19" xfId="2" applyNumberFormat="1" applyFont="1" applyFill="1" applyBorder="1"/>
    <xf numFmtId="169" fontId="9" fillId="4" borderId="22" xfId="2" applyNumberFormat="1" applyFont="1" applyFill="1" applyBorder="1"/>
    <xf numFmtId="170" fontId="9" fillId="4" borderId="22" xfId="0" applyNumberFormat="1" applyFont="1" applyFill="1" applyBorder="1"/>
    <xf numFmtId="169" fontId="13" fillId="0" borderId="23" xfId="2" applyNumberFormat="1" applyFont="1" applyBorder="1"/>
    <xf numFmtId="43" fontId="13" fillId="4" borderId="26" xfId="2" applyNumberFormat="1" applyFont="1" applyFill="1" applyBorder="1"/>
    <xf numFmtId="169" fontId="10" fillId="0" borderId="14" xfId="2" applyNumberFormat="1" applyFont="1" applyBorder="1" applyAlignment="1">
      <alignment horizontal="right"/>
    </xf>
    <xf numFmtId="43" fontId="9" fillId="4" borderId="10" xfId="2" applyNumberFormat="1" applyFont="1" applyFill="1" applyBorder="1" applyAlignment="1">
      <alignment horizontal="right"/>
    </xf>
    <xf numFmtId="169" fontId="9" fillId="4" borderId="10" xfId="2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zoomScale="90" zoomScaleNormal="90" zoomScaleSheetLayoutView="85" workbookViewId="0">
      <pane xSplit="1" ySplit="3" topLeftCell="D37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796875" defaultRowHeight="11.5" x14ac:dyDescent="0.25"/>
  <cols>
    <col min="1" max="1" width="45.54296875" style="2" customWidth="1"/>
    <col min="2" max="2" width="8.1796875" style="2" hidden="1" customWidth="1"/>
    <col min="3" max="4" width="11.1796875" style="2" customWidth="1"/>
    <col min="5" max="5" width="14" style="2" bestFit="1" customWidth="1"/>
    <col min="6" max="7" width="11.54296875" style="2" customWidth="1"/>
    <col min="8" max="8" width="3.81640625" style="2" customWidth="1"/>
    <col min="9" max="9" width="40.7265625" style="2" customWidth="1"/>
    <col min="10" max="10" width="13.81640625" style="2" customWidth="1"/>
    <col min="11" max="11" width="10.54296875" style="2" customWidth="1"/>
    <col min="12" max="12" width="13.81640625" style="2" customWidth="1"/>
    <col min="13" max="13" width="10.81640625" style="2" customWidth="1"/>
    <col min="14" max="14" width="10.54296875" style="3" bestFit="1" customWidth="1"/>
    <col min="15" max="15" width="10.26953125" style="2" bestFit="1" customWidth="1"/>
    <col min="16" max="16384" width="9.1796875" style="2"/>
  </cols>
  <sheetData>
    <row r="1" spans="1:18" ht="15" customHeight="1" x14ac:dyDescent="0.25">
      <c r="A1" s="230" t="s">
        <v>120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8" ht="15" customHeight="1" x14ac:dyDescent="0.25">
      <c r="A2" s="232" t="s">
        <v>122</v>
      </c>
      <c r="B2" s="233"/>
      <c r="C2" s="233"/>
      <c r="D2" s="233"/>
      <c r="E2" s="233"/>
      <c r="F2" s="233"/>
      <c r="G2" s="234"/>
      <c r="H2" s="31"/>
      <c r="I2" s="235" t="s">
        <v>92</v>
      </c>
      <c r="J2" s="236"/>
      <c r="K2" s="236"/>
      <c r="L2" s="236"/>
      <c r="M2" s="236"/>
      <c r="N2" s="236"/>
      <c r="O2" s="236"/>
    </row>
    <row r="3" spans="1:18" ht="15" customHeight="1" x14ac:dyDescent="0.25">
      <c r="A3" s="32" t="s">
        <v>0</v>
      </c>
      <c r="B3" s="29" t="s">
        <v>32</v>
      </c>
      <c r="C3" s="29" t="s">
        <v>33</v>
      </c>
      <c r="D3" s="29" t="s">
        <v>34</v>
      </c>
      <c r="E3" s="29" t="s">
        <v>35</v>
      </c>
      <c r="F3" s="29" t="s">
        <v>87</v>
      </c>
      <c r="G3" s="29" t="s">
        <v>121</v>
      </c>
      <c r="H3" s="31"/>
      <c r="I3" s="33" t="s">
        <v>0</v>
      </c>
      <c r="J3" s="4" t="s">
        <v>32</v>
      </c>
      <c r="K3" s="4" t="s">
        <v>33</v>
      </c>
      <c r="L3" s="4" t="s">
        <v>34</v>
      </c>
      <c r="M3" s="4" t="s">
        <v>35</v>
      </c>
      <c r="N3" s="5" t="s">
        <v>87</v>
      </c>
      <c r="O3" s="4" t="s">
        <v>121</v>
      </c>
    </row>
    <row r="4" spans="1:18" ht="15" customHeight="1" x14ac:dyDescent="0.25">
      <c r="A4" s="33" t="s">
        <v>1</v>
      </c>
      <c r="B4" s="34">
        <v>3834.337</v>
      </c>
      <c r="C4" s="34">
        <v>3931.3319999999999</v>
      </c>
      <c r="D4" s="34">
        <v>4336.067</v>
      </c>
      <c r="E4" s="34">
        <v>5707.8519999999999</v>
      </c>
      <c r="F4" s="15">
        <v>6420.732</v>
      </c>
      <c r="G4" s="15">
        <v>7384.05</v>
      </c>
      <c r="H4" s="35"/>
      <c r="I4" s="6" t="s">
        <v>36</v>
      </c>
      <c r="J4" s="18">
        <v>100</v>
      </c>
      <c r="K4" s="18">
        <v>100</v>
      </c>
      <c r="L4" s="18">
        <v>100</v>
      </c>
      <c r="M4" s="18">
        <v>100</v>
      </c>
      <c r="N4" s="23">
        <v>100</v>
      </c>
      <c r="O4" s="18">
        <v>100</v>
      </c>
    </row>
    <row r="5" spans="1:18" ht="15" customHeight="1" x14ac:dyDescent="0.25">
      <c r="A5" s="6" t="s">
        <v>7</v>
      </c>
      <c r="B5" s="18">
        <v>34.843000000000004</v>
      </c>
      <c r="C5" s="18">
        <v>50.811999999999998</v>
      </c>
      <c r="D5" s="18">
        <v>164.81</v>
      </c>
      <c r="E5" s="18">
        <v>210.714</v>
      </c>
      <c r="F5" s="16">
        <v>302.63200000000001</v>
      </c>
      <c r="G5" s="16">
        <v>144.45699999999999</v>
      </c>
      <c r="I5" s="6" t="s">
        <v>37</v>
      </c>
      <c r="J5" s="18">
        <v>747.43499999999995</v>
      </c>
      <c r="K5" s="18">
        <v>813.8</v>
      </c>
      <c r="L5" s="18">
        <v>1029.76</v>
      </c>
      <c r="M5" s="18">
        <v>1483.076</v>
      </c>
      <c r="N5" s="23">
        <v>2126.1080000000002</v>
      </c>
      <c r="O5" s="18">
        <v>2975.7379999999998</v>
      </c>
    </row>
    <row r="6" spans="1:18" ht="15" customHeight="1" x14ac:dyDescent="0.25">
      <c r="A6" s="36" t="s">
        <v>91</v>
      </c>
      <c r="B6" s="17">
        <f t="shared" ref="B6:G6" si="0">B4+B5</f>
        <v>3869.18</v>
      </c>
      <c r="C6" s="17">
        <f t="shared" si="0"/>
        <v>3982.1439999999998</v>
      </c>
      <c r="D6" s="17">
        <f t="shared" si="0"/>
        <v>4500.8770000000004</v>
      </c>
      <c r="E6" s="17">
        <f t="shared" si="0"/>
        <v>5918.5659999999998</v>
      </c>
      <c r="F6" s="17">
        <f t="shared" si="0"/>
        <v>6723.3639999999996</v>
      </c>
      <c r="G6" s="17">
        <f t="shared" si="0"/>
        <v>7528.5070000000005</v>
      </c>
      <c r="I6" s="6" t="s">
        <v>98</v>
      </c>
      <c r="J6" s="18">
        <v>10</v>
      </c>
      <c r="K6" s="18"/>
      <c r="L6" s="18"/>
      <c r="M6" s="18"/>
      <c r="N6" s="23"/>
      <c r="O6" s="18"/>
    </row>
    <row r="7" spans="1:18" ht="15" customHeight="1" x14ac:dyDescent="0.3">
      <c r="A7" s="37" t="s">
        <v>2</v>
      </c>
      <c r="B7" s="19"/>
      <c r="C7" s="19">
        <f t="shared" ref="C7:E7" si="1">(C6/B6-1)</f>
        <v>2.9195850283522562E-2</v>
      </c>
      <c r="D7" s="19">
        <f t="shared" si="1"/>
        <v>0.1302647518522686</v>
      </c>
      <c r="E7" s="19">
        <f t="shared" si="1"/>
        <v>0.314980613778159</v>
      </c>
      <c r="F7" s="19">
        <f>(F6/E6-1)</f>
        <v>0.13597854615459215</v>
      </c>
      <c r="G7" s="7"/>
      <c r="I7" s="36" t="s">
        <v>38</v>
      </c>
      <c r="J7" s="17">
        <f t="shared" ref="J7:O7" si="2">(J4+J6+J5)</f>
        <v>857.43499999999995</v>
      </c>
      <c r="K7" s="17">
        <f t="shared" si="2"/>
        <v>913.8</v>
      </c>
      <c r="L7" s="17">
        <f t="shared" si="2"/>
        <v>1129.76</v>
      </c>
      <c r="M7" s="17">
        <f t="shared" si="2"/>
        <v>1583.076</v>
      </c>
      <c r="N7" s="17">
        <f t="shared" si="2"/>
        <v>2226.1080000000002</v>
      </c>
      <c r="O7" s="17">
        <f t="shared" si="2"/>
        <v>3075.7379999999998</v>
      </c>
    </row>
    <row r="8" spans="1:18" ht="15" customHeight="1" x14ac:dyDescent="0.3">
      <c r="A8" s="37" t="s">
        <v>118</v>
      </c>
      <c r="B8" s="19"/>
      <c r="C8" s="19"/>
      <c r="D8" s="19"/>
      <c r="E8" s="19">
        <f>((E6/B6)^(1/3)-1)</f>
        <v>0.15221233497756992</v>
      </c>
      <c r="F8" s="19">
        <f>((F6/C6)^(1/3)-1)</f>
        <v>0.19075721386327849</v>
      </c>
      <c r="G8" s="19">
        <f>((G6/D6)^(1/3)-1)</f>
        <v>0.1870542609969077</v>
      </c>
      <c r="I8" s="6" t="s">
        <v>39</v>
      </c>
      <c r="J8" s="18"/>
      <c r="K8" s="18"/>
      <c r="L8" s="18"/>
      <c r="M8" s="18"/>
      <c r="N8" s="23"/>
      <c r="O8" s="18"/>
    </row>
    <row r="9" spans="1:18" ht="15" customHeight="1" x14ac:dyDescent="0.25">
      <c r="A9" s="36" t="s">
        <v>4</v>
      </c>
      <c r="B9" s="17">
        <f t="shared" ref="B9:G9" si="3">SUM(B10:B15)</f>
        <v>3337.3310000000001</v>
      </c>
      <c r="C9" s="17">
        <f t="shared" si="3"/>
        <v>3287.9569999999999</v>
      </c>
      <c r="D9" s="17">
        <f t="shared" si="3"/>
        <v>3800.8119999999999</v>
      </c>
      <c r="E9" s="17">
        <f t="shared" si="3"/>
        <v>4798.415</v>
      </c>
      <c r="F9" s="17">
        <f t="shared" si="3"/>
        <v>5202.393</v>
      </c>
      <c r="G9" s="17">
        <f t="shared" si="3"/>
        <v>5742.6379999999999</v>
      </c>
      <c r="I9" s="6" t="s">
        <v>40</v>
      </c>
      <c r="J9" s="18">
        <v>411.74700000000001</v>
      </c>
      <c r="K9" s="18">
        <v>1110.232</v>
      </c>
      <c r="L9" s="18">
        <v>1086.5239999999999</v>
      </c>
      <c r="M9" s="18">
        <v>910.18200000000002</v>
      </c>
      <c r="N9" s="23">
        <v>909.59199999999998</v>
      </c>
      <c r="O9" s="18">
        <v>1054.06</v>
      </c>
    </row>
    <row r="10" spans="1:18" ht="15" customHeight="1" x14ac:dyDescent="0.25">
      <c r="A10" s="6" t="s">
        <v>93</v>
      </c>
      <c r="B10" s="18">
        <v>1535.0340000000001</v>
      </c>
      <c r="C10" s="18">
        <v>1720.566</v>
      </c>
      <c r="D10" s="18">
        <v>1895.6969999999999</v>
      </c>
      <c r="E10" s="18">
        <v>2233.0309999999999</v>
      </c>
      <c r="F10" s="16">
        <v>2238.7570000000001</v>
      </c>
      <c r="G10" s="16">
        <v>2778.4540000000002</v>
      </c>
      <c r="I10" s="6" t="s">
        <v>41</v>
      </c>
      <c r="J10" s="18">
        <v>461.803</v>
      </c>
      <c r="K10" s="18">
        <v>552.54</v>
      </c>
      <c r="L10" s="18">
        <v>848.47799999999995</v>
      </c>
      <c r="M10" s="18">
        <v>744.11599999999999</v>
      </c>
      <c r="N10" s="23">
        <v>675.90300000000002</v>
      </c>
      <c r="O10" s="18">
        <v>536.673</v>
      </c>
    </row>
    <row r="11" spans="1:18" ht="15" customHeight="1" x14ac:dyDescent="0.25">
      <c r="A11" s="6" t="s">
        <v>94</v>
      </c>
      <c r="B11" s="18">
        <v>67.259</v>
      </c>
      <c r="C11" s="18">
        <v>120.536</v>
      </c>
      <c r="D11" s="18">
        <v>336.69499999999999</v>
      </c>
      <c r="E11" s="18">
        <v>46.396999999999998</v>
      </c>
      <c r="F11" s="16">
        <v>160.33600000000001</v>
      </c>
      <c r="G11" s="16">
        <v>64.277000000000001</v>
      </c>
      <c r="I11" s="36" t="s">
        <v>42</v>
      </c>
      <c r="J11" s="17">
        <f t="shared" ref="J11:O11" si="4">(J9+J10)</f>
        <v>873.55</v>
      </c>
      <c r="K11" s="17">
        <f t="shared" si="4"/>
        <v>1662.7719999999999</v>
      </c>
      <c r="L11" s="17">
        <f t="shared" si="4"/>
        <v>1935.002</v>
      </c>
      <c r="M11" s="17">
        <f t="shared" si="4"/>
        <v>1654.298</v>
      </c>
      <c r="N11" s="17">
        <f t="shared" si="4"/>
        <v>1585.4949999999999</v>
      </c>
      <c r="O11" s="17">
        <f t="shared" si="4"/>
        <v>1590.7329999999999</v>
      </c>
      <c r="Q11" s="3"/>
    </row>
    <row r="12" spans="1:18" ht="15" customHeight="1" x14ac:dyDescent="0.25">
      <c r="A12" s="6" t="s">
        <v>95</v>
      </c>
      <c r="B12" s="18">
        <v>64.805999999999997</v>
      </c>
      <c r="C12" s="18">
        <v>-52.238</v>
      </c>
      <c r="D12" s="18">
        <v>-37.491</v>
      </c>
      <c r="E12" s="18">
        <v>106.479</v>
      </c>
      <c r="F12" s="16">
        <v>-83.227999999999994</v>
      </c>
      <c r="G12" s="16">
        <v>2.2050000000000001</v>
      </c>
      <c r="I12" s="36" t="s">
        <v>43</v>
      </c>
      <c r="J12" s="17">
        <f t="shared" ref="J12:N12" si="5">J7+J9+J46+J47+J48</f>
        <v>2050.42</v>
      </c>
      <c r="K12" s="17">
        <f t="shared" si="5"/>
        <v>2889.7089999999998</v>
      </c>
      <c r="L12" s="17">
        <f t="shared" si="5"/>
        <v>3033.989</v>
      </c>
      <c r="M12" s="17">
        <f t="shared" si="5"/>
        <v>3385.431</v>
      </c>
      <c r="N12" s="17">
        <f t="shared" si="5"/>
        <v>4045.3679999999999</v>
      </c>
      <c r="O12" s="17">
        <f>O7+O9+O46+O47+O48</f>
        <v>5032.6980000000003</v>
      </c>
      <c r="P12" s="3"/>
    </row>
    <row r="13" spans="1:18" ht="15" customHeight="1" x14ac:dyDescent="0.25">
      <c r="A13" s="6" t="s">
        <v>66</v>
      </c>
      <c r="B13" s="18">
        <v>222.232</v>
      </c>
      <c r="C13" s="18">
        <v>236.56100000000001</v>
      </c>
      <c r="D13" s="18">
        <v>275.14100000000002</v>
      </c>
      <c r="E13" s="18">
        <v>353.95600000000002</v>
      </c>
      <c r="F13" s="16">
        <v>435.91300000000001</v>
      </c>
      <c r="G13" s="16">
        <v>472.25200000000001</v>
      </c>
      <c r="I13" s="36" t="s">
        <v>43</v>
      </c>
      <c r="J13" s="17">
        <f t="shared" ref="J13:N13" si="6">J50-J37</f>
        <v>2191.442</v>
      </c>
      <c r="K13" s="17">
        <f t="shared" si="6"/>
        <v>2939.473</v>
      </c>
      <c r="L13" s="17">
        <f t="shared" si="6"/>
        <v>3035.1559999999999</v>
      </c>
      <c r="M13" s="17">
        <f t="shared" si="6"/>
        <v>3385.4309999999996</v>
      </c>
      <c r="N13" s="17">
        <f t="shared" si="6"/>
        <v>4045.3689999999997</v>
      </c>
      <c r="O13" s="17">
        <f>O50-O37</f>
        <v>5032.6979999999994</v>
      </c>
    </row>
    <row r="14" spans="1:18" ht="15" customHeight="1" x14ac:dyDescent="0.25">
      <c r="A14" s="6" t="s">
        <v>96</v>
      </c>
      <c r="B14" s="18">
        <v>0</v>
      </c>
      <c r="C14" s="18">
        <v>0</v>
      </c>
      <c r="D14" s="18">
        <v>0</v>
      </c>
      <c r="E14" s="18">
        <v>286.72399999999999</v>
      </c>
      <c r="F14" s="16">
        <v>79.688999999999993</v>
      </c>
      <c r="G14" s="16">
        <v>0</v>
      </c>
      <c r="I14" s="6"/>
      <c r="J14" s="16"/>
      <c r="K14" s="16"/>
      <c r="L14" s="16"/>
      <c r="M14" s="16"/>
      <c r="N14" s="16"/>
      <c r="O14" s="16"/>
    </row>
    <row r="15" spans="1:18" ht="15" customHeight="1" x14ac:dyDescent="0.25">
      <c r="A15" s="6" t="s">
        <v>69</v>
      </c>
      <c r="B15" s="18">
        <v>1448</v>
      </c>
      <c r="C15" s="18">
        <v>1262.5319999999999</v>
      </c>
      <c r="D15" s="18">
        <v>1330.77</v>
      </c>
      <c r="E15" s="18">
        <v>1771.828</v>
      </c>
      <c r="F15" s="16">
        <v>2370.9259999999999</v>
      </c>
      <c r="G15" s="16">
        <v>2425.4499999999998</v>
      </c>
      <c r="J15" s="24"/>
      <c r="K15" s="24"/>
      <c r="L15" s="24"/>
      <c r="M15" s="24"/>
      <c r="N15" s="24"/>
      <c r="O15" s="38"/>
    </row>
    <row r="16" spans="1:18" ht="15" customHeight="1" x14ac:dyDescent="0.25">
      <c r="A16" s="36" t="s">
        <v>5</v>
      </c>
      <c r="B16" s="17">
        <f t="shared" ref="B16:G16" si="7">(B6-B9)</f>
        <v>531.84899999999971</v>
      </c>
      <c r="C16" s="17">
        <f t="shared" si="7"/>
        <v>694.1869999999999</v>
      </c>
      <c r="D16" s="17">
        <f t="shared" si="7"/>
        <v>700.06500000000051</v>
      </c>
      <c r="E16" s="17">
        <f t="shared" si="7"/>
        <v>1120.1509999999998</v>
      </c>
      <c r="F16" s="17">
        <f t="shared" si="7"/>
        <v>1520.9709999999995</v>
      </c>
      <c r="G16" s="17">
        <f t="shared" si="7"/>
        <v>1785.8690000000006</v>
      </c>
      <c r="I16" s="6" t="s">
        <v>103</v>
      </c>
      <c r="J16" s="18">
        <v>1562.6210000000001</v>
      </c>
      <c r="K16" s="18">
        <v>2041.8330000000001</v>
      </c>
      <c r="L16" s="18">
        <v>2507.09</v>
      </c>
      <c r="M16" s="18">
        <v>2913.5680000000002</v>
      </c>
      <c r="N16" s="23">
        <v>3119.377</v>
      </c>
      <c r="O16" s="18">
        <v>3826.44</v>
      </c>
      <c r="Q16" s="72">
        <f>SUM(O16:O23)</f>
        <v>4504.6119999999992</v>
      </c>
      <c r="R16" s="73">
        <f>O7+O11</f>
        <v>4666.4709999999995</v>
      </c>
    </row>
    <row r="17" spans="1:17" ht="15" customHeight="1" x14ac:dyDescent="0.3">
      <c r="A17" s="37" t="s">
        <v>2</v>
      </c>
      <c r="B17" s="19"/>
      <c r="C17" s="19">
        <f t="shared" ref="C17:E17" si="8">(C16/B16-1)</f>
        <v>0.30523325229529497</v>
      </c>
      <c r="D17" s="19">
        <f t="shared" si="8"/>
        <v>8.4674590564222108E-3</v>
      </c>
      <c r="E17" s="19">
        <f t="shared" si="8"/>
        <v>0.60006713662302658</v>
      </c>
      <c r="F17" s="19">
        <f>(F16/E16-1)</f>
        <v>0.35782675728540148</v>
      </c>
      <c r="G17" s="7"/>
      <c r="I17" s="6" t="s">
        <v>99</v>
      </c>
      <c r="J17" s="18">
        <v>331.71899999999999</v>
      </c>
      <c r="K17" s="18">
        <v>447.46499999999997</v>
      </c>
      <c r="L17" s="18">
        <v>266.49700000000001</v>
      </c>
      <c r="M17" s="18">
        <v>98.793999999999997</v>
      </c>
      <c r="N17" s="23">
        <v>294.95600000000002</v>
      </c>
      <c r="O17" s="18">
        <v>561.29100000000005</v>
      </c>
      <c r="Q17" s="72">
        <f>O24</f>
        <v>2099.1469999999999</v>
      </c>
    </row>
    <row r="18" spans="1:17" ht="15" customHeight="1" x14ac:dyDescent="0.3">
      <c r="A18" s="37" t="s">
        <v>118</v>
      </c>
      <c r="B18" s="19"/>
      <c r="C18" s="19"/>
      <c r="D18" s="19"/>
      <c r="E18" s="19">
        <f>((E16/B16)^(1/3)-1)</f>
        <v>0.28182697871289686</v>
      </c>
      <c r="F18" s="19">
        <f>((F16/C16)^(1/3)-1)</f>
        <v>0.29881756217785371</v>
      </c>
      <c r="G18" s="19">
        <f>((G16/D16)^(1/3)-1)</f>
        <v>0.36637658486436409</v>
      </c>
      <c r="I18" s="6" t="s">
        <v>104</v>
      </c>
      <c r="J18" s="18"/>
      <c r="K18" s="18"/>
      <c r="L18" s="18"/>
      <c r="M18" s="18"/>
      <c r="N18" s="23"/>
      <c r="O18" s="18"/>
      <c r="Q18" s="3">
        <f>SUM(Q16:Q17)</f>
        <v>6603.7589999999991</v>
      </c>
    </row>
    <row r="19" spans="1:17" ht="15" customHeight="1" x14ac:dyDescent="0.25">
      <c r="A19" s="36" t="s">
        <v>6</v>
      </c>
      <c r="B19" s="39">
        <f t="shared" ref="B19:G19" si="9">(B16/B6)</f>
        <v>0.13745780759747536</v>
      </c>
      <c r="C19" s="39">
        <f t="shared" si="9"/>
        <v>0.17432493651661013</v>
      </c>
      <c r="D19" s="39">
        <f t="shared" si="9"/>
        <v>0.15553968704321411</v>
      </c>
      <c r="E19" s="39">
        <f t="shared" si="9"/>
        <v>0.1892605404755138</v>
      </c>
      <c r="F19" s="39">
        <f t="shared" si="9"/>
        <v>0.2262217247199467</v>
      </c>
      <c r="G19" s="39">
        <f t="shared" si="9"/>
        <v>0.23721423118820245</v>
      </c>
      <c r="I19" s="6" t="s">
        <v>106</v>
      </c>
      <c r="J19" s="18">
        <v>112.7</v>
      </c>
      <c r="K19" s="18">
        <v>71.7</v>
      </c>
      <c r="L19" s="18">
        <v>66.02</v>
      </c>
      <c r="M19" s="18">
        <v>29.785</v>
      </c>
      <c r="N19" s="23">
        <v>29.359000000000002</v>
      </c>
      <c r="O19" s="18">
        <v>31.106999999999999</v>
      </c>
    </row>
    <row r="20" spans="1:17" ht="15" customHeight="1" x14ac:dyDescent="0.25">
      <c r="A20" s="6" t="s">
        <v>8</v>
      </c>
      <c r="B20" s="18">
        <v>267.053</v>
      </c>
      <c r="C20" s="18">
        <v>529.86599999999999</v>
      </c>
      <c r="D20" s="18">
        <v>332.48099999999999</v>
      </c>
      <c r="E20" s="18">
        <f>400.277+0.036</f>
        <v>400.31299999999999</v>
      </c>
      <c r="F20" s="16">
        <v>450.40699999999998</v>
      </c>
      <c r="G20" s="16">
        <v>477.31599999999997</v>
      </c>
      <c r="I20" s="6" t="s">
        <v>105</v>
      </c>
      <c r="J20" s="18">
        <v>0</v>
      </c>
      <c r="K20" s="18">
        <v>0</v>
      </c>
      <c r="L20" s="18"/>
      <c r="M20" s="18">
        <v>31.154</v>
      </c>
      <c r="N20" s="23">
        <v>34.917999999999999</v>
      </c>
      <c r="O20" s="18">
        <v>16.812000000000001</v>
      </c>
      <c r="Q20" s="72">
        <f>O7</f>
        <v>3075.7379999999998</v>
      </c>
    </row>
    <row r="21" spans="1:17" ht="15" customHeight="1" x14ac:dyDescent="0.25">
      <c r="A21" s="6" t="s">
        <v>117</v>
      </c>
      <c r="B21" s="18">
        <v>155.785</v>
      </c>
      <c r="C21" s="18">
        <v>163.47800000000001</v>
      </c>
      <c r="D21" s="18">
        <v>251.005</v>
      </c>
      <c r="E21" s="18">
        <v>244.70699999999999</v>
      </c>
      <c r="F21" s="16">
        <v>237.25899999999999</v>
      </c>
      <c r="G21" s="16">
        <v>207.75</v>
      </c>
      <c r="I21" s="6" t="s">
        <v>107</v>
      </c>
      <c r="J21" s="18"/>
      <c r="K21" s="18">
        <v>0</v>
      </c>
      <c r="L21" s="18">
        <v>10.196999999999999</v>
      </c>
      <c r="M21" s="18">
        <v>10.177</v>
      </c>
      <c r="N21" s="23">
        <v>9.9730000000000008</v>
      </c>
      <c r="O21" s="18">
        <v>10.19</v>
      </c>
      <c r="Q21" s="73">
        <f>O37+O10</f>
        <v>2107.7339999999999</v>
      </c>
    </row>
    <row r="22" spans="1:17" ht="15" customHeight="1" x14ac:dyDescent="0.25">
      <c r="A22" s="6" t="s">
        <v>9</v>
      </c>
      <c r="B22" s="18"/>
      <c r="C22" s="18">
        <v>0</v>
      </c>
      <c r="D22" s="18">
        <v>0</v>
      </c>
      <c r="E22" s="18">
        <v>0</v>
      </c>
      <c r="F22" s="16">
        <v>0</v>
      </c>
      <c r="G22" s="16">
        <v>0</v>
      </c>
      <c r="I22" s="6" t="s">
        <v>108</v>
      </c>
      <c r="J22" s="18">
        <v>0</v>
      </c>
      <c r="K22" s="18">
        <v>0</v>
      </c>
      <c r="L22" s="18"/>
      <c r="M22" s="18">
        <v>32.003999999999998</v>
      </c>
      <c r="N22" s="23">
        <v>47.939</v>
      </c>
      <c r="O22" s="18">
        <v>58.771999999999998</v>
      </c>
      <c r="Q22" s="73">
        <f>+SUM(O45:O49)+O9</f>
        <v>1956.96</v>
      </c>
    </row>
    <row r="23" spans="1:17" ht="15" customHeight="1" x14ac:dyDescent="0.25">
      <c r="A23" s="6" t="s">
        <v>97</v>
      </c>
      <c r="B23" s="18">
        <v>-3.8010000000000002</v>
      </c>
      <c r="C23" s="18">
        <v>-0.99099999999999999</v>
      </c>
      <c r="D23" s="18">
        <v>-15.792</v>
      </c>
      <c r="E23" s="18">
        <v>0</v>
      </c>
      <c r="F23" s="16">
        <v>0</v>
      </c>
      <c r="G23" s="16">
        <v>0</v>
      </c>
      <c r="I23" s="6" t="s">
        <v>109</v>
      </c>
      <c r="J23" s="18"/>
      <c r="K23" s="18">
        <v>0</v>
      </c>
      <c r="L23" s="18"/>
      <c r="M23" s="18">
        <v>7.843</v>
      </c>
      <c r="N23" s="23">
        <v>3.7069999999999999</v>
      </c>
      <c r="O23" s="18">
        <v>0</v>
      </c>
      <c r="Q23" s="72">
        <f>SUM(Q20:Q22)</f>
        <v>7140.4319999999998</v>
      </c>
    </row>
    <row r="24" spans="1:17" ht="15" customHeight="1" x14ac:dyDescent="0.25">
      <c r="A24" s="36" t="s">
        <v>10</v>
      </c>
      <c r="B24" s="17">
        <f t="shared" ref="B24:G24" si="10">(B16-B20-B21+B23+B22)</f>
        <v>105.20999999999971</v>
      </c>
      <c r="C24" s="17">
        <f t="shared" si="10"/>
        <v>-0.14800000000009594</v>
      </c>
      <c r="D24" s="17">
        <f t="shared" si="10"/>
        <v>100.78700000000052</v>
      </c>
      <c r="E24" s="17">
        <f t="shared" si="10"/>
        <v>475.13099999999986</v>
      </c>
      <c r="F24" s="17">
        <f t="shared" si="10"/>
        <v>833.30499999999961</v>
      </c>
      <c r="G24" s="17">
        <f t="shared" si="10"/>
        <v>1100.8030000000006</v>
      </c>
      <c r="I24" s="36" t="s">
        <v>44</v>
      </c>
      <c r="J24" s="17">
        <f t="shared" ref="J24:O24" si="11">SUM(J25:J36)</f>
        <v>1169.6309999999999</v>
      </c>
      <c r="K24" s="17">
        <f t="shared" si="11"/>
        <v>1513.03</v>
      </c>
      <c r="L24" s="17">
        <f t="shared" si="11"/>
        <v>1805.9359999999997</v>
      </c>
      <c r="M24" s="17">
        <f t="shared" si="11"/>
        <v>1835.7940000000001</v>
      </c>
      <c r="N24" s="17">
        <f t="shared" si="11"/>
        <v>2278.4169999999999</v>
      </c>
      <c r="O24" s="17">
        <f t="shared" si="11"/>
        <v>2099.1469999999999</v>
      </c>
    </row>
    <row r="25" spans="1:17" ht="15" customHeight="1" x14ac:dyDescent="0.25">
      <c r="A25" s="6" t="s">
        <v>11</v>
      </c>
      <c r="B25" s="18">
        <f>71-100.757</f>
        <v>-29.757000000000005</v>
      </c>
      <c r="C25" s="18">
        <f>12.7-91.259</f>
        <v>-78.558999999999997</v>
      </c>
      <c r="D25" s="18">
        <v>-30.376000000000001</v>
      </c>
      <c r="E25" s="18">
        <v>19.614000000000001</v>
      </c>
      <c r="F25" s="16">
        <f>63.926+82.676</f>
        <v>146.602</v>
      </c>
      <c r="G25" s="16">
        <f>181.395+41.699</f>
        <v>223.09399999999999</v>
      </c>
      <c r="I25" s="6" t="s">
        <v>45</v>
      </c>
      <c r="J25" s="18">
        <v>270.77600000000001</v>
      </c>
      <c r="K25" s="18">
        <v>519.76300000000003</v>
      </c>
      <c r="L25" s="18">
        <v>551.79499999999996</v>
      </c>
      <c r="M25" s="18">
        <v>278.30200000000002</v>
      </c>
      <c r="N25" s="23">
        <v>526.05499999999995</v>
      </c>
      <c r="O25" s="18">
        <v>598.71100000000001</v>
      </c>
    </row>
    <row r="26" spans="1:17" ht="15" customHeight="1" x14ac:dyDescent="0.3">
      <c r="A26" s="37" t="s">
        <v>12</v>
      </c>
      <c r="B26" s="19">
        <f t="shared" ref="B26:G26" si="12">(B25/B24)</f>
        <v>-0.28283433133732616</v>
      </c>
      <c r="C26" s="19"/>
      <c r="D26" s="19"/>
      <c r="E26" s="19">
        <f t="shared" si="12"/>
        <v>4.1281246645661948E-2</v>
      </c>
      <c r="F26" s="19">
        <f t="shared" si="12"/>
        <v>0.17592838156497329</v>
      </c>
      <c r="G26" s="19">
        <f t="shared" si="12"/>
        <v>0.2026647819818804</v>
      </c>
      <c r="I26" s="6" t="s">
        <v>110</v>
      </c>
      <c r="J26" s="18">
        <v>0</v>
      </c>
      <c r="K26" s="18">
        <v>0</v>
      </c>
      <c r="L26" s="18">
        <v>85.355999999999995</v>
      </c>
      <c r="M26" s="18">
        <v>179.05799999999999</v>
      </c>
      <c r="N26" s="23">
        <v>295.16500000000002</v>
      </c>
      <c r="O26" s="18">
        <v>302.92</v>
      </c>
    </row>
    <row r="27" spans="1:17" ht="15" customHeight="1" x14ac:dyDescent="0.25">
      <c r="A27" s="36" t="s">
        <v>13</v>
      </c>
      <c r="B27" s="17">
        <f t="shared" ref="B27:G27" si="13">(B24-B25)</f>
        <v>134.9669999999997</v>
      </c>
      <c r="C27" s="17">
        <f t="shared" si="13"/>
        <v>78.410999999999902</v>
      </c>
      <c r="D27" s="17">
        <f>(D24-D25)</f>
        <v>131.16300000000052</v>
      </c>
      <c r="E27" s="17">
        <f t="shared" si="13"/>
        <v>455.51699999999988</v>
      </c>
      <c r="F27" s="17">
        <f t="shared" si="13"/>
        <v>686.70299999999963</v>
      </c>
      <c r="G27" s="17">
        <f t="shared" si="13"/>
        <v>877.70900000000051</v>
      </c>
      <c r="I27" s="6" t="s">
        <v>104</v>
      </c>
      <c r="J27" s="18"/>
      <c r="K27" s="18"/>
      <c r="L27" s="18"/>
      <c r="M27" s="18"/>
      <c r="N27" s="23"/>
      <c r="O27" s="18"/>
    </row>
    <row r="28" spans="1:17" ht="15" customHeight="1" x14ac:dyDescent="0.25">
      <c r="A28" s="36" t="s">
        <v>81</v>
      </c>
      <c r="B28" s="40">
        <f t="shared" ref="B28:G28" si="14">B27/B6</f>
        <v>3.4882584940478266E-2</v>
      </c>
      <c r="C28" s="40">
        <f t="shared" si="14"/>
        <v>1.9690649057392175E-2</v>
      </c>
      <c r="D28" s="40">
        <f t="shared" si="14"/>
        <v>2.9141653948774986E-2</v>
      </c>
      <c r="E28" s="40">
        <f t="shared" si="14"/>
        <v>7.6964082178014051E-2</v>
      </c>
      <c r="F28" s="40">
        <f t="shared" si="14"/>
        <v>0.10213681722423472</v>
      </c>
      <c r="G28" s="40">
        <f t="shared" si="14"/>
        <v>0.11658473585798625</v>
      </c>
      <c r="I28" s="6" t="s">
        <v>115</v>
      </c>
      <c r="J28" s="18">
        <v>739.08699999999999</v>
      </c>
      <c r="K28" s="18">
        <v>752.17</v>
      </c>
      <c r="L28" s="18">
        <v>977.08500000000004</v>
      </c>
      <c r="M28" s="18">
        <v>1048.837</v>
      </c>
      <c r="N28" s="23">
        <v>1179.396</v>
      </c>
      <c r="O28" s="18">
        <v>1057.4159999999999</v>
      </c>
      <c r="P28" s="3"/>
    </row>
    <row r="29" spans="1:17" ht="15" customHeight="1" x14ac:dyDescent="0.25">
      <c r="A29" s="6" t="s">
        <v>14</v>
      </c>
      <c r="B29" s="1"/>
      <c r="C29" s="1"/>
      <c r="D29" s="1"/>
      <c r="E29" s="1"/>
      <c r="F29" s="1">
        <v>0</v>
      </c>
      <c r="G29" s="1"/>
      <c r="I29" s="6" t="s">
        <v>112</v>
      </c>
      <c r="J29" s="18">
        <v>47.558</v>
      </c>
      <c r="K29" s="18">
        <v>55.798000000000002</v>
      </c>
      <c r="L29" s="18">
        <v>1.081</v>
      </c>
      <c r="M29" s="18">
        <v>2.9870000000000001</v>
      </c>
      <c r="N29" s="23">
        <v>13.461</v>
      </c>
      <c r="O29" s="18">
        <v>4.6909999999999998</v>
      </c>
    </row>
    <row r="30" spans="1:17" ht="15" customHeight="1" x14ac:dyDescent="0.25">
      <c r="A30" s="6" t="s">
        <v>70</v>
      </c>
      <c r="B30" s="1"/>
      <c r="C30" s="1"/>
      <c r="D30" s="1"/>
      <c r="E30" s="1">
        <v>-2.1989999999999998</v>
      </c>
      <c r="F30" s="1">
        <f>-11.566+4.003</f>
        <v>-7.5630000000000006</v>
      </c>
      <c r="G30" s="1">
        <f>3.136-1.085</f>
        <v>2.0510000000000002</v>
      </c>
      <c r="I30" s="6" t="s">
        <v>111</v>
      </c>
      <c r="J30" s="18">
        <v>0</v>
      </c>
      <c r="K30" s="18"/>
      <c r="L30" s="18">
        <v>49.451000000000001</v>
      </c>
      <c r="M30" s="18">
        <v>73.844999999999999</v>
      </c>
      <c r="N30" s="23">
        <v>63.500999999999998</v>
      </c>
      <c r="O30" s="18">
        <v>35.395000000000003</v>
      </c>
    </row>
    <row r="31" spans="1:17" ht="15" customHeight="1" x14ac:dyDescent="0.25">
      <c r="A31" s="36" t="s">
        <v>15</v>
      </c>
      <c r="B31" s="41">
        <f t="shared" ref="B31:F31" si="15">(B27-B29+B30)</f>
        <v>134.9669999999997</v>
      </c>
      <c r="C31" s="41">
        <f t="shared" si="15"/>
        <v>78.410999999999902</v>
      </c>
      <c r="D31" s="41">
        <f t="shared" si="15"/>
        <v>131.16300000000052</v>
      </c>
      <c r="E31" s="41">
        <f t="shared" si="15"/>
        <v>453.31799999999987</v>
      </c>
      <c r="F31" s="41">
        <f t="shared" si="15"/>
        <v>679.13999999999965</v>
      </c>
      <c r="G31" s="41">
        <f>(G27-G29+G30)</f>
        <v>879.76000000000056</v>
      </c>
      <c r="I31" s="6" t="s">
        <v>113</v>
      </c>
      <c r="J31" s="18">
        <v>0</v>
      </c>
      <c r="K31" s="18"/>
      <c r="L31" s="18">
        <v>11.760999999999999</v>
      </c>
      <c r="M31" s="18">
        <v>18.677</v>
      </c>
      <c r="N31" s="23">
        <v>23.478999999999999</v>
      </c>
      <c r="O31" s="18">
        <v>26.283000000000001</v>
      </c>
    </row>
    <row r="32" spans="1:17" ht="15" customHeight="1" x14ac:dyDescent="0.3">
      <c r="A32" s="37" t="s">
        <v>2</v>
      </c>
      <c r="B32" s="19"/>
      <c r="C32" s="19">
        <f t="shared" ref="C32:E32" si="16">(C31/B31-1)</f>
        <v>-0.41903576429793898</v>
      </c>
      <c r="D32" s="19">
        <f t="shared" si="16"/>
        <v>0.6727627501243536</v>
      </c>
      <c r="E32" s="19">
        <f t="shared" si="16"/>
        <v>2.4561423572196279</v>
      </c>
      <c r="F32" s="19">
        <f>(F31/E31-1)</f>
        <v>0.49815361401929725</v>
      </c>
      <c r="G32" s="7"/>
      <c r="I32" s="6" t="s">
        <v>114</v>
      </c>
      <c r="J32" s="18">
        <v>0</v>
      </c>
      <c r="K32" s="18"/>
      <c r="L32" s="18">
        <v>0</v>
      </c>
      <c r="M32" s="18">
        <v>18.998999999999999</v>
      </c>
      <c r="N32" s="23">
        <v>21.341999999999999</v>
      </c>
      <c r="O32" s="18">
        <v>0</v>
      </c>
    </row>
    <row r="33" spans="1:15" ht="12" x14ac:dyDescent="0.3">
      <c r="A33" s="37" t="s">
        <v>3</v>
      </c>
      <c r="B33" s="19"/>
      <c r="C33" s="19"/>
      <c r="D33" s="19"/>
      <c r="E33" s="19">
        <f>((E31/B31)^(1/3)-1)</f>
        <v>0.49758606321175236</v>
      </c>
      <c r="F33" s="19">
        <f>((F31/C31)^(1/3)-1)</f>
        <v>1.0536547746995937</v>
      </c>
      <c r="G33" s="19">
        <f>((G31/D31)^(1/3)-1)</f>
        <v>0.88589549701188375</v>
      </c>
      <c r="I33" s="6" t="s">
        <v>100</v>
      </c>
      <c r="J33" s="18">
        <v>66.397999999999996</v>
      </c>
      <c r="K33" s="18">
        <v>87.668000000000006</v>
      </c>
      <c r="L33" s="18">
        <v>0</v>
      </c>
      <c r="M33" s="18"/>
      <c r="N33" s="23">
        <v>0</v>
      </c>
      <c r="O33" s="18">
        <v>0</v>
      </c>
    </row>
    <row r="34" spans="1:15" x14ac:dyDescent="0.25">
      <c r="A34" s="33" t="s">
        <v>16</v>
      </c>
      <c r="B34" s="20">
        <v>13.34</v>
      </c>
      <c r="C34" s="20">
        <v>7.84</v>
      </c>
      <c r="D34" s="20">
        <v>13.12</v>
      </c>
      <c r="E34" s="20">
        <v>45.55</v>
      </c>
      <c r="F34" s="20">
        <v>68.67</v>
      </c>
      <c r="G34" s="20">
        <v>87.77</v>
      </c>
      <c r="H34" s="31"/>
      <c r="I34" s="6" t="s">
        <v>67</v>
      </c>
      <c r="J34" s="18">
        <v>45.811999999999998</v>
      </c>
      <c r="K34" s="18">
        <v>97.631</v>
      </c>
      <c r="L34" s="18">
        <v>129.40700000000001</v>
      </c>
      <c r="M34" s="18">
        <v>215.089</v>
      </c>
      <c r="N34" s="23">
        <v>156.018</v>
      </c>
      <c r="O34" s="18">
        <v>73.730999999999995</v>
      </c>
    </row>
    <row r="35" spans="1:15" x14ac:dyDescent="0.25">
      <c r="A35" s="12" t="s">
        <v>2</v>
      </c>
      <c r="B35" s="27"/>
      <c r="C35" s="27">
        <f>(C34/B34-1)</f>
        <v>-0.41229385307346322</v>
      </c>
      <c r="D35" s="27">
        <f t="shared" ref="D35:E35" si="17">(D34/C34-1)</f>
        <v>0.6734693877551019</v>
      </c>
      <c r="E35" s="27">
        <f t="shared" si="17"/>
        <v>2.4717987804878048</v>
      </c>
      <c r="F35" s="27">
        <f>(F34/E34-1)</f>
        <v>0.50757409440175638</v>
      </c>
      <c r="G35" s="12"/>
      <c r="H35" s="31"/>
      <c r="I35" s="6" t="s">
        <v>68</v>
      </c>
      <c r="J35" s="18">
        <v>0</v>
      </c>
      <c r="K35" s="18"/>
      <c r="L35" s="18">
        <v>0</v>
      </c>
      <c r="M35" s="18">
        <v>0</v>
      </c>
      <c r="N35" s="23">
        <v>0</v>
      </c>
      <c r="O35" s="18">
        <v>0</v>
      </c>
    </row>
    <row r="36" spans="1:15" ht="12" x14ac:dyDescent="0.3">
      <c r="A36" s="12" t="s">
        <v>3</v>
      </c>
      <c r="B36" s="42"/>
      <c r="C36" s="42"/>
      <c r="D36" s="42"/>
      <c r="E36" s="19">
        <f>((E34/B34)^(1/3)-1)</f>
        <v>0.50583545092302584</v>
      </c>
      <c r="F36" s="19">
        <f>((F34/C34)^(1/3)-1)</f>
        <v>1.0613433104988728</v>
      </c>
      <c r="G36" s="12"/>
      <c r="H36" s="31"/>
      <c r="I36" s="6" t="s">
        <v>85</v>
      </c>
      <c r="J36" s="18">
        <v>0</v>
      </c>
      <c r="K36" s="18"/>
      <c r="L36" s="18">
        <v>0</v>
      </c>
      <c r="M36" s="18">
        <v>0</v>
      </c>
      <c r="N36" s="23">
        <v>0</v>
      </c>
      <c r="O36" s="18">
        <v>0</v>
      </c>
    </row>
    <row r="37" spans="1:15" x14ac:dyDescent="0.25">
      <c r="H37" s="31"/>
      <c r="I37" s="36" t="s">
        <v>46</v>
      </c>
      <c r="J37" s="17">
        <f t="shared" ref="J37:N37" si="18">SUM(J38:J43)+J10</f>
        <v>985.22900000000004</v>
      </c>
      <c r="K37" s="17">
        <f t="shared" si="18"/>
        <v>1134.5550000000001</v>
      </c>
      <c r="L37" s="17">
        <f t="shared" si="18"/>
        <v>1620.5839999999998</v>
      </c>
      <c r="M37" s="17">
        <f t="shared" si="18"/>
        <v>1573.6880000000001</v>
      </c>
      <c r="N37" s="17">
        <f t="shared" si="18"/>
        <v>1773.277</v>
      </c>
      <c r="O37" s="17">
        <f>SUM(O38:O43)+O10</f>
        <v>1571.0609999999999</v>
      </c>
    </row>
    <row r="38" spans="1:15" x14ac:dyDescent="0.25">
      <c r="A38" s="44"/>
      <c r="B38" s="44"/>
      <c r="C38" s="44"/>
      <c r="D38" s="44"/>
      <c r="E38" s="44"/>
      <c r="F38" s="44"/>
      <c r="G38" s="44"/>
      <c r="I38" s="6" t="s">
        <v>83</v>
      </c>
      <c r="J38" s="18">
        <v>262.12799999999999</v>
      </c>
      <c r="K38" s="18">
        <v>313.65699999999998</v>
      </c>
      <c r="L38" s="18">
        <v>284.56700000000001</v>
      </c>
      <c r="M38" s="18">
        <v>295.87599999999998</v>
      </c>
      <c r="N38" s="23">
        <v>447.29700000000003</v>
      </c>
      <c r="O38" s="18">
        <v>453.81099999999998</v>
      </c>
    </row>
    <row r="39" spans="1:15" x14ac:dyDescent="0.25">
      <c r="A39" s="31" t="s">
        <v>17</v>
      </c>
      <c r="I39" s="6" t="s">
        <v>84</v>
      </c>
      <c r="J39" s="18"/>
      <c r="K39" s="18">
        <v>0</v>
      </c>
      <c r="L39" s="18">
        <v>416.88900000000001</v>
      </c>
      <c r="M39" s="18">
        <v>465.36500000000001</v>
      </c>
      <c r="N39" s="23">
        <v>467.63299999999998</v>
      </c>
      <c r="O39" s="18">
        <v>516.26</v>
      </c>
    </row>
    <row r="40" spans="1:15" x14ac:dyDescent="0.25">
      <c r="A40" s="33" t="s">
        <v>0</v>
      </c>
      <c r="B40" s="30" t="s">
        <v>32</v>
      </c>
      <c r="C40" s="54" t="s">
        <v>33</v>
      </c>
      <c r="D40" s="54" t="s">
        <v>34</v>
      </c>
      <c r="E40" s="54" t="s">
        <v>35</v>
      </c>
      <c r="F40" s="54" t="s">
        <v>87</v>
      </c>
      <c r="G40" s="43"/>
      <c r="I40" s="6" t="s">
        <v>79</v>
      </c>
      <c r="J40" s="18">
        <v>249.679</v>
      </c>
      <c r="K40" s="18">
        <v>266.66800000000001</v>
      </c>
      <c r="L40" s="18">
        <v>26.483000000000001</v>
      </c>
      <c r="M40" s="18">
        <v>53.512999999999998</v>
      </c>
      <c r="N40" s="23">
        <v>164.01</v>
      </c>
      <c r="O40" s="18">
        <v>44.15</v>
      </c>
    </row>
    <row r="41" spans="1:15" x14ac:dyDescent="0.25">
      <c r="A41" s="33" t="s">
        <v>18</v>
      </c>
      <c r="B41" s="34"/>
      <c r="C41" s="51">
        <v>47.6</v>
      </c>
      <c r="D41" s="50">
        <v>55.8</v>
      </c>
      <c r="E41" s="50">
        <v>1.081</v>
      </c>
      <c r="F41" s="50">
        <v>2.9870000000000001</v>
      </c>
      <c r="G41" s="44"/>
      <c r="I41" s="6" t="s">
        <v>102</v>
      </c>
      <c r="J41" s="18"/>
      <c r="K41" s="18">
        <v>0</v>
      </c>
      <c r="L41" s="18">
        <v>17.588000000000001</v>
      </c>
      <c r="M41" s="18"/>
      <c r="N41" s="23">
        <v>0.115</v>
      </c>
      <c r="O41" s="18">
        <v>12.984999999999999</v>
      </c>
    </row>
    <row r="42" spans="1:15" x14ac:dyDescent="0.25">
      <c r="A42" s="33" t="s">
        <v>19</v>
      </c>
      <c r="B42" s="34"/>
      <c r="C42" s="51">
        <v>401.7</v>
      </c>
      <c r="D42" s="51">
        <v>425.9</v>
      </c>
      <c r="E42" s="51">
        <v>1123.3789999999999</v>
      </c>
      <c r="F42" s="51">
        <v>1196.2270000000001</v>
      </c>
      <c r="G42" s="44"/>
      <c r="I42" s="6"/>
      <c r="J42" s="18"/>
      <c r="K42" s="18"/>
      <c r="L42" s="18"/>
      <c r="M42" s="18"/>
      <c r="N42" s="23"/>
      <c r="O42" s="18"/>
    </row>
    <row r="43" spans="1:15" x14ac:dyDescent="0.25">
      <c r="A43" s="6" t="s">
        <v>80</v>
      </c>
      <c r="B43" s="18"/>
      <c r="C43" s="52">
        <v>-1138.7</v>
      </c>
      <c r="D43" s="52">
        <v>-597.4</v>
      </c>
      <c r="E43" s="52">
        <v>-596.00300000000004</v>
      </c>
      <c r="F43" s="52">
        <v>-843.16700000000003</v>
      </c>
      <c r="G43" s="45"/>
      <c r="I43" s="6" t="s">
        <v>71</v>
      </c>
      <c r="J43" s="18">
        <v>11.619</v>
      </c>
      <c r="K43" s="18">
        <v>1.69</v>
      </c>
      <c r="L43" s="18">
        <v>26.579000000000001</v>
      </c>
      <c r="M43" s="18">
        <v>14.818</v>
      </c>
      <c r="N43" s="23">
        <v>18.318999999999999</v>
      </c>
      <c r="O43" s="18">
        <v>7.1820000000000004</v>
      </c>
    </row>
    <row r="44" spans="1:15" x14ac:dyDescent="0.25">
      <c r="A44" s="6" t="s">
        <v>20</v>
      </c>
      <c r="B44" s="18"/>
      <c r="C44" s="52">
        <v>745.2</v>
      </c>
      <c r="D44" s="52">
        <v>166.2</v>
      </c>
      <c r="E44" s="52">
        <v>-525.47</v>
      </c>
      <c r="F44" s="52">
        <v>-342.58600000000001</v>
      </c>
      <c r="G44" s="45"/>
      <c r="I44" s="36" t="s">
        <v>47</v>
      </c>
      <c r="J44" s="17">
        <f t="shared" ref="J44:O44" si="19">(J24-J37-J10)</f>
        <v>-277.40100000000018</v>
      </c>
      <c r="K44" s="17">
        <f t="shared" si="19"/>
        <v>-174.06500000000005</v>
      </c>
      <c r="L44" s="17">
        <f t="shared" si="19"/>
        <v>-663.12600000000009</v>
      </c>
      <c r="M44" s="17">
        <f t="shared" si="19"/>
        <v>-482.01</v>
      </c>
      <c r="N44" s="17">
        <f t="shared" si="19"/>
        <v>-170.76300000000015</v>
      </c>
      <c r="O44" s="17">
        <f t="shared" si="19"/>
        <v>-8.5869999999999891</v>
      </c>
    </row>
    <row r="45" spans="1:15" x14ac:dyDescent="0.25">
      <c r="A45" s="33" t="s">
        <v>21</v>
      </c>
      <c r="B45" s="34">
        <f>+B42+B43+B44</f>
        <v>0</v>
      </c>
      <c r="C45" s="51">
        <f t="shared" ref="C45:E45" si="20">+C42+C43+C44</f>
        <v>8.2000000000000455</v>
      </c>
      <c r="D45" s="51">
        <f t="shared" si="20"/>
        <v>-5.3000000000000114</v>
      </c>
      <c r="E45" s="51">
        <f t="shared" si="20"/>
        <v>1.9059999999998354</v>
      </c>
      <c r="F45" s="51">
        <f>+F42+F43+F44</f>
        <v>10.474000000000046</v>
      </c>
      <c r="G45" s="44"/>
      <c r="I45" s="6" t="s">
        <v>116</v>
      </c>
      <c r="J45" s="18">
        <v>141.02199999999999</v>
      </c>
      <c r="K45" s="18">
        <v>49.764000000000003</v>
      </c>
      <c r="L45" s="18">
        <v>1.167</v>
      </c>
      <c r="M45" s="18">
        <v>0</v>
      </c>
      <c r="N45" s="23">
        <v>0</v>
      </c>
      <c r="O45" s="18">
        <v>0</v>
      </c>
    </row>
    <row r="46" spans="1:15" x14ac:dyDescent="0.25">
      <c r="A46" s="33" t="s">
        <v>73</v>
      </c>
      <c r="B46" s="17">
        <f>+B41+B45</f>
        <v>0</v>
      </c>
      <c r="C46" s="53">
        <f t="shared" ref="C46:E46" si="21">+C41+C45</f>
        <v>55.800000000000047</v>
      </c>
      <c r="D46" s="53">
        <f t="shared" si="21"/>
        <v>50.499999999999986</v>
      </c>
      <c r="E46" s="53">
        <f t="shared" si="21"/>
        <v>2.9869999999998353</v>
      </c>
      <c r="F46" s="53">
        <f>+F41+F45</f>
        <v>13.461000000000046</v>
      </c>
      <c r="G46" s="44"/>
      <c r="I46" s="6" t="s">
        <v>86</v>
      </c>
      <c r="J46" s="18">
        <v>726.20899999999995</v>
      </c>
      <c r="K46" s="18">
        <v>0</v>
      </c>
      <c r="L46" s="18">
        <v>768.35799999999995</v>
      </c>
      <c r="M46" s="18">
        <v>838.15200000000004</v>
      </c>
      <c r="N46" s="23">
        <v>837.327</v>
      </c>
      <c r="O46" s="18">
        <v>822.90700000000004</v>
      </c>
    </row>
    <row r="47" spans="1:15" x14ac:dyDescent="0.25">
      <c r="I47" s="6" t="s">
        <v>72</v>
      </c>
      <c r="J47" s="18">
        <v>55.029000000000003</v>
      </c>
      <c r="K47" s="18">
        <v>62.616999999999997</v>
      </c>
      <c r="L47" s="18">
        <v>44.335000000000001</v>
      </c>
      <c r="M47" s="18">
        <v>49.884</v>
      </c>
      <c r="N47" s="23">
        <v>68.926000000000002</v>
      </c>
      <c r="O47" s="18">
        <v>77.174999999999997</v>
      </c>
    </row>
    <row r="48" spans="1:15" x14ac:dyDescent="0.25">
      <c r="A48" s="48" t="s">
        <v>22</v>
      </c>
      <c r="B48" s="30" t="s">
        <v>32</v>
      </c>
      <c r="C48" s="30" t="s">
        <v>33</v>
      </c>
      <c r="D48" s="30" t="s">
        <v>34</v>
      </c>
      <c r="E48" s="30" t="s">
        <v>35</v>
      </c>
      <c r="F48" s="30" t="s">
        <v>87</v>
      </c>
      <c r="G48" s="57"/>
      <c r="I48" s="6" t="s">
        <v>101</v>
      </c>
      <c r="J48" s="18"/>
      <c r="K48" s="18">
        <v>803.06</v>
      </c>
      <c r="L48" s="18">
        <v>5.0119999999999996</v>
      </c>
      <c r="M48" s="18">
        <v>4.1369999999999996</v>
      </c>
      <c r="N48" s="23">
        <v>3.415</v>
      </c>
      <c r="O48" s="18">
        <v>2.8180000000000001</v>
      </c>
    </row>
    <row r="49" spans="1:16" x14ac:dyDescent="0.25">
      <c r="A49" s="6" t="s">
        <v>23</v>
      </c>
      <c r="B49" s="21">
        <f t="shared" ref="B49:F49" si="22">B24</f>
        <v>105.20999999999971</v>
      </c>
      <c r="C49" s="21">
        <f t="shared" si="22"/>
        <v>-0.14800000000009594</v>
      </c>
      <c r="D49" s="21">
        <f t="shared" si="22"/>
        <v>100.78700000000052</v>
      </c>
      <c r="E49" s="21">
        <f t="shared" si="22"/>
        <v>475.13099999999986</v>
      </c>
      <c r="F49" s="21">
        <f t="shared" si="22"/>
        <v>833.30499999999961</v>
      </c>
      <c r="G49" s="58"/>
      <c r="I49" s="33"/>
      <c r="J49" s="15"/>
      <c r="K49" s="15"/>
      <c r="L49" s="15"/>
      <c r="M49" s="15"/>
      <c r="N49" s="25"/>
      <c r="O49" s="15"/>
    </row>
    <row r="50" spans="1:16" x14ac:dyDescent="0.25">
      <c r="A50" s="6" t="s">
        <v>24</v>
      </c>
      <c r="B50" s="21">
        <f t="shared" ref="B50:F50" si="23">B20</f>
        <v>267.053</v>
      </c>
      <c r="C50" s="21">
        <f t="shared" si="23"/>
        <v>529.86599999999999</v>
      </c>
      <c r="D50" s="21">
        <f t="shared" si="23"/>
        <v>332.48099999999999</v>
      </c>
      <c r="E50" s="21">
        <f t="shared" si="23"/>
        <v>400.31299999999999</v>
      </c>
      <c r="F50" s="21">
        <f t="shared" si="23"/>
        <v>450.40699999999998</v>
      </c>
      <c r="G50" s="58"/>
      <c r="I50" s="36" t="s">
        <v>89</v>
      </c>
      <c r="J50" s="17">
        <f t="shared" ref="J50:O50" si="24">SUM(J16:J23)+J24</f>
        <v>3176.6710000000003</v>
      </c>
      <c r="K50" s="17">
        <f t="shared" si="24"/>
        <v>4074.0280000000002</v>
      </c>
      <c r="L50" s="17">
        <f t="shared" si="24"/>
        <v>4655.74</v>
      </c>
      <c r="M50" s="17">
        <f t="shared" si="24"/>
        <v>4959.1189999999997</v>
      </c>
      <c r="N50" s="17">
        <f t="shared" si="24"/>
        <v>5818.6459999999997</v>
      </c>
      <c r="O50" s="17">
        <f t="shared" si="24"/>
        <v>6603.7589999999991</v>
      </c>
    </row>
    <row r="51" spans="1:16" x14ac:dyDescent="0.25">
      <c r="A51" s="6" t="s">
        <v>25</v>
      </c>
      <c r="B51" s="21">
        <f t="shared" ref="B51" si="25">B23</f>
        <v>-3.8010000000000002</v>
      </c>
      <c r="C51" s="21">
        <f>702-C50</f>
        <v>172.13400000000001</v>
      </c>
      <c r="D51" s="21">
        <f>586-D50</f>
        <v>253.51900000000001</v>
      </c>
      <c r="E51" s="21">
        <f>561.8-E50-16.4</f>
        <v>145.08699999999996</v>
      </c>
      <c r="F51" s="21">
        <f>573.6-F50</f>
        <v>123.19300000000004</v>
      </c>
      <c r="G51" s="58"/>
      <c r="I51" s="36" t="s">
        <v>90</v>
      </c>
      <c r="J51" s="17">
        <f t="shared" ref="J51:N51" si="26">J48+J37+J9+J7+J45+J46+J49+J47</f>
        <v>3176.6709999999998</v>
      </c>
      <c r="K51" s="17">
        <f t="shared" si="26"/>
        <v>4074.0280000000002</v>
      </c>
      <c r="L51" s="17">
        <f t="shared" si="26"/>
        <v>4655.74</v>
      </c>
      <c r="M51" s="17">
        <f t="shared" si="26"/>
        <v>4959.1190000000006</v>
      </c>
      <c r="N51" s="17">
        <f t="shared" si="26"/>
        <v>5818.6450000000004</v>
      </c>
      <c r="O51" s="17">
        <f>O48+O37+O9+O7+O45+O46+O49+O47</f>
        <v>6603.759</v>
      </c>
      <c r="P51" s="73">
        <f>O51-O50</f>
        <v>0</v>
      </c>
    </row>
    <row r="52" spans="1:16" x14ac:dyDescent="0.25">
      <c r="A52" s="6" t="s">
        <v>26</v>
      </c>
      <c r="B52" s="21" t="e">
        <f>-((J44-#REF!)-(J29-#REF!))</f>
        <v>#REF!</v>
      </c>
      <c r="C52" s="21">
        <v>-288.39999999999998</v>
      </c>
      <c r="D52" s="21">
        <v>-276</v>
      </c>
      <c r="E52" s="21">
        <v>177.9</v>
      </c>
      <c r="F52" s="21">
        <v>-49.4</v>
      </c>
      <c r="G52" s="58"/>
      <c r="I52" s="31" t="s">
        <v>48</v>
      </c>
    </row>
    <row r="53" spans="1:16" x14ac:dyDescent="0.25">
      <c r="A53" s="6" t="s">
        <v>27</v>
      </c>
      <c r="B53" s="21">
        <f t="shared" ref="B53" si="27">-B25</f>
        <v>29.757000000000005</v>
      </c>
      <c r="C53" s="21">
        <v>-12.7</v>
      </c>
      <c r="D53" s="21">
        <v>-0.6</v>
      </c>
      <c r="E53" s="21">
        <v>-71.8</v>
      </c>
      <c r="F53" s="21">
        <v>-164.9</v>
      </c>
      <c r="G53" s="58"/>
      <c r="I53" s="33" t="s">
        <v>49</v>
      </c>
      <c r="J53" s="4" t="s">
        <v>32</v>
      </c>
      <c r="K53" s="4" t="s">
        <v>33</v>
      </c>
      <c r="L53" s="4" t="s">
        <v>34</v>
      </c>
      <c r="M53" s="4" t="s">
        <v>35</v>
      </c>
      <c r="N53" s="4" t="s">
        <v>87</v>
      </c>
      <c r="O53" s="4" t="s">
        <v>121</v>
      </c>
    </row>
    <row r="54" spans="1:16" x14ac:dyDescent="0.25">
      <c r="A54" s="33" t="s">
        <v>28</v>
      </c>
      <c r="B54" s="17" t="e">
        <f t="shared" ref="B54:F54" si="28">SUM(B49:B53)</f>
        <v>#REF!</v>
      </c>
      <c r="C54" s="17">
        <f t="shared" si="28"/>
        <v>400.7519999999999</v>
      </c>
      <c r="D54" s="17">
        <f t="shared" si="28"/>
        <v>410.18700000000047</v>
      </c>
      <c r="E54" s="17">
        <f t="shared" si="28"/>
        <v>1126.6309999999999</v>
      </c>
      <c r="F54" s="17">
        <f t="shared" si="28"/>
        <v>1192.6049999999993</v>
      </c>
      <c r="G54" s="59"/>
      <c r="I54" s="46" t="s">
        <v>50</v>
      </c>
      <c r="J54" s="26"/>
      <c r="K54" s="26"/>
      <c r="L54" s="26">
        <v>26.8</v>
      </c>
      <c r="M54" s="26">
        <v>65.349999999999994</v>
      </c>
      <c r="N54" s="26">
        <v>202.2</v>
      </c>
      <c r="O54" s="47">
        <v>626.57000000000005</v>
      </c>
    </row>
    <row r="55" spans="1:16" x14ac:dyDescent="0.25">
      <c r="A55" s="6" t="s">
        <v>29</v>
      </c>
      <c r="B55" s="21" t="e">
        <f>-(J16-#REF!)</f>
        <v>#REF!</v>
      </c>
      <c r="C55" s="21">
        <v>-1007.2</v>
      </c>
      <c r="D55" s="21">
        <v>-791.6</v>
      </c>
      <c r="E55" s="21">
        <v>-808.8</v>
      </c>
      <c r="F55" s="21">
        <f>-674.5-196.2</f>
        <v>-870.7</v>
      </c>
      <c r="G55" s="58"/>
      <c r="I55" s="41" t="s">
        <v>51</v>
      </c>
      <c r="J55" s="10">
        <f t="shared" ref="J55:K55" si="29">B34</f>
        <v>13.34</v>
      </c>
      <c r="K55" s="10">
        <f t="shared" si="29"/>
        <v>7.84</v>
      </c>
      <c r="L55" s="10">
        <f t="shared" ref="L55" si="30">D34</f>
        <v>13.12</v>
      </c>
      <c r="M55" s="10">
        <f t="shared" ref="M55" si="31">E34</f>
        <v>45.55</v>
      </c>
      <c r="N55" s="10">
        <f t="shared" ref="N55" si="32">F34</f>
        <v>68.67</v>
      </c>
      <c r="O55" s="10">
        <f t="shared" ref="O55" si="33">G34</f>
        <v>87.77</v>
      </c>
    </row>
    <row r="56" spans="1:16" x14ac:dyDescent="0.25">
      <c r="A56" s="36" t="s">
        <v>30</v>
      </c>
      <c r="B56" s="17" t="e">
        <f t="shared" ref="B56:F56" si="34">SUM(B54:B55)</f>
        <v>#REF!</v>
      </c>
      <c r="C56" s="17">
        <f t="shared" si="34"/>
        <v>-606.44800000000009</v>
      </c>
      <c r="D56" s="17">
        <f t="shared" si="34"/>
        <v>-381.41299999999956</v>
      </c>
      <c r="E56" s="17">
        <f t="shared" si="34"/>
        <v>317.8309999999999</v>
      </c>
      <c r="F56" s="17">
        <f t="shared" si="34"/>
        <v>321.90499999999929</v>
      </c>
      <c r="G56" s="59"/>
      <c r="I56" s="11" t="s">
        <v>52</v>
      </c>
      <c r="J56" s="56"/>
      <c r="K56" s="9">
        <f t="shared" ref="K56" si="35">(K7*1000000)/C59</f>
        <v>91.38</v>
      </c>
      <c r="L56" s="9">
        <f t="shared" ref="L56" si="36">(L7*1000000)/D59</f>
        <v>112.976</v>
      </c>
      <c r="M56" s="9">
        <f t="shared" ref="M56" si="37">(M7*1000000)/E59</f>
        <v>158.30760000000001</v>
      </c>
      <c r="N56" s="9">
        <f t="shared" ref="N56" si="38">(N7*1000000)/F59</f>
        <v>222.61080000000001</v>
      </c>
      <c r="O56" s="9">
        <f t="shared" ref="O56" si="39">(O7*1000000)/G59</f>
        <v>307.57380000000001</v>
      </c>
    </row>
    <row r="57" spans="1:16" x14ac:dyDescent="0.25">
      <c r="A57" s="2" t="s">
        <v>31</v>
      </c>
      <c r="I57" s="1" t="s">
        <v>53</v>
      </c>
      <c r="J57" s="60" t="s">
        <v>119</v>
      </c>
      <c r="K57" s="14">
        <v>1</v>
      </c>
      <c r="L57" s="60">
        <f ca="1">-L57</f>
        <v>0</v>
      </c>
      <c r="M57" s="14">
        <v>2</v>
      </c>
      <c r="N57" s="14">
        <v>2.5</v>
      </c>
      <c r="O57" s="14">
        <v>2.5</v>
      </c>
    </row>
    <row r="58" spans="1:16" x14ac:dyDescent="0.25">
      <c r="I58" s="1" t="s">
        <v>54</v>
      </c>
      <c r="J58" s="55" t="s">
        <v>119</v>
      </c>
      <c r="K58" s="9">
        <f t="shared" ref="K58" si="40">(K54/K55)</f>
        <v>0</v>
      </c>
      <c r="L58" s="9">
        <f>(L54/L55)</f>
        <v>2.0426829268292686</v>
      </c>
      <c r="M58" s="9">
        <f>(M54/M55)</f>
        <v>1.4346871569703623</v>
      </c>
      <c r="N58" s="9">
        <f>(N54/N55)</f>
        <v>2.9445172564438615</v>
      </c>
      <c r="O58" s="9">
        <f>(O54/O55)</f>
        <v>7.1387717899054355</v>
      </c>
    </row>
    <row r="59" spans="1:16" x14ac:dyDescent="0.25">
      <c r="A59" s="6" t="s">
        <v>74</v>
      </c>
      <c r="B59" s="22"/>
      <c r="C59" s="22">
        <v>10000000</v>
      </c>
      <c r="D59" s="22">
        <v>10000000</v>
      </c>
      <c r="E59" s="22">
        <v>10000000</v>
      </c>
      <c r="F59" s="22">
        <v>10000000</v>
      </c>
      <c r="G59" s="22">
        <v>10000000</v>
      </c>
      <c r="I59" s="1" t="s">
        <v>55</v>
      </c>
      <c r="J59" s="9"/>
      <c r="K59" s="9">
        <f t="shared" ref="K59" si="41">(K54/K56)</f>
        <v>0</v>
      </c>
      <c r="L59" s="9">
        <f>(L54/L56)</f>
        <v>0.23721852428834445</v>
      </c>
      <c r="M59" s="9">
        <f>(M54/M56)</f>
        <v>0.41280393360773576</v>
      </c>
      <c r="N59" s="9">
        <f>(N54/N56)</f>
        <v>0.90831172611571398</v>
      </c>
      <c r="O59" s="9">
        <f>(O54/O56)</f>
        <v>2.0371371033553576</v>
      </c>
    </row>
    <row r="60" spans="1:16" x14ac:dyDescent="0.25">
      <c r="A60" s="6" t="s">
        <v>75</v>
      </c>
      <c r="B60" s="21">
        <f t="shared" ref="B60:C60" si="42">B59*J54/1000000</f>
        <v>0</v>
      </c>
      <c r="C60" s="21">
        <f t="shared" si="42"/>
        <v>0</v>
      </c>
      <c r="D60" s="21">
        <f t="shared" ref="D60" si="43">D59*L54/1000000</f>
        <v>268</v>
      </c>
      <c r="E60" s="21">
        <f t="shared" ref="E60" si="44">E59*M54/1000000</f>
        <v>653.5</v>
      </c>
      <c r="F60" s="21">
        <f t="shared" ref="F60" si="45">F59*N54/1000000</f>
        <v>2022</v>
      </c>
      <c r="G60" s="21">
        <f>G59*O54/1000000</f>
        <v>6265.7000000000007</v>
      </c>
      <c r="I60" s="1" t="s">
        <v>56</v>
      </c>
      <c r="J60" s="9">
        <f>B63/B16</f>
        <v>1.5530573527448588</v>
      </c>
      <c r="K60" s="9">
        <f t="shared" ref="K60" si="46">C63/C16</f>
        <v>2.3149007400023338</v>
      </c>
      <c r="L60" s="9">
        <f t="shared" ref="L60" si="47">D63/D16</f>
        <v>3.0746716376336458</v>
      </c>
      <c r="M60" s="9">
        <f t="shared" ref="M60" si="48">E63/E16</f>
        <v>1.9916654093956978</v>
      </c>
      <c r="N60" s="9">
        <f t="shared" ref="N60:O60" si="49">F63/F16</f>
        <v>2.3212362365883381</v>
      </c>
      <c r="O60" s="9">
        <f t="shared" si="49"/>
        <v>4.3767751162039312</v>
      </c>
    </row>
    <row r="61" spans="1:16" x14ac:dyDescent="0.25">
      <c r="A61" s="6" t="s">
        <v>78</v>
      </c>
      <c r="B61" s="21">
        <f t="shared" ref="B61:G61" si="50">J11</f>
        <v>873.55</v>
      </c>
      <c r="C61" s="21">
        <f t="shared" ref="C61" si="51">K11</f>
        <v>1662.7719999999999</v>
      </c>
      <c r="D61" s="21">
        <f t="shared" ref="D61" si="52">L11</f>
        <v>1935.002</v>
      </c>
      <c r="E61" s="21">
        <f t="shared" ref="E61" si="53">M11</f>
        <v>1654.298</v>
      </c>
      <c r="F61" s="21">
        <f t="shared" ref="F61" si="54">N11</f>
        <v>1585.4949999999999</v>
      </c>
      <c r="G61" s="21">
        <f t="shared" si="50"/>
        <v>1590.7329999999999</v>
      </c>
      <c r="I61" s="49" t="s">
        <v>57</v>
      </c>
      <c r="J61" s="27">
        <f t="shared" ref="J61" si="55">(B27/J7)</f>
        <v>0.15740785015773756</v>
      </c>
      <c r="K61" s="27">
        <f t="shared" ref="K61" si="56">(C27/K7)</f>
        <v>8.5807616546290114E-2</v>
      </c>
      <c r="L61" s="27">
        <f t="shared" ref="L61" si="57">(D27/L7)</f>
        <v>0.11609810933295614</v>
      </c>
      <c r="M61" s="27">
        <f t="shared" ref="M61" si="58">(E27/M7)</f>
        <v>0.28774171296892875</v>
      </c>
      <c r="N61" s="27">
        <f t="shared" ref="N61" si="59">(F27/N7)</f>
        <v>0.30847694721010821</v>
      </c>
      <c r="O61" s="27">
        <f>(G27/O7)</f>
        <v>0.2853653334581816</v>
      </c>
    </row>
    <row r="62" spans="1:16" x14ac:dyDescent="0.25">
      <c r="A62" s="6" t="s">
        <v>76</v>
      </c>
      <c r="B62" s="21">
        <f t="shared" ref="B62" si="60">J29</f>
        <v>47.558</v>
      </c>
      <c r="C62" s="21">
        <f t="shared" ref="C62:F62" si="61">K29+K30</f>
        <v>55.798000000000002</v>
      </c>
      <c r="D62" s="21">
        <f t="shared" si="61"/>
        <v>50.532000000000004</v>
      </c>
      <c r="E62" s="21">
        <f t="shared" si="61"/>
        <v>76.831999999999994</v>
      </c>
      <c r="F62" s="21">
        <f t="shared" si="61"/>
        <v>76.962000000000003</v>
      </c>
      <c r="G62" s="21">
        <f>O29+O30</f>
        <v>40.086000000000006</v>
      </c>
      <c r="I62" s="49" t="s">
        <v>58</v>
      </c>
      <c r="J62" s="27">
        <f>(B24+B21)/J12</f>
        <v>0.12728855551545523</v>
      </c>
      <c r="K62" s="27">
        <f t="shared" ref="K62:N62" si="62">(C16-C20)/K12</f>
        <v>5.6864203281368444E-2</v>
      </c>
      <c r="L62" s="27">
        <f t="shared" si="62"/>
        <v>0.12115535026659639</v>
      </c>
      <c r="M62" s="27">
        <f t="shared" si="62"/>
        <v>0.21262817053426872</v>
      </c>
      <c r="N62" s="27">
        <f t="shared" si="62"/>
        <v>0.26463945925315069</v>
      </c>
      <c r="O62" s="27">
        <f>(G16-G20)/O12</f>
        <v>0.2600102370537633</v>
      </c>
    </row>
    <row r="63" spans="1:16" x14ac:dyDescent="0.25">
      <c r="A63" s="6" t="s">
        <v>77</v>
      </c>
      <c r="B63" s="17">
        <f t="shared" ref="B63" si="63">B60+B61-B62</f>
        <v>825.99199999999996</v>
      </c>
      <c r="C63" s="17">
        <f>C60+C61-C62</f>
        <v>1606.9739999999999</v>
      </c>
      <c r="D63" s="17">
        <f>D60+D61-D62</f>
        <v>2152.4699999999998</v>
      </c>
      <c r="E63" s="17">
        <f>E60+E61-E62</f>
        <v>2230.9659999999999</v>
      </c>
      <c r="F63" s="17">
        <f>F60+F61-F62</f>
        <v>3530.5329999999999</v>
      </c>
      <c r="G63" s="17">
        <f>G60+G61-G62</f>
        <v>7816.3470000000007</v>
      </c>
      <c r="I63" s="1" t="s">
        <v>59</v>
      </c>
      <c r="J63" s="8">
        <f t="shared" ref="J63:O63" si="64">(J11/J7)</f>
        <v>1.018794427565938</v>
      </c>
      <c r="K63" s="8">
        <f t="shared" si="64"/>
        <v>1.8196235500109432</v>
      </c>
      <c r="L63" s="8">
        <f t="shared" si="64"/>
        <v>1.7127549213992352</v>
      </c>
      <c r="M63" s="8">
        <f t="shared" si="64"/>
        <v>1.0449896277879267</v>
      </c>
      <c r="N63" s="8">
        <f t="shared" si="64"/>
        <v>0.71222734925708897</v>
      </c>
      <c r="O63" s="8">
        <f t="shared" si="64"/>
        <v>0.51718741973471083</v>
      </c>
    </row>
    <row r="64" spans="1:16" x14ac:dyDescent="0.25">
      <c r="I64" s="1" t="s">
        <v>60</v>
      </c>
      <c r="J64" s="8">
        <f t="shared" ref="J64:O64" si="65">(J11-J29-J30)/J7</f>
        <v>0.96332899869960986</v>
      </c>
      <c r="K64" s="8">
        <f t="shared" si="65"/>
        <v>1.7585620485883127</v>
      </c>
      <c r="L64" s="8">
        <f t="shared" si="65"/>
        <v>1.6680268375584195</v>
      </c>
      <c r="M64" s="8">
        <f t="shared" si="65"/>
        <v>0.99645626615525718</v>
      </c>
      <c r="N64" s="8">
        <f>(N11-N29-N30)/N7</f>
        <v>0.67765490263724837</v>
      </c>
      <c r="O64" s="8">
        <f t="shared" si="65"/>
        <v>0.50415445008645077</v>
      </c>
    </row>
    <row r="65" spans="9:15" x14ac:dyDescent="0.25">
      <c r="I65" s="1" t="s">
        <v>61</v>
      </c>
      <c r="J65" s="13"/>
      <c r="K65" s="13"/>
      <c r="L65" s="13">
        <f ca="1">(L57/L54)</f>
        <v>0</v>
      </c>
      <c r="M65" s="13">
        <f>(M57/M54)</f>
        <v>3.0604437643458306E-2</v>
      </c>
      <c r="N65" s="13">
        <f>(N57/N54)</f>
        <v>1.2363996043521267E-2</v>
      </c>
      <c r="O65" s="13">
        <f>(O57/O54)</f>
        <v>3.9899771773305457E-3</v>
      </c>
    </row>
    <row r="66" spans="9:15" x14ac:dyDescent="0.25">
      <c r="I66" s="1" t="s">
        <v>62</v>
      </c>
      <c r="J66" s="28">
        <f>(AVERAGE(J28:J28)/B6*365)</f>
        <v>69.721944959913984</v>
      </c>
      <c r="K66" s="28">
        <f>(AVERAGE(J28:K28)/C6*365)</f>
        <v>68.343686843067459</v>
      </c>
      <c r="L66" s="28">
        <f>(AVERAGE(K28:L28)/D6*365)</f>
        <v>70.117232152756003</v>
      </c>
      <c r="M66" s="28">
        <f>(AVERAGE(L28:M28)/E6*365)</f>
        <v>62.469653122056933</v>
      </c>
      <c r="N66" s="28">
        <f>(AVERAGE(M28:N28)/F6*365)</f>
        <v>60.483490481848087</v>
      </c>
      <c r="O66" s="28">
        <f>(AVERAGE(N28:O28)/G6*365)</f>
        <v>54.222994014616702</v>
      </c>
    </row>
    <row r="67" spans="9:15" x14ac:dyDescent="0.25">
      <c r="I67" s="1" t="s">
        <v>63</v>
      </c>
      <c r="J67" s="28">
        <f>AVERAGE(J38:J38)/(B10+B11)*365</f>
        <v>59.712374703003746</v>
      </c>
      <c r="K67" s="28">
        <f t="shared" ref="K67:N67" si="66">AVERAGE(J38:K38)/(C10+C11)*365</f>
        <v>57.074927136030482</v>
      </c>
      <c r="L67" s="28">
        <f t="shared" si="66"/>
        <v>48.905335622059205</v>
      </c>
      <c r="M67" s="28">
        <f t="shared" si="66"/>
        <v>46.472556930949345</v>
      </c>
      <c r="N67" s="28">
        <f t="shared" si="66"/>
        <v>56.533478485410946</v>
      </c>
      <c r="O67" s="28">
        <f>AVERAGE(N38:O38)/(G10+G11)*365</f>
        <v>57.850077970796384</v>
      </c>
    </row>
    <row r="68" spans="9:15" x14ac:dyDescent="0.25">
      <c r="I68" s="1" t="s">
        <v>64</v>
      </c>
      <c r="J68" s="28">
        <f>(AVERAGE(J25:J25)/(B10+B13)*365)</f>
        <v>56.242617793777377</v>
      </c>
      <c r="K68" s="28">
        <f t="shared" ref="K68:M68" si="67">(AVERAGE(J25:K25)/(C10+C12+C11)*365)</f>
        <v>80.650830638885907</v>
      </c>
      <c r="L68" s="28">
        <f t="shared" si="67"/>
        <v>89.097109619067112</v>
      </c>
      <c r="M68" s="28">
        <f t="shared" si="67"/>
        <v>63.494806168052662</v>
      </c>
      <c r="N68" s="28">
        <f>(AVERAGE(M25:N25)/(F10+F12+F11)*365)</f>
        <v>63.386748579904271</v>
      </c>
      <c r="O68" s="28">
        <f>(AVERAGE(N25:O25)/(G10+G12+G11)*365)</f>
        <v>72.152693417356318</v>
      </c>
    </row>
    <row r="69" spans="9:15" x14ac:dyDescent="0.25">
      <c r="I69" s="1" t="s">
        <v>82</v>
      </c>
      <c r="J69" s="28">
        <f t="shared" ref="J69:O69" si="68">(J68+J66-J67)</f>
        <v>66.252188050687607</v>
      </c>
      <c r="K69" s="28">
        <f t="shared" si="68"/>
        <v>91.919590345922899</v>
      </c>
      <c r="L69" s="28">
        <f t="shared" si="68"/>
        <v>110.30900614976392</v>
      </c>
      <c r="M69" s="28">
        <f t="shared" si="68"/>
        <v>79.491902359160264</v>
      </c>
      <c r="N69" s="28">
        <f t="shared" si="68"/>
        <v>67.336760576341419</v>
      </c>
      <c r="O69" s="28">
        <f t="shared" si="68"/>
        <v>68.525609461176629</v>
      </c>
    </row>
    <row r="70" spans="9:15" x14ac:dyDescent="0.25">
      <c r="I70" s="1" t="s">
        <v>65</v>
      </c>
      <c r="J70" s="28">
        <f>AVERAGE(J44:J44)/B6*365</f>
        <v>-26.168688197499229</v>
      </c>
      <c r="K70" s="28">
        <f>AVERAGE(J44:K44)/C6*365</f>
        <v>-20.690498635910718</v>
      </c>
      <c r="L70" s="28">
        <f t="shared" ref="L70" si="69">AVERAGE(K44:L44)/D6*365</f>
        <v>-33.946130387477822</v>
      </c>
      <c r="M70" s="28">
        <f>AVERAGE(L44:M44)/E6*365</f>
        <v>-35.310465406654245</v>
      </c>
      <c r="N70" s="28">
        <f>AVERAGE(M44:N44)/F6*365</f>
        <v>-17.718968138568734</v>
      </c>
      <c r="O70" s="28">
        <f>AVERAGE(N44:O44)/G6*365</f>
        <v>-4.3476581744561074</v>
      </c>
    </row>
    <row r="71" spans="9:15" x14ac:dyDescent="0.25">
      <c r="I71" s="6" t="s">
        <v>88</v>
      </c>
      <c r="J71" s="13">
        <f>B21/J11</f>
        <v>0.17833552744548109</v>
      </c>
      <c r="K71" s="13">
        <f t="shared" ref="K71" si="70">C21/K11</f>
        <v>9.8316546104938035E-2</v>
      </c>
      <c r="L71" s="13">
        <f t="shared" ref="L71" si="71">D21/L11</f>
        <v>0.12971821217755847</v>
      </c>
      <c r="M71" s="13">
        <f t="shared" ref="M71" si="72">E21/M11</f>
        <v>0.14792195843795977</v>
      </c>
      <c r="N71" s="13">
        <f t="shared" ref="N71:O71" si="73">F21/N11</f>
        <v>0.14964348673442679</v>
      </c>
      <c r="O71" s="13">
        <f t="shared" si="73"/>
        <v>0.13060016985880094</v>
      </c>
    </row>
  </sheetData>
  <mergeCells count="3">
    <mergeCell ref="A1:O1"/>
    <mergeCell ref="A2:G2"/>
    <mergeCell ref="I2:O2"/>
  </mergeCells>
  <pageMargins left="0.7" right="0.7" top="0.75" bottom="0.75" header="0.3" footer="0.3"/>
  <pageSetup paperSize="9" scale="5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80"/>
  <sheetViews>
    <sheetView showGridLines="0" tabSelected="1" topLeftCell="H1" zoomScaleNormal="100" zoomScaleSheetLayoutView="80" workbookViewId="0">
      <pane ySplit="4" topLeftCell="A5" activePane="bottomLeft" state="frozen"/>
      <selection pane="bottomLeft" activeCell="V80" sqref="V80"/>
    </sheetView>
  </sheetViews>
  <sheetFormatPr defaultColWidth="9.1796875" defaultRowHeight="10" x14ac:dyDescent="0.2"/>
  <cols>
    <col min="1" max="1" width="5.453125" style="74" customWidth="1"/>
    <col min="2" max="2" width="42.26953125" style="74" bestFit="1" customWidth="1"/>
    <col min="3" max="4" width="10.26953125" style="74" customWidth="1"/>
    <col min="5" max="5" width="10.1796875" style="74" customWidth="1"/>
    <col min="6" max="8" width="10.26953125" style="74" customWidth="1"/>
    <col min="9" max="10" width="10" style="74" bestFit="1" customWidth="1"/>
    <col min="11" max="11" width="10" style="74" customWidth="1"/>
    <col min="12" max="12" width="3.26953125" style="74" customWidth="1"/>
    <col min="13" max="13" width="34.26953125" style="74" bestFit="1" customWidth="1"/>
    <col min="14" max="14" width="8.7265625" style="74" customWidth="1"/>
    <col min="15" max="15" width="8.7265625" style="76" customWidth="1"/>
    <col min="16" max="19" width="8.7265625" style="74" customWidth="1"/>
    <col min="20" max="20" width="8.81640625" style="74" customWidth="1"/>
    <col min="21" max="21" width="8.7265625" style="74" customWidth="1"/>
    <col min="22" max="22" width="10.453125" style="200" bestFit="1" customWidth="1"/>
    <col min="23" max="16384" width="9.1796875" style="74"/>
  </cols>
  <sheetData>
    <row r="1" spans="2:22" ht="10.5" thickBot="1" x14ac:dyDescent="0.25"/>
    <row r="2" spans="2:22" ht="12.75" customHeight="1" thickBot="1" x14ac:dyDescent="0.25">
      <c r="B2" s="237" t="s">
        <v>173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9"/>
    </row>
    <row r="3" spans="2:22" ht="12" customHeight="1" thickBot="1" x14ac:dyDescent="0.3">
      <c r="B3" s="246" t="s">
        <v>124</v>
      </c>
      <c r="C3" s="247"/>
      <c r="D3" s="247"/>
      <c r="E3" s="247"/>
      <c r="F3" s="247"/>
      <c r="G3" s="247"/>
      <c r="H3" s="247"/>
      <c r="I3" s="247"/>
      <c r="J3" s="247"/>
      <c r="K3" s="248"/>
      <c r="L3" s="78"/>
      <c r="M3" s="240" t="s">
        <v>92</v>
      </c>
      <c r="N3" s="241"/>
      <c r="O3" s="241"/>
      <c r="P3" s="241"/>
      <c r="Q3" s="241"/>
      <c r="R3" s="241"/>
      <c r="S3" s="241"/>
      <c r="T3" s="241"/>
      <c r="U3" s="241"/>
      <c r="V3" s="242"/>
    </row>
    <row r="4" spans="2:22" ht="13.5" customHeight="1" thickBot="1" x14ac:dyDescent="0.3">
      <c r="B4" s="146" t="s">
        <v>0</v>
      </c>
      <c r="C4" s="178" t="s">
        <v>35</v>
      </c>
      <c r="D4" s="179" t="s">
        <v>87</v>
      </c>
      <c r="E4" s="179" t="s">
        <v>121</v>
      </c>
      <c r="F4" s="179" t="s">
        <v>165</v>
      </c>
      <c r="G4" s="179" t="s">
        <v>167</v>
      </c>
      <c r="H4" s="179" t="s">
        <v>168</v>
      </c>
      <c r="I4" s="179" t="s">
        <v>170</v>
      </c>
      <c r="J4" s="179" t="s">
        <v>175</v>
      </c>
      <c r="K4" s="179" t="s">
        <v>177</v>
      </c>
      <c r="L4" s="78"/>
      <c r="M4" s="139" t="s">
        <v>0</v>
      </c>
      <c r="N4" s="179" t="s">
        <v>35</v>
      </c>
      <c r="O4" s="179" t="s">
        <v>87</v>
      </c>
      <c r="P4" s="179" t="s">
        <v>121</v>
      </c>
      <c r="Q4" s="179" t="s">
        <v>165</v>
      </c>
      <c r="R4" s="179" t="s">
        <v>167</v>
      </c>
      <c r="S4" s="179" t="s">
        <v>168</v>
      </c>
      <c r="T4" s="179" t="s">
        <v>170</v>
      </c>
      <c r="U4" s="179" t="s">
        <v>175</v>
      </c>
      <c r="V4" s="201" t="s">
        <v>177</v>
      </c>
    </row>
    <row r="5" spans="2:22" ht="10.5" x14ac:dyDescent="0.25">
      <c r="B5" s="84" t="s">
        <v>1</v>
      </c>
      <c r="C5" s="91">
        <f>6427.251</f>
        <v>6427.2510000000002</v>
      </c>
      <c r="D5" s="101">
        <v>7142.93</v>
      </c>
      <c r="E5" s="101">
        <v>7934.616</v>
      </c>
      <c r="F5" s="101">
        <v>7447.3209999999999</v>
      </c>
      <c r="G5" s="101">
        <v>4038.83</v>
      </c>
      <c r="H5" s="101">
        <v>8303.9519999999993</v>
      </c>
      <c r="I5" s="101">
        <v>13095.584000000001</v>
      </c>
      <c r="J5" s="101">
        <v>12112.965</v>
      </c>
      <c r="K5" s="193">
        <v>11070.386</v>
      </c>
      <c r="L5" s="78"/>
      <c r="M5" s="131" t="s">
        <v>36</v>
      </c>
      <c r="N5" s="168">
        <v>87.263999999999996</v>
      </c>
      <c r="O5" s="168">
        <v>87.263999999999996</v>
      </c>
      <c r="P5" s="168">
        <v>87.263999999999996</v>
      </c>
      <c r="Q5" s="168">
        <v>87.263999999999996</v>
      </c>
      <c r="R5" s="168">
        <v>87.263999999999996</v>
      </c>
      <c r="S5" s="168">
        <v>87.263999999999996</v>
      </c>
      <c r="T5" s="168">
        <f>87263630/1000000</f>
        <v>87.263630000000006</v>
      </c>
      <c r="U5" s="168">
        <f>87263630/1000000</f>
        <v>87.263630000000006</v>
      </c>
      <c r="V5" s="257">
        <v>87.263999999999996</v>
      </c>
    </row>
    <row r="6" spans="2:22" ht="10.5" x14ac:dyDescent="0.25">
      <c r="B6" s="85" t="s">
        <v>7</v>
      </c>
      <c r="C6" s="92">
        <v>31.888000000000002</v>
      </c>
      <c r="D6" s="102">
        <v>36.642000000000003</v>
      </c>
      <c r="E6" s="102">
        <v>88.478999999999999</v>
      </c>
      <c r="F6" s="102">
        <v>87.731999999999999</v>
      </c>
      <c r="G6" s="102">
        <v>100.35</v>
      </c>
      <c r="H6" s="102">
        <v>38.531999999999996</v>
      </c>
      <c r="I6" s="102">
        <v>36.042000000000002</v>
      </c>
      <c r="J6" s="102">
        <v>56.401000000000003</v>
      </c>
      <c r="K6" s="194">
        <v>60.850999999999999</v>
      </c>
      <c r="L6" s="78"/>
      <c r="M6" s="85" t="s">
        <v>37</v>
      </c>
      <c r="N6" s="166">
        <v>6120.2240000000002</v>
      </c>
      <c r="O6" s="166">
        <v>6826.63</v>
      </c>
      <c r="P6" s="166">
        <f>7578.593</f>
        <v>7578.5929999999998</v>
      </c>
      <c r="Q6" s="166">
        <f>8229.952</f>
        <v>8229.9519999999993</v>
      </c>
      <c r="R6" s="166">
        <v>8085.29</v>
      </c>
      <c r="S6" s="166">
        <v>8217.4950000000008</v>
      </c>
      <c r="T6" s="166">
        <v>9580.884</v>
      </c>
      <c r="U6" s="166">
        <v>11151.179</v>
      </c>
      <c r="V6" s="203">
        <v>12039.849</v>
      </c>
    </row>
    <row r="7" spans="2:22" ht="11" thickBot="1" x14ac:dyDescent="0.3">
      <c r="B7" s="86" t="s">
        <v>91</v>
      </c>
      <c r="C7" s="93">
        <f t="shared" ref="C7:H7" si="0">C5+C6</f>
        <v>6459.1390000000001</v>
      </c>
      <c r="D7" s="103">
        <f t="shared" si="0"/>
        <v>7179.5720000000001</v>
      </c>
      <c r="E7" s="103">
        <f t="shared" si="0"/>
        <v>8023.0950000000003</v>
      </c>
      <c r="F7" s="103">
        <f t="shared" si="0"/>
        <v>7535.0529999999999</v>
      </c>
      <c r="G7" s="103">
        <f t="shared" si="0"/>
        <v>4139.18</v>
      </c>
      <c r="H7" s="103">
        <f t="shared" si="0"/>
        <v>8342.4839999999986</v>
      </c>
      <c r="I7" s="103">
        <f>I5+I6</f>
        <v>13131.626</v>
      </c>
      <c r="J7" s="103">
        <f>J5+J6</f>
        <v>12169.366</v>
      </c>
      <c r="K7" s="195">
        <f>K5+K6</f>
        <v>11131.237000000001</v>
      </c>
      <c r="L7" s="78"/>
      <c r="M7" s="140" t="s">
        <v>98</v>
      </c>
      <c r="N7" s="143"/>
      <c r="O7" s="143"/>
      <c r="P7" s="143"/>
      <c r="Q7" s="143"/>
      <c r="R7" s="143"/>
      <c r="S7" s="143"/>
      <c r="T7" s="143"/>
      <c r="U7" s="143"/>
      <c r="V7" s="204"/>
    </row>
    <row r="8" spans="2:22" ht="11" thickBot="1" x14ac:dyDescent="0.3">
      <c r="B8" s="87" t="s">
        <v>2</v>
      </c>
      <c r="C8" s="94"/>
      <c r="D8" s="104">
        <f>(D7/C7-1)</f>
        <v>0.11153700206792272</v>
      </c>
      <c r="E8" s="104">
        <f t="shared" ref="E8:F8" si="1">(E7/D7-1)</f>
        <v>0.11748931551908659</v>
      </c>
      <c r="F8" s="104">
        <f t="shared" si="1"/>
        <v>-6.0829642426021402E-2</v>
      </c>
      <c r="G8" s="104">
        <f>(G7/F7-1)</f>
        <v>-0.45067672383989865</v>
      </c>
      <c r="H8" s="104">
        <f>(H7/G7-1)</f>
        <v>1.0154919573442078</v>
      </c>
      <c r="I8" s="104">
        <f>(I7/H7-1)</f>
        <v>0.57406666887224511</v>
      </c>
      <c r="J8" s="104">
        <f>(J7/I7-1)</f>
        <v>-7.3278054065810339E-2</v>
      </c>
      <c r="K8" s="104">
        <f>(K7/J7-1)</f>
        <v>-8.5306744821381786E-2</v>
      </c>
      <c r="L8" s="78"/>
      <c r="M8" s="112" t="s">
        <v>38</v>
      </c>
      <c r="N8" s="148">
        <f t="shared" ref="N8:P8" si="2">(N5+N7+N6)</f>
        <v>6207.4880000000003</v>
      </c>
      <c r="O8" s="148">
        <f t="shared" si="2"/>
        <v>6913.8940000000002</v>
      </c>
      <c r="P8" s="148">
        <f t="shared" si="2"/>
        <v>7665.857</v>
      </c>
      <c r="Q8" s="148">
        <f t="shared" ref="Q8:S8" si="3">(Q5+Q7+Q6)</f>
        <v>8317.2159999999985</v>
      </c>
      <c r="R8" s="148">
        <f t="shared" si="3"/>
        <v>8172.5540000000001</v>
      </c>
      <c r="S8" s="148">
        <f t="shared" si="3"/>
        <v>8304.759</v>
      </c>
      <c r="T8" s="148">
        <f t="shared" ref="T8:U8" si="4">(T5+T7+T6)</f>
        <v>9668.1476299999995</v>
      </c>
      <c r="U8" s="148">
        <f t="shared" si="4"/>
        <v>11238.44263</v>
      </c>
      <c r="V8" s="205">
        <f t="shared" ref="V8" si="5">(V5+V7+V6)</f>
        <v>12127.112999999999</v>
      </c>
    </row>
    <row r="9" spans="2:22" ht="10.5" x14ac:dyDescent="0.25">
      <c r="B9" s="87" t="s">
        <v>118</v>
      </c>
      <c r="C9" s="94"/>
      <c r="D9" s="104"/>
      <c r="E9" s="104"/>
      <c r="F9" s="104">
        <f t="shared" ref="F9:I9" si="6">((F7/C7)^(1/3)-1)</f>
        <v>5.2698232129527955E-2</v>
      </c>
      <c r="G9" s="104">
        <f t="shared" si="6"/>
        <v>-0.16771528421100002</v>
      </c>
      <c r="H9" s="104">
        <f t="shared" si="6"/>
        <v>1.3097279782902538E-2</v>
      </c>
      <c r="I9" s="104">
        <f t="shared" si="6"/>
        <v>0.20340200642123096</v>
      </c>
      <c r="J9" s="104">
        <f>((J7/G7)^(1/3)-1)</f>
        <v>0.43257668899172241</v>
      </c>
      <c r="K9" s="104">
        <f>((K7/H7)^(1/3)-1)</f>
        <v>0.10090374495186194</v>
      </c>
      <c r="L9" s="78"/>
      <c r="M9" s="141" t="s">
        <v>39</v>
      </c>
      <c r="N9" s="144"/>
      <c r="O9" s="144"/>
      <c r="P9" s="144"/>
      <c r="Q9" s="144"/>
      <c r="R9" s="144"/>
      <c r="S9" s="144"/>
      <c r="T9" s="144"/>
      <c r="U9" s="144"/>
      <c r="V9" s="206"/>
    </row>
    <row r="10" spans="2:22" ht="10.5" x14ac:dyDescent="0.25">
      <c r="B10" s="86" t="s">
        <v>4</v>
      </c>
      <c r="C10" s="93">
        <f t="shared" ref="C10:E10" si="7">SUM(C11:C16)</f>
        <v>5261.4870000000001</v>
      </c>
      <c r="D10" s="103">
        <f t="shared" si="7"/>
        <v>5668.4229999999998</v>
      </c>
      <c r="E10" s="103">
        <f t="shared" si="7"/>
        <v>6379.1509999999998</v>
      </c>
      <c r="F10" s="103">
        <f t="shared" ref="F10:G10" si="8">SUM(F11:F16)</f>
        <v>6261.7790000000005</v>
      </c>
      <c r="G10" s="103">
        <f t="shared" si="8"/>
        <v>3745.96</v>
      </c>
      <c r="H10" s="103">
        <f>SUM(H11:H16)</f>
        <v>7114.4580000000005</v>
      </c>
      <c r="I10" s="103">
        <f>SUM(I11:I16)</f>
        <v>9303.4549999999999</v>
      </c>
      <c r="J10" s="103">
        <f>SUM(J11:J16)</f>
        <v>8782.3169999999991</v>
      </c>
      <c r="K10" s="103">
        <f>SUM(K11:K16)</f>
        <v>8644.4809999999998</v>
      </c>
      <c r="L10" s="78"/>
      <c r="M10" s="85" t="s">
        <v>40</v>
      </c>
      <c r="N10" s="166">
        <v>1990.9670000000001</v>
      </c>
      <c r="O10" s="166">
        <v>2383.3969999999999</v>
      </c>
      <c r="P10" s="166">
        <v>3002.71</v>
      </c>
      <c r="Q10" s="166">
        <v>4683.192</v>
      </c>
      <c r="R10" s="166">
        <v>6136.65</v>
      </c>
      <c r="S10" s="166">
        <v>6447.67</v>
      </c>
      <c r="T10" s="166">
        <v>3678.2869999999998</v>
      </c>
      <c r="U10" s="166">
        <v>3070.0230000000001</v>
      </c>
      <c r="V10" s="203">
        <v>4027.2629999999999</v>
      </c>
    </row>
    <row r="11" spans="2:22" ht="11" thickBot="1" x14ac:dyDescent="0.3">
      <c r="B11" s="85" t="s">
        <v>93</v>
      </c>
      <c r="C11" s="92">
        <v>2077.1880000000001</v>
      </c>
      <c r="D11" s="102">
        <v>2236.5</v>
      </c>
      <c r="E11" s="102">
        <v>2684.453</v>
      </c>
      <c r="F11" s="102">
        <v>2684.366</v>
      </c>
      <c r="G11" s="102">
        <v>1379.03</v>
      </c>
      <c r="H11" s="102">
        <v>3004.1</v>
      </c>
      <c r="I11" s="102">
        <v>3983.6060000000002</v>
      </c>
      <c r="J11" s="102">
        <v>3602.9479999999999</v>
      </c>
      <c r="K11" s="194">
        <v>3574.0830000000001</v>
      </c>
      <c r="L11" s="78"/>
      <c r="M11" s="132" t="s">
        <v>41</v>
      </c>
      <c r="N11" s="167">
        <v>380.06299999999999</v>
      </c>
      <c r="O11" s="167">
        <v>455.45600000000002</v>
      </c>
      <c r="P11" s="167">
        <v>491.45299999999997</v>
      </c>
      <c r="Q11" s="167">
        <v>619.99099999999999</v>
      </c>
      <c r="R11" s="167">
        <v>603.16</v>
      </c>
      <c r="S11" s="167">
        <v>1175.492</v>
      </c>
      <c r="T11" s="167">
        <v>1449.7909999999999</v>
      </c>
      <c r="U11" s="167">
        <v>2054.9859999999999</v>
      </c>
      <c r="V11" s="207">
        <v>2509.1759999999999</v>
      </c>
    </row>
    <row r="12" spans="2:22" ht="11" thickBot="1" x14ac:dyDescent="0.3">
      <c r="B12" s="85" t="s">
        <v>94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105">
        <v>58.39</v>
      </c>
      <c r="I12" s="105">
        <v>70.713999999999999</v>
      </c>
      <c r="J12" s="105">
        <v>0.14399999999999999</v>
      </c>
      <c r="K12" s="196">
        <v>3.0000000000000001E-3</v>
      </c>
      <c r="L12" s="78"/>
      <c r="M12" s="139" t="s">
        <v>42</v>
      </c>
      <c r="N12" s="199">
        <f t="shared" ref="N12:P12" si="9">(N10+N11)</f>
        <v>2371.0300000000002</v>
      </c>
      <c r="O12" s="199">
        <f t="shared" si="9"/>
        <v>2838.8530000000001</v>
      </c>
      <c r="P12" s="199">
        <f t="shared" si="9"/>
        <v>3494.163</v>
      </c>
      <c r="Q12" s="199">
        <f t="shared" ref="Q12:R12" si="10">(Q10+Q11)</f>
        <v>5303.183</v>
      </c>
      <c r="R12" s="199">
        <f t="shared" si="10"/>
        <v>6739.8099999999995</v>
      </c>
      <c r="S12" s="199">
        <f t="shared" ref="S12:T12" si="11">(S10+S11)</f>
        <v>7623.1620000000003</v>
      </c>
      <c r="T12" s="199">
        <f t="shared" si="11"/>
        <v>5128.0779999999995</v>
      </c>
      <c r="U12" s="199">
        <f>(U10+U11)</f>
        <v>5125.009</v>
      </c>
      <c r="V12" s="208">
        <f>(V10+V11)</f>
        <v>6536.4390000000003</v>
      </c>
    </row>
    <row r="13" spans="2:22" ht="11" thickBot="1" x14ac:dyDescent="0.3">
      <c r="B13" s="85" t="s">
        <v>95</v>
      </c>
      <c r="C13" s="92">
        <v>-6.0149999999999997</v>
      </c>
      <c r="D13" s="102">
        <v>13.164</v>
      </c>
      <c r="E13" s="102">
        <f>-18.596</f>
        <v>-18.596</v>
      </c>
      <c r="F13" s="102">
        <f>-68.349</f>
        <v>-68.349000000000004</v>
      </c>
      <c r="G13" s="102">
        <v>79.760000000000005</v>
      </c>
      <c r="H13" s="102">
        <v>9.0500000000000007</v>
      </c>
      <c r="I13" s="102">
        <v>5.0819999999999999</v>
      </c>
      <c r="J13" s="102">
        <v>-27.332999999999998</v>
      </c>
      <c r="K13" s="194">
        <v>21.381</v>
      </c>
      <c r="L13" s="78"/>
      <c r="M13" s="146" t="s">
        <v>43</v>
      </c>
      <c r="N13" s="147">
        <f t="shared" ref="N13:T13" si="12">(N8+N10+N9)+SUM(N50:N54)</f>
        <v>8649.09</v>
      </c>
      <c r="O13" s="147">
        <f t="shared" si="12"/>
        <v>9859.8510000000006</v>
      </c>
      <c r="P13" s="147">
        <f t="shared" si="12"/>
        <v>11339.794999999998</v>
      </c>
      <c r="Q13" s="147">
        <f t="shared" si="12"/>
        <v>13501.308999999999</v>
      </c>
      <c r="R13" s="147">
        <f t="shared" si="12"/>
        <v>14623.753999999999</v>
      </c>
      <c r="S13" s="147">
        <f t="shared" si="12"/>
        <v>15013.342000000001</v>
      </c>
      <c r="T13" s="147">
        <f t="shared" si="12"/>
        <v>14808.06763</v>
      </c>
      <c r="U13" s="147">
        <f t="shared" ref="U13:V13" si="13">(U8+U10+U9)+SUM(U50:U54)</f>
        <v>15859.603629999998</v>
      </c>
      <c r="V13" s="209">
        <f t="shared" si="13"/>
        <v>17859.419000000002</v>
      </c>
    </row>
    <row r="14" spans="2:22" ht="11" thickBot="1" x14ac:dyDescent="0.3">
      <c r="B14" s="85" t="s">
        <v>66</v>
      </c>
      <c r="C14" s="92">
        <v>382.09300000000002</v>
      </c>
      <c r="D14" s="102">
        <v>435.85399999999998</v>
      </c>
      <c r="E14" s="102">
        <v>530.12400000000002</v>
      </c>
      <c r="F14" s="102">
        <v>618.79700000000003</v>
      </c>
      <c r="G14" s="102">
        <v>559.82000000000005</v>
      </c>
      <c r="H14" s="102">
        <v>596.55499999999995</v>
      </c>
      <c r="I14" s="102">
        <v>691.75099999999998</v>
      </c>
      <c r="J14" s="102">
        <v>796.26400000000001</v>
      </c>
      <c r="K14" s="194">
        <v>806.27700000000004</v>
      </c>
      <c r="L14" s="78"/>
      <c r="M14" s="112" t="s">
        <v>43</v>
      </c>
      <c r="N14" s="148">
        <f t="shared" ref="N14:T14" si="14">N55-N41</f>
        <v>8649.09</v>
      </c>
      <c r="O14" s="148">
        <f t="shared" si="14"/>
        <v>9859.8510000000024</v>
      </c>
      <c r="P14" s="148">
        <f t="shared" si="14"/>
        <v>11339.795000000002</v>
      </c>
      <c r="Q14" s="148">
        <f t="shared" si="14"/>
        <v>13501.309000000001</v>
      </c>
      <c r="R14" s="148">
        <f t="shared" si="14"/>
        <v>14623.760999999999</v>
      </c>
      <c r="S14" s="148">
        <f t="shared" si="14"/>
        <v>15013.341999999999</v>
      </c>
      <c r="T14" s="148">
        <f t="shared" si="14"/>
        <v>14808.068000000003</v>
      </c>
      <c r="U14" s="148">
        <f t="shared" ref="U14:V14" si="15">U55-U41</f>
        <v>15859.608000000004</v>
      </c>
      <c r="V14" s="205">
        <f t="shared" si="15"/>
        <v>17859.396999999997</v>
      </c>
    </row>
    <row r="15" spans="2:22" ht="11" thickBot="1" x14ac:dyDescent="0.3">
      <c r="B15" s="85" t="s">
        <v>96</v>
      </c>
      <c r="C15" s="92">
        <v>351.70400000000001</v>
      </c>
      <c r="D15" s="102">
        <v>101.557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94">
        <v>0</v>
      </c>
      <c r="L15" s="78"/>
      <c r="M15" s="244"/>
      <c r="N15" s="244"/>
      <c r="O15" s="244"/>
      <c r="P15" s="244"/>
      <c r="Q15" s="244"/>
      <c r="R15" s="244"/>
      <c r="S15" s="244"/>
      <c r="T15" s="244"/>
      <c r="U15" s="244"/>
      <c r="V15" s="210"/>
    </row>
    <row r="16" spans="2:22" ht="11" thickBot="1" x14ac:dyDescent="0.3">
      <c r="B16" s="85" t="s">
        <v>69</v>
      </c>
      <c r="C16" s="92">
        <v>2456.5169999999998</v>
      </c>
      <c r="D16" s="102">
        <v>2881.348</v>
      </c>
      <c r="E16" s="102">
        <v>3183.17</v>
      </c>
      <c r="F16" s="102">
        <f>3026.965</f>
        <v>3026.9650000000001</v>
      </c>
      <c r="G16" s="102">
        <v>1727.35</v>
      </c>
      <c r="H16" s="102">
        <f>1497.607+1363.894+584.862</f>
        <v>3446.3630000000003</v>
      </c>
      <c r="I16" s="102">
        <f>2085.723+1837.192+629.387</f>
        <v>4552.3019999999997</v>
      </c>
      <c r="J16" s="102">
        <f>1559.871+1841.258+1009.165</f>
        <v>4410.2939999999999</v>
      </c>
      <c r="K16" s="194">
        <f>1340.126+1935.416+967.195</f>
        <v>4242.7370000000001</v>
      </c>
      <c r="L16" s="78"/>
      <c r="M16" s="112" t="s">
        <v>161</v>
      </c>
      <c r="N16" s="148">
        <f t="shared" ref="N16:P16" si="16">SUM(N17:N27)</f>
        <v>8382.0209999999988</v>
      </c>
      <c r="O16" s="148">
        <f t="shared" si="16"/>
        <v>9379.1310000000012</v>
      </c>
      <c r="P16" s="148">
        <f t="shared" si="16"/>
        <v>10799.745000000001</v>
      </c>
      <c r="Q16" s="148">
        <f t="shared" ref="Q16:S16" si="17">SUM(Q17:Q27)</f>
        <v>13701.327000000001</v>
      </c>
      <c r="R16" s="148">
        <f t="shared" si="17"/>
        <v>14653.739999999998</v>
      </c>
      <c r="S16" s="148">
        <f t="shared" si="17"/>
        <v>14608.492</v>
      </c>
      <c r="T16" s="148">
        <f t="shared" ref="T16:U16" si="18">SUM(T17:T27)</f>
        <v>14762.946000000002</v>
      </c>
      <c r="U16" s="148">
        <f t="shared" si="18"/>
        <v>15811.388000000003</v>
      </c>
      <c r="V16" s="259">
        <f t="shared" ref="V16" si="19">SUM(V17:V27)</f>
        <v>18414.935999999998</v>
      </c>
    </row>
    <row r="17" spans="2:27" ht="10.5" x14ac:dyDescent="0.25">
      <c r="B17" s="86" t="s">
        <v>5</v>
      </c>
      <c r="C17" s="93">
        <f t="shared" ref="C17:E17" si="20">(C5-C10)</f>
        <v>1165.7640000000001</v>
      </c>
      <c r="D17" s="103">
        <f t="shared" si="20"/>
        <v>1474.5070000000005</v>
      </c>
      <c r="E17" s="103">
        <f t="shared" si="20"/>
        <v>1555.4650000000001</v>
      </c>
      <c r="F17" s="103">
        <f t="shared" ref="F17:H17" si="21">(F5-F10)</f>
        <v>1185.5419999999995</v>
      </c>
      <c r="G17" s="103">
        <f t="shared" si="21"/>
        <v>292.86999999999989</v>
      </c>
      <c r="H17" s="103">
        <f t="shared" si="21"/>
        <v>1189.4939999999988</v>
      </c>
      <c r="I17" s="103">
        <f>(I5-I10)</f>
        <v>3792.1290000000008</v>
      </c>
      <c r="J17" s="103">
        <f>(J5-J10)</f>
        <v>3330.648000000001</v>
      </c>
      <c r="K17" s="195">
        <f>(K5-K10)</f>
        <v>2425.9050000000007</v>
      </c>
      <c r="L17" s="78"/>
      <c r="M17" s="131" t="s">
        <v>103</v>
      </c>
      <c r="N17" s="168">
        <v>7613.6719999999996</v>
      </c>
      <c r="O17" s="168">
        <v>8149.1670000000004</v>
      </c>
      <c r="P17" s="168">
        <v>9637.7510000000002</v>
      </c>
      <c r="Q17" s="168">
        <v>10201.276</v>
      </c>
      <c r="R17" s="168">
        <v>14262.74</v>
      </c>
      <c r="S17" s="168">
        <v>14006.076999999999</v>
      </c>
      <c r="T17" s="168">
        <v>14068.047</v>
      </c>
      <c r="U17" s="168">
        <v>14678.258</v>
      </c>
      <c r="V17" s="202">
        <v>16013.013999999999</v>
      </c>
    </row>
    <row r="18" spans="2:27" ht="10.5" x14ac:dyDescent="0.25">
      <c r="B18" s="87" t="s">
        <v>2</v>
      </c>
      <c r="C18" s="94"/>
      <c r="D18" s="104">
        <f>(D17/C17-1)</f>
        <v>0.26484176900298895</v>
      </c>
      <c r="E18" s="104">
        <f t="shared" ref="E18:F18" si="22">(E17/D17-1)</f>
        <v>5.4905131003107899E-2</v>
      </c>
      <c r="F18" s="104">
        <f t="shared" si="22"/>
        <v>-0.23782148746516352</v>
      </c>
      <c r="G18" s="104">
        <f>(G17/F17-1)</f>
        <v>-0.75296531038124326</v>
      </c>
      <c r="H18" s="104">
        <f>(H17/G17-1)</f>
        <v>3.0615085191381812</v>
      </c>
      <c r="I18" s="104">
        <f>(I17/H17-1)</f>
        <v>2.1880186028681141</v>
      </c>
      <c r="J18" s="104">
        <f>(J17/I17-1)</f>
        <v>-0.12169443602788821</v>
      </c>
      <c r="K18" s="104">
        <f>(K17/J17-1)</f>
        <v>-0.27164173458137875</v>
      </c>
      <c r="L18" s="78"/>
      <c r="M18" s="85" t="s">
        <v>99</v>
      </c>
      <c r="N18" s="166">
        <v>415.38499999999999</v>
      </c>
      <c r="O18" s="166">
        <v>800.95899999999995</v>
      </c>
      <c r="P18" s="166">
        <v>540.74699999999996</v>
      </c>
      <c r="Q18" s="166">
        <v>3095.8679999999999</v>
      </c>
      <c r="R18" s="166">
        <v>205.47</v>
      </c>
      <c r="S18" s="166">
        <v>288.642</v>
      </c>
      <c r="T18" s="166">
        <v>306.435</v>
      </c>
      <c r="U18" s="166">
        <v>414.76299999999998</v>
      </c>
      <c r="V18" s="203">
        <v>1552.277</v>
      </c>
    </row>
    <row r="19" spans="2:27" ht="10.5" x14ac:dyDescent="0.25">
      <c r="B19" s="87" t="s">
        <v>118</v>
      </c>
      <c r="C19" s="94"/>
      <c r="D19" s="104"/>
      <c r="E19" s="104"/>
      <c r="F19" s="104">
        <f t="shared" ref="F19:J19" si="23">((F17/C17)^(1/3)-1)</f>
        <v>5.6235490924965159E-3</v>
      </c>
      <c r="G19" s="104">
        <f t="shared" si="23"/>
        <v>-0.41654233514240313</v>
      </c>
      <c r="H19" s="104">
        <f t="shared" si="23"/>
        <v>-8.5534474851919451E-2</v>
      </c>
      <c r="I19" s="104">
        <f t="shared" si="23"/>
        <v>0.47340470654639333</v>
      </c>
      <c r="J19" s="104">
        <f t="shared" si="23"/>
        <v>1.2488023329475406</v>
      </c>
      <c r="K19" s="104">
        <f>((K17/H17)^(1/3)-1)</f>
        <v>0.26814966494972237</v>
      </c>
      <c r="L19" s="78"/>
      <c r="M19" s="85" t="s">
        <v>163</v>
      </c>
      <c r="N19" s="166">
        <v>83.037999999999997</v>
      </c>
      <c r="O19" s="166">
        <v>81.709999999999994</v>
      </c>
      <c r="P19" s="166">
        <v>80.379000000000005</v>
      </c>
      <c r="Q19" s="166">
        <v>79.049000000000007</v>
      </c>
      <c r="R19" s="166">
        <v>77.72</v>
      </c>
      <c r="S19" s="166">
        <v>76.388000000000005</v>
      </c>
      <c r="T19" s="166">
        <v>75.057000000000002</v>
      </c>
      <c r="U19" s="166">
        <v>73.727000000000004</v>
      </c>
      <c r="V19" s="203">
        <v>72.396000000000001</v>
      </c>
    </row>
    <row r="20" spans="2:27" ht="10.5" x14ac:dyDescent="0.25">
      <c r="B20" s="189" t="s">
        <v>6</v>
      </c>
      <c r="C20" s="187">
        <f t="shared" ref="C20:E20" si="24">(C17/C7)</f>
        <v>0.18048287860038315</v>
      </c>
      <c r="D20" s="188">
        <f t="shared" si="24"/>
        <v>0.20537533435140709</v>
      </c>
      <c r="E20" s="188">
        <f t="shared" si="24"/>
        <v>0.19387343662265</v>
      </c>
      <c r="F20" s="188">
        <f t="shared" ref="F20:G20" si="25">(F17/F7)</f>
        <v>0.15733691587836204</v>
      </c>
      <c r="G20" s="188">
        <f t="shared" si="25"/>
        <v>7.0755560280055432E-2</v>
      </c>
      <c r="H20" s="188">
        <f>(H17/H5)</f>
        <v>0.14324432511170571</v>
      </c>
      <c r="I20" s="188">
        <f>(I17/I5)</f>
        <v>0.28957311105789557</v>
      </c>
      <c r="J20" s="188">
        <f>(J17/J5)</f>
        <v>0.2749655431184686</v>
      </c>
      <c r="K20" s="191">
        <f>(K17/K5)</f>
        <v>0.21913463541379682</v>
      </c>
      <c r="L20" s="78"/>
      <c r="M20" s="85" t="s">
        <v>164</v>
      </c>
      <c r="N20" s="166">
        <v>21.690999999999999</v>
      </c>
      <c r="O20" s="166">
        <v>14.253</v>
      </c>
      <c r="P20" s="166">
        <v>65.153999999999996</v>
      </c>
      <c r="Q20" s="166">
        <v>55.015999999999998</v>
      </c>
      <c r="R20" s="166">
        <v>16.760000000000002</v>
      </c>
      <c r="S20" s="166">
        <v>0.35499999999999998</v>
      </c>
      <c r="T20" s="166">
        <v>0</v>
      </c>
      <c r="U20" s="166" t="s">
        <v>119</v>
      </c>
      <c r="V20" s="203">
        <v>100.789</v>
      </c>
    </row>
    <row r="21" spans="2:27" ht="10.5" x14ac:dyDescent="0.25">
      <c r="B21" s="85" t="s">
        <v>8</v>
      </c>
      <c r="C21" s="92">
        <v>153.64099999999999</v>
      </c>
      <c r="D21" s="102">
        <v>194.19900000000001</v>
      </c>
      <c r="E21" s="102">
        <v>251.25299999999999</v>
      </c>
      <c r="F21" s="102">
        <v>317.01600000000002</v>
      </c>
      <c r="G21" s="102">
        <v>348.29</v>
      </c>
      <c r="H21" s="102">
        <v>461</v>
      </c>
      <c r="I21" s="102">
        <v>454.36700000000002</v>
      </c>
      <c r="J21" s="102">
        <v>482.47300000000001</v>
      </c>
      <c r="K21" s="194">
        <v>539.97900000000004</v>
      </c>
      <c r="L21" s="78"/>
      <c r="M21" s="85" t="s">
        <v>174</v>
      </c>
      <c r="N21" s="166"/>
      <c r="O21" s="166">
        <v>42.856999999999999</v>
      </c>
      <c r="P21" s="166">
        <v>10</v>
      </c>
      <c r="Q21" s="166">
        <v>0</v>
      </c>
      <c r="R21" s="166">
        <v>0</v>
      </c>
      <c r="S21" s="166">
        <v>0</v>
      </c>
      <c r="T21" s="166">
        <v>0</v>
      </c>
      <c r="U21" s="166">
        <v>4.1829999999999998</v>
      </c>
      <c r="V21" s="203">
        <v>10.558999999999999</v>
      </c>
    </row>
    <row r="22" spans="2:27" ht="10.5" x14ac:dyDescent="0.25">
      <c r="B22" s="85" t="s">
        <v>117</v>
      </c>
      <c r="C22" s="92">
        <v>201.64599999999999</v>
      </c>
      <c r="D22" s="102">
        <v>245.84</v>
      </c>
      <c r="E22" s="102">
        <v>283.79700000000003</v>
      </c>
      <c r="F22" s="102">
        <v>304.339</v>
      </c>
      <c r="G22" s="102">
        <v>277.47000000000003</v>
      </c>
      <c r="H22" s="102">
        <v>689</v>
      </c>
      <c r="I22" s="102">
        <v>709.94399999999996</v>
      </c>
      <c r="J22" s="102">
        <v>428.47</v>
      </c>
      <c r="K22" s="194">
        <v>393</v>
      </c>
      <c r="L22" s="78"/>
      <c r="M22" s="85" t="s">
        <v>104</v>
      </c>
      <c r="N22" s="166"/>
      <c r="O22" s="166"/>
      <c r="P22" s="166"/>
      <c r="Q22" s="166"/>
      <c r="R22" s="166"/>
      <c r="S22" s="166"/>
      <c r="T22" s="166"/>
      <c r="U22" s="166"/>
      <c r="V22" s="203"/>
    </row>
    <row r="23" spans="2:27" ht="10.5" x14ac:dyDescent="0.25">
      <c r="B23" s="85" t="s">
        <v>9</v>
      </c>
      <c r="C23" s="92">
        <v>0</v>
      </c>
      <c r="D23" s="102">
        <v>0</v>
      </c>
      <c r="E23" s="102">
        <v>0</v>
      </c>
      <c r="F23" s="102">
        <v>0</v>
      </c>
      <c r="G23" s="102">
        <v>85.76</v>
      </c>
      <c r="H23" s="102">
        <v>0</v>
      </c>
      <c r="I23" s="102">
        <v>634.23099999999999</v>
      </c>
      <c r="J23" s="102">
        <v>0</v>
      </c>
      <c r="K23" s="194">
        <v>0</v>
      </c>
      <c r="L23" s="78"/>
      <c r="M23" s="85" t="s">
        <v>106</v>
      </c>
      <c r="N23" s="166"/>
      <c r="O23" s="166"/>
      <c r="P23" s="166"/>
      <c r="Q23" s="166"/>
      <c r="R23" s="166"/>
      <c r="S23" s="166">
        <v>0</v>
      </c>
      <c r="T23" s="166">
        <v>0</v>
      </c>
      <c r="U23" s="166">
        <v>0</v>
      </c>
      <c r="V23" s="203">
        <v>0</v>
      </c>
    </row>
    <row r="24" spans="2:27" ht="10.5" x14ac:dyDescent="0.25">
      <c r="B24" s="86" t="s">
        <v>10</v>
      </c>
      <c r="C24" s="93">
        <f>(C17-C21-C22+C23+C6)</f>
        <v>842.36500000000024</v>
      </c>
      <c r="D24" s="93">
        <f t="shared" ref="D24:K24" si="26">(D17-D21-D22+D23+D6)</f>
        <v>1071.1100000000006</v>
      </c>
      <c r="E24" s="93">
        <f t="shared" si="26"/>
        <v>1108.8940000000002</v>
      </c>
      <c r="F24" s="93">
        <f t="shared" si="26"/>
        <v>651.91899999999941</v>
      </c>
      <c r="G24" s="93">
        <f t="shared" si="26"/>
        <v>-146.78000000000017</v>
      </c>
      <c r="H24" s="93">
        <f t="shared" si="26"/>
        <v>78.025999999998774</v>
      </c>
      <c r="I24" s="93">
        <f t="shared" si="26"/>
        <v>3298.0910000000008</v>
      </c>
      <c r="J24" s="93">
        <f t="shared" si="26"/>
        <v>2476.1060000000007</v>
      </c>
      <c r="K24" s="252">
        <f t="shared" si="26"/>
        <v>1553.7770000000005</v>
      </c>
      <c r="L24" s="78"/>
      <c r="M24" s="85" t="s">
        <v>160</v>
      </c>
      <c r="N24" s="166">
        <v>24.713999999999999</v>
      </c>
      <c r="O24" s="166">
        <v>25.071999999999999</v>
      </c>
      <c r="P24" s="166">
        <v>31.241</v>
      </c>
      <c r="Q24" s="166">
        <v>39.700000000000003</v>
      </c>
      <c r="R24" s="166">
        <v>40.25</v>
      </c>
      <c r="S24" s="166">
        <v>0</v>
      </c>
      <c r="T24" s="166">
        <v>0</v>
      </c>
      <c r="U24" s="166">
        <v>0</v>
      </c>
      <c r="V24" s="203">
        <v>0</v>
      </c>
    </row>
    <row r="25" spans="2:27" ht="10.5" x14ac:dyDescent="0.25">
      <c r="B25" s="85" t="s">
        <v>11</v>
      </c>
      <c r="C25" s="92">
        <f>181.132+68.224</f>
        <v>249.35599999999999</v>
      </c>
      <c r="D25" s="102">
        <f>241.083+101.152</f>
        <v>342.23500000000001</v>
      </c>
      <c r="E25" s="102">
        <f>247.608+81.898</f>
        <v>329.50599999999997</v>
      </c>
      <c r="F25" s="102">
        <f>186.817-120.678</f>
        <v>66.13900000000001</v>
      </c>
      <c r="G25" s="102">
        <v>191.03</v>
      </c>
      <c r="H25" s="102">
        <v>57</v>
      </c>
      <c r="I25" s="111">
        <v>668.11099999999999</v>
      </c>
      <c r="J25" s="111">
        <v>637.84900000000005</v>
      </c>
      <c r="K25" s="197">
        <v>401.971</v>
      </c>
      <c r="L25" s="78"/>
      <c r="M25" s="85" t="s">
        <v>107</v>
      </c>
      <c r="N25" s="166">
        <v>6.9580000000000002</v>
      </c>
      <c r="O25" s="166">
        <v>3.7429999999999999</v>
      </c>
      <c r="P25" s="166">
        <v>9.6890000000000001</v>
      </c>
      <c r="Q25" s="166">
        <v>52.005000000000003</v>
      </c>
      <c r="R25" s="166">
        <v>40.520000000000003</v>
      </c>
      <c r="S25" s="166">
        <v>86.492999999999995</v>
      </c>
      <c r="T25" s="166">
        <v>39.438000000000002</v>
      </c>
      <c r="U25" s="166">
        <v>39.109000000000002</v>
      </c>
      <c r="V25" s="203">
        <v>49.2</v>
      </c>
    </row>
    <row r="26" spans="2:27" ht="10.5" x14ac:dyDescent="0.25">
      <c r="B26" s="87" t="s">
        <v>12</v>
      </c>
      <c r="C26" s="187">
        <f t="shared" ref="C26:E26" si="27">(C25/C24)</f>
        <v>0.29601894665614065</v>
      </c>
      <c r="D26" s="188">
        <f t="shared" si="27"/>
        <v>0.31951433559578363</v>
      </c>
      <c r="E26" s="188">
        <f t="shared" si="27"/>
        <v>0.29714832977723743</v>
      </c>
      <c r="F26" s="188">
        <f t="shared" ref="F26:I26" si="28">(F25/F24)</f>
        <v>0.10145278784634298</v>
      </c>
      <c r="G26" s="188">
        <f t="shared" si="28"/>
        <v>-1.3014715901348943</v>
      </c>
      <c r="H26" s="188">
        <f t="shared" si="28"/>
        <v>0.7305257221951772</v>
      </c>
      <c r="I26" s="188">
        <f t="shared" si="28"/>
        <v>0.20257506539388992</v>
      </c>
      <c r="J26" s="188">
        <f>(J25/J24)</f>
        <v>0.25760165356410425</v>
      </c>
      <c r="K26" s="188">
        <f>(K25/K24)</f>
        <v>0.25870572160612487</v>
      </c>
      <c r="L26" s="78"/>
      <c r="M26" s="85" t="s">
        <v>108</v>
      </c>
      <c r="N26" s="166">
        <v>1.482</v>
      </c>
      <c r="O26" s="166">
        <v>0.161</v>
      </c>
      <c r="P26" s="166">
        <v>0.161</v>
      </c>
      <c r="Q26" s="166">
        <v>0.161</v>
      </c>
      <c r="R26" s="166">
        <v>2.89</v>
      </c>
      <c r="S26" s="166">
        <v>2.8879999999999999</v>
      </c>
      <c r="T26" s="166">
        <v>15.601000000000001</v>
      </c>
      <c r="U26" s="166">
        <v>15.601000000000001</v>
      </c>
      <c r="V26" s="203">
        <v>15.601000000000001</v>
      </c>
      <c r="X26" s="74">
        <f>(55/39)^(1/2)-1</f>
        <v>0.18754217199070888</v>
      </c>
    </row>
    <row r="27" spans="2:27" ht="11" thickBot="1" x14ac:dyDescent="0.3">
      <c r="B27" s="86" t="s">
        <v>13</v>
      </c>
      <c r="C27" s="93">
        <f t="shared" ref="C27:D27" si="29">(C24-C25)</f>
        <v>593.00900000000024</v>
      </c>
      <c r="D27" s="103">
        <f t="shared" si="29"/>
        <v>728.87500000000057</v>
      </c>
      <c r="E27" s="103">
        <f>(E24-E25)</f>
        <v>779.38800000000026</v>
      </c>
      <c r="F27" s="103">
        <f t="shared" ref="F27:I27" si="30">(F24-F25)</f>
        <v>585.7799999999994</v>
      </c>
      <c r="G27" s="103">
        <f t="shared" si="30"/>
        <v>-337.81000000000017</v>
      </c>
      <c r="H27" s="103">
        <f t="shared" si="30"/>
        <v>21.025999999998774</v>
      </c>
      <c r="I27" s="103">
        <f t="shared" si="30"/>
        <v>2629.9800000000009</v>
      </c>
      <c r="J27" s="103">
        <f>(J24-J25)</f>
        <v>1838.2570000000005</v>
      </c>
      <c r="K27" s="253">
        <f>(K24-K25)</f>
        <v>1151.8060000000005</v>
      </c>
      <c r="L27" s="78"/>
      <c r="M27" s="132" t="s">
        <v>109</v>
      </c>
      <c r="N27" s="167">
        <v>215.08099999999999</v>
      </c>
      <c r="O27" s="167">
        <v>261.209</v>
      </c>
      <c r="P27" s="167">
        <v>424.62299999999999</v>
      </c>
      <c r="Q27" s="167">
        <v>178.25200000000001</v>
      </c>
      <c r="R27" s="167">
        <v>7.39</v>
      </c>
      <c r="S27" s="167">
        <v>147.649</v>
      </c>
      <c r="T27" s="167">
        <v>258.36799999999999</v>
      </c>
      <c r="U27" s="167">
        <v>585.74699999999996</v>
      </c>
      <c r="V27" s="207">
        <v>601.1</v>
      </c>
    </row>
    <row r="28" spans="2:27" ht="11" thickBot="1" x14ac:dyDescent="0.3">
      <c r="B28" s="189" t="s">
        <v>81</v>
      </c>
      <c r="C28" s="190">
        <f t="shared" ref="C28:J28" si="31">C27/C5</f>
        <v>9.2264795633467594E-2</v>
      </c>
      <c r="D28" s="191">
        <f t="shared" si="31"/>
        <v>0.10204145917711648</v>
      </c>
      <c r="E28" s="191">
        <f t="shared" si="31"/>
        <v>9.8226303579152449E-2</v>
      </c>
      <c r="F28" s="191">
        <f t="shared" si="31"/>
        <v>7.8656472575842962E-2</v>
      </c>
      <c r="G28" s="191">
        <f t="shared" si="31"/>
        <v>-8.364055927087799E-2</v>
      </c>
      <c r="H28" s="191">
        <f t="shared" si="31"/>
        <v>2.5320473914105931E-3</v>
      </c>
      <c r="I28" s="191">
        <f t="shared" si="31"/>
        <v>0.20082953154284686</v>
      </c>
      <c r="J28" s="191">
        <f t="shared" si="31"/>
        <v>0.1517594577380518</v>
      </c>
      <c r="K28" s="191">
        <f>K27/K5</f>
        <v>0.10404388790056647</v>
      </c>
      <c r="L28" s="78"/>
      <c r="M28" s="112" t="s">
        <v>44</v>
      </c>
      <c r="N28" s="148">
        <f t="shared" ref="N28:P28" si="32">SUM(N29:N40)</f>
        <v>1728.7110000000002</v>
      </c>
      <c r="O28" s="148">
        <f t="shared" si="32"/>
        <v>1835.0109999999997</v>
      </c>
      <c r="P28" s="148">
        <f t="shared" si="32"/>
        <v>2042.9759999999997</v>
      </c>
      <c r="Q28" s="148">
        <f t="shared" ref="Q28:T28" si="33">SUM(Q29:Q40)</f>
        <v>1792.9380000000001</v>
      </c>
      <c r="R28" s="148">
        <f t="shared" si="33"/>
        <v>1489.59</v>
      </c>
      <c r="S28" s="148">
        <f t="shared" si="33"/>
        <v>2152.6640000000002</v>
      </c>
      <c r="T28" s="148">
        <f t="shared" si="33"/>
        <v>2131.652</v>
      </c>
      <c r="U28" s="148">
        <f t="shared" ref="U28:V28" si="34">SUM(U29:U40)</f>
        <v>3066.239</v>
      </c>
      <c r="V28" s="258">
        <f>SUM(V29:V40)</f>
        <v>2712.5830000000001</v>
      </c>
    </row>
    <row r="29" spans="2:27" ht="14.5" x14ac:dyDescent="0.35">
      <c r="B29" s="85" t="s">
        <v>14</v>
      </c>
      <c r="C29" s="96"/>
      <c r="D29" s="106">
        <v>0</v>
      </c>
      <c r="E29" s="106"/>
      <c r="F29" s="106"/>
      <c r="G29" s="106"/>
      <c r="H29" s="106"/>
      <c r="I29" s="106"/>
      <c r="J29" s="106"/>
      <c r="K29" s="198">
        <v>0</v>
      </c>
      <c r="L29" s="78"/>
      <c r="M29" s="131" t="s">
        <v>45</v>
      </c>
      <c r="N29" s="168">
        <v>608.75099999999998</v>
      </c>
      <c r="O29" s="168">
        <v>744.81700000000001</v>
      </c>
      <c r="P29" s="168">
        <v>635.71799999999996</v>
      </c>
      <c r="Q29" s="168">
        <v>923.84500000000003</v>
      </c>
      <c r="R29" s="168">
        <v>524.04</v>
      </c>
      <c r="S29" s="168">
        <v>868.55700000000002</v>
      </c>
      <c r="T29" s="168">
        <v>900.62699999999995</v>
      </c>
      <c r="U29" s="168">
        <v>1127.7809999999999</v>
      </c>
      <c r="V29" s="202">
        <v>1261.9880000000001</v>
      </c>
      <c r="AA29"/>
    </row>
    <row r="30" spans="2:27" ht="10.5" x14ac:dyDescent="0.25">
      <c r="B30" s="85" t="s">
        <v>70</v>
      </c>
      <c r="C30" s="96">
        <v>-4.3280000000000003</v>
      </c>
      <c r="D30" s="106">
        <v>-1.4630000000000001</v>
      </c>
      <c r="E30" s="106">
        <f>-1.125</f>
        <v>-1.125</v>
      </c>
      <c r="F30" s="106">
        <f>-1.297</f>
        <v>-1.2969999999999999</v>
      </c>
      <c r="G30" s="106">
        <v>4.42</v>
      </c>
      <c r="H30" s="106">
        <v>-2</v>
      </c>
      <c r="I30" s="102">
        <v>-4.5999999999999996</v>
      </c>
      <c r="J30" s="102">
        <f>-9.486+3.315</f>
        <v>-6.1710000000000012</v>
      </c>
      <c r="K30" s="198">
        <f>-1.8+0.453</f>
        <v>-1.347</v>
      </c>
      <c r="L30" s="78"/>
      <c r="M30" s="85" t="s">
        <v>110</v>
      </c>
      <c r="N30" s="166"/>
      <c r="O30" s="166"/>
      <c r="P30" s="166"/>
      <c r="Q30" s="166"/>
      <c r="R30" s="166"/>
      <c r="S30" s="166"/>
      <c r="T30" s="166"/>
      <c r="U30" s="166"/>
      <c r="V30" s="203"/>
    </row>
    <row r="31" spans="2:27" ht="10.5" x14ac:dyDescent="0.25">
      <c r="B31" s="86" t="s">
        <v>15</v>
      </c>
      <c r="C31" s="97">
        <f t="shared" ref="C31:D31" si="35">(C27-C29+C30)</f>
        <v>588.68100000000027</v>
      </c>
      <c r="D31" s="107">
        <f t="shared" si="35"/>
        <v>727.4120000000006</v>
      </c>
      <c r="E31" s="107">
        <f t="shared" ref="E31:I31" si="36">(E27-E29+E30)</f>
        <v>778.26300000000026</v>
      </c>
      <c r="F31" s="107">
        <f t="shared" si="36"/>
        <v>584.48299999999938</v>
      </c>
      <c r="G31" s="107">
        <f t="shared" si="36"/>
        <v>-333.39000000000016</v>
      </c>
      <c r="H31" s="107">
        <f t="shared" si="36"/>
        <v>19.025999999998774</v>
      </c>
      <c r="I31" s="107">
        <f t="shared" si="36"/>
        <v>2625.380000000001</v>
      </c>
      <c r="J31" s="107">
        <f>(J27-J29+J30)</f>
        <v>1832.0860000000005</v>
      </c>
      <c r="K31" s="254">
        <f>(K27-K29+K30)</f>
        <v>1150.4590000000005</v>
      </c>
      <c r="L31" s="78"/>
      <c r="M31" s="85" t="s">
        <v>104</v>
      </c>
      <c r="N31" s="166"/>
      <c r="O31" s="166"/>
      <c r="P31" s="166"/>
      <c r="Q31" s="166"/>
      <c r="R31" s="166"/>
      <c r="S31" s="166"/>
      <c r="T31" s="166"/>
      <c r="U31" s="166"/>
      <c r="V31" s="203"/>
    </row>
    <row r="32" spans="2:27" ht="10.5" x14ac:dyDescent="0.25">
      <c r="B32" s="87" t="s">
        <v>2</v>
      </c>
      <c r="C32" s="94"/>
      <c r="D32" s="104">
        <f>(D31/C31-1)</f>
        <v>0.23566413728318092</v>
      </c>
      <c r="E32" s="104">
        <f t="shared" ref="E32:F32" si="37">(E31/D31-1)</f>
        <v>6.9906737859699364E-2</v>
      </c>
      <c r="F32" s="104">
        <f t="shared" si="37"/>
        <v>-0.24899037985873773</v>
      </c>
      <c r="G32" s="104">
        <f>(G31/F31-1)</f>
        <v>-1.5704015343474498</v>
      </c>
      <c r="H32" s="104">
        <f>(H31/G31-1)</f>
        <v>-1.0570682983892701</v>
      </c>
      <c r="I32" s="104">
        <f>(I31/H31-1)</f>
        <v>136.98906759172553</v>
      </c>
      <c r="J32" s="104">
        <f>(J31/I31-1)</f>
        <v>-0.3021634963319596</v>
      </c>
      <c r="K32" s="104">
        <f>(K31/J31-1)</f>
        <v>-0.37204967452401239</v>
      </c>
      <c r="L32" s="78"/>
      <c r="M32" s="85" t="s">
        <v>115</v>
      </c>
      <c r="N32" s="166">
        <v>343.48899999999998</v>
      </c>
      <c r="O32" s="166">
        <v>320.02199999999999</v>
      </c>
      <c r="P32" s="166">
        <v>334.81599999999997</v>
      </c>
      <c r="Q32" s="166">
        <v>143.34800000000001</v>
      </c>
      <c r="R32" s="166">
        <v>330.82</v>
      </c>
      <c r="S32" s="166">
        <v>606.10900000000004</v>
      </c>
      <c r="T32" s="166">
        <v>287.32499999999999</v>
      </c>
      <c r="U32" s="166">
        <v>342.245</v>
      </c>
      <c r="V32" s="203">
        <v>390.91800000000001</v>
      </c>
    </row>
    <row r="33" spans="2:22" ht="10.5" x14ac:dyDescent="0.25">
      <c r="B33" s="87" t="s">
        <v>3</v>
      </c>
      <c r="C33" s="94"/>
      <c r="D33" s="104"/>
      <c r="E33" s="104"/>
      <c r="F33" s="104">
        <f t="shared" ref="F33:K33" si="38">((F31/C31)^(1/3)-1)</f>
        <v>-2.3827384975498855E-3</v>
      </c>
      <c r="G33" s="104">
        <f t="shared" si="38"/>
        <v>-1.7710053103045005</v>
      </c>
      <c r="H33" s="104">
        <f t="shared" si="38"/>
        <v>-0.70977129131367866</v>
      </c>
      <c r="I33" s="104">
        <f t="shared" si="38"/>
        <v>0.64996005228664067</v>
      </c>
      <c r="J33" s="104">
        <f t="shared" si="38"/>
        <v>-2.7646737642218326</v>
      </c>
      <c r="K33" s="104">
        <f>((K31/H31)^(1/3)-1)</f>
        <v>2.9250140694145799</v>
      </c>
      <c r="L33" s="78"/>
      <c r="M33" s="85" t="s">
        <v>112</v>
      </c>
      <c r="N33" s="166">
        <v>222.99600000000001</v>
      </c>
      <c r="O33" s="166">
        <v>142.22499999999999</v>
      </c>
      <c r="P33" s="166">
        <v>390.18799999999999</v>
      </c>
      <c r="Q33" s="166">
        <v>4.6369999999999996</v>
      </c>
      <c r="R33" s="166">
        <v>4.5199999999999996</v>
      </c>
      <c r="S33" s="166">
        <v>35.606999999999999</v>
      </c>
      <c r="T33" s="166">
        <v>15.426</v>
      </c>
      <c r="U33" s="166">
        <v>705.86300000000006</v>
      </c>
      <c r="V33" s="203">
        <v>92.382999999999996</v>
      </c>
    </row>
    <row r="34" spans="2:22" ht="10.5" x14ac:dyDescent="0.25">
      <c r="B34" s="88" t="s">
        <v>16</v>
      </c>
      <c r="C34" s="98">
        <v>67.959999999999994</v>
      </c>
      <c r="D34" s="108">
        <v>83.53</v>
      </c>
      <c r="E34" s="108">
        <v>89.31</v>
      </c>
      <c r="F34" s="108">
        <v>8.23</v>
      </c>
      <c r="G34" s="108">
        <v>-1.46</v>
      </c>
      <c r="H34" s="108">
        <v>1.54</v>
      </c>
      <c r="I34" s="108">
        <v>15.6</v>
      </c>
      <c r="J34" s="108">
        <v>21.07</v>
      </c>
      <c r="K34" s="108">
        <v>13.2</v>
      </c>
      <c r="L34" s="78"/>
      <c r="M34" s="85" t="s">
        <v>111</v>
      </c>
      <c r="N34" s="166">
        <v>136.05199999999999</v>
      </c>
      <c r="O34" s="166">
        <v>338.95100000000002</v>
      </c>
      <c r="P34" s="166">
        <v>266.702</v>
      </c>
      <c r="Q34" s="166">
        <v>190.27500000000001</v>
      </c>
      <c r="R34" s="166">
        <v>156.66</v>
      </c>
      <c r="S34" s="166">
        <v>130.46100000000001</v>
      </c>
      <c r="T34" s="166">
        <v>157.19999999999999</v>
      </c>
      <c r="U34" s="166">
        <v>73.441999999999993</v>
      </c>
      <c r="V34" s="203">
        <v>121.996</v>
      </c>
    </row>
    <row r="35" spans="2:22" ht="10.5" x14ac:dyDescent="0.25">
      <c r="B35" s="89" t="s">
        <v>2</v>
      </c>
      <c r="C35" s="99"/>
      <c r="D35" s="109">
        <f>(D34/C34-1)</f>
        <v>0.22910535609181881</v>
      </c>
      <c r="E35" s="109">
        <f t="shared" ref="E35:F35" si="39">(E34/D34-1)</f>
        <v>6.9196695797916874E-2</v>
      </c>
      <c r="F35" s="109">
        <f t="shared" si="39"/>
        <v>-0.90784906505430518</v>
      </c>
      <c r="G35" s="109">
        <f>(G34/F34-1)</f>
        <v>-1.1773997569866341</v>
      </c>
      <c r="H35" s="109">
        <f>(H34/G34-1)</f>
        <v>-2.0547945205479454</v>
      </c>
      <c r="I35" s="109">
        <f>(I34/H34-1)</f>
        <v>9.1298701298701292</v>
      </c>
      <c r="J35" s="109">
        <f>(J34/I34-1)</f>
        <v>0.35064102564102573</v>
      </c>
      <c r="K35" s="109">
        <f>(K34/J34-1)</f>
        <v>-0.37351684859990508</v>
      </c>
      <c r="L35" s="78"/>
      <c r="M35" s="85" t="s">
        <v>113</v>
      </c>
      <c r="N35" s="166">
        <v>17.611000000000001</v>
      </c>
      <c r="O35" s="166">
        <v>17.893999999999998</v>
      </c>
      <c r="P35" s="166">
        <v>26.134</v>
      </c>
      <c r="Q35" s="166">
        <v>72.123999999999995</v>
      </c>
      <c r="R35" s="166">
        <v>39.35</v>
      </c>
      <c r="S35" s="166">
        <v>27.242999999999999</v>
      </c>
      <c r="T35" s="166">
        <v>15.887</v>
      </c>
      <c r="U35" s="166">
        <v>28.488</v>
      </c>
      <c r="V35" s="203">
        <v>9.7569999999999997</v>
      </c>
    </row>
    <row r="36" spans="2:22" ht="11" thickBot="1" x14ac:dyDescent="0.3">
      <c r="B36" s="90" t="s">
        <v>3</v>
      </c>
      <c r="C36" s="100"/>
      <c r="D36" s="110"/>
      <c r="E36" s="110"/>
      <c r="F36" s="110">
        <f t="shared" ref="F36" si="40">((F34/C34)^(1/3)-1)</f>
        <v>-0.50525415565436305</v>
      </c>
      <c r="G36" s="110">
        <f>((G34/D34)^(1/3)-1)</f>
        <v>-1.2595195770794327</v>
      </c>
      <c r="H36" s="110">
        <f>((H34/E34)^(1/3)-1)</f>
        <v>-0.74165094508764706</v>
      </c>
      <c r="I36" s="110">
        <f>((I34/F34)^(1/3)-1)</f>
        <v>0.23758466983498594</v>
      </c>
      <c r="J36" s="110">
        <f>((J34/G34)^(1/3)-1)</f>
        <v>-3.4346538670264009</v>
      </c>
      <c r="K36" s="110">
        <f>((K34/H34)^(1/3)-1)</f>
        <v>1.0465282161876264</v>
      </c>
      <c r="L36" s="78"/>
      <c r="M36" s="85" t="s">
        <v>42</v>
      </c>
      <c r="N36" s="166"/>
      <c r="O36" s="166"/>
      <c r="P36" s="166">
        <v>0</v>
      </c>
      <c r="Q36" s="166">
        <v>0</v>
      </c>
      <c r="R36" s="166">
        <v>9.77</v>
      </c>
      <c r="S36" s="166">
        <v>0</v>
      </c>
      <c r="T36" s="166">
        <v>0</v>
      </c>
      <c r="U36" s="166">
        <v>0</v>
      </c>
      <c r="V36" s="203">
        <v>0</v>
      </c>
    </row>
    <row r="37" spans="2:22" ht="13.15" customHeight="1" x14ac:dyDescent="0.25">
      <c r="B37" s="83" t="s">
        <v>169</v>
      </c>
      <c r="F37" s="80"/>
      <c r="G37" s="75"/>
      <c r="H37" s="75"/>
      <c r="I37" s="75"/>
      <c r="J37" s="75"/>
      <c r="K37" s="75"/>
      <c r="L37" s="78"/>
      <c r="M37" s="85" t="s">
        <v>100</v>
      </c>
      <c r="N37" s="166">
        <v>6.0949999999999998</v>
      </c>
      <c r="O37" s="166">
        <v>63.59</v>
      </c>
      <c r="P37" s="166">
        <v>189.55799999999999</v>
      </c>
      <c r="Q37" s="166">
        <v>4.7949999999999999</v>
      </c>
      <c r="R37" s="166">
        <v>0</v>
      </c>
      <c r="S37" s="166">
        <v>0</v>
      </c>
      <c r="T37" s="166">
        <v>0</v>
      </c>
      <c r="U37" s="166">
        <v>0</v>
      </c>
      <c r="V37" s="203">
        <v>0</v>
      </c>
    </row>
    <row r="38" spans="2:22" ht="11" thickBot="1" x14ac:dyDescent="0.3">
      <c r="B38" s="77"/>
      <c r="C38" s="77"/>
      <c r="D38" s="77"/>
      <c r="E38" s="77"/>
      <c r="F38" s="75"/>
      <c r="G38" s="80"/>
      <c r="H38" s="80"/>
      <c r="I38" s="80"/>
      <c r="J38" s="80"/>
      <c r="K38" s="80"/>
      <c r="L38" s="78"/>
      <c r="M38" s="85" t="s">
        <v>67</v>
      </c>
      <c r="N38" s="166">
        <v>393.71699999999998</v>
      </c>
      <c r="O38" s="166">
        <v>207.512</v>
      </c>
      <c r="P38" s="166">
        <v>199.86</v>
      </c>
      <c r="Q38" s="166">
        <v>453.91399999999999</v>
      </c>
      <c r="R38" s="166">
        <v>424.43</v>
      </c>
      <c r="S38" s="166">
        <v>484.68700000000001</v>
      </c>
      <c r="T38" s="166">
        <v>755.18700000000001</v>
      </c>
      <c r="U38" s="166">
        <v>788.42</v>
      </c>
      <c r="V38" s="203">
        <v>835.54100000000005</v>
      </c>
    </row>
    <row r="39" spans="2:22" ht="15.75" customHeight="1" thickBot="1" x14ac:dyDescent="0.3">
      <c r="B39" s="249" t="s">
        <v>17</v>
      </c>
      <c r="C39" s="250"/>
      <c r="D39" s="250"/>
      <c r="E39" s="250"/>
      <c r="F39" s="250"/>
      <c r="G39" s="250"/>
      <c r="H39" s="250"/>
      <c r="I39" s="250"/>
      <c r="J39" s="250"/>
      <c r="K39" s="251"/>
      <c r="L39" s="78"/>
      <c r="M39" s="85" t="s">
        <v>166</v>
      </c>
      <c r="N39" s="166">
        <v>0</v>
      </c>
      <c r="O39" s="166">
        <v>0</v>
      </c>
      <c r="P39" s="166">
        <v>0</v>
      </c>
      <c r="Q39" s="166">
        <v>0</v>
      </c>
      <c r="R39" s="166"/>
      <c r="S39" s="166"/>
      <c r="T39" s="166"/>
      <c r="U39" s="166"/>
      <c r="V39" s="203"/>
    </row>
    <row r="40" spans="2:22" ht="11" thickBot="1" x14ac:dyDescent="0.3">
      <c r="B40" s="139" t="s">
        <v>0</v>
      </c>
      <c r="C40" s="180" t="s">
        <v>35</v>
      </c>
      <c r="D40" s="181" t="s">
        <v>87</v>
      </c>
      <c r="E40" s="181" t="str">
        <f>E48</f>
        <v>FY19</v>
      </c>
      <c r="F40" s="181" t="str">
        <f>F48</f>
        <v>FY20</v>
      </c>
      <c r="G40" s="182" t="s">
        <v>167</v>
      </c>
      <c r="H40" s="182" t="s">
        <v>168</v>
      </c>
      <c r="I40" s="182" t="s">
        <v>170</v>
      </c>
      <c r="J40" s="182" t="s">
        <v>175</v>
      </c>
      <c r="K40" s="182" t="s">
        <v>178</v>
      </c>
      <c r="L40" s="78"/>
      <c r="M40" s="140" t="s">
        <v>85</v>
      </c>
      <c r="N40" s="143">
        <v>0</v>
      </c>
      <c r="O40" s="145">
        <v>0</v>
      </c>
      <c r="P40" s="145">
        <v>0</v>
      </c>
      <c r="Q40" s="145">
        <v>0</v>
      </c>
      <c r="R40" s="145"/>
      <c r="S40" s="145"/>
      <c r="T40" s="145"/>
      <c r="U40" s="145"/>
      <c r="V40" s="211"/>
    </row>
    <row r="41" spans="2:22" ht="11" thickBot="1" x14ac:dyDescent="0.3">
      <c r="B41" s="84" t="s">
        <v>18</v>
      </c>
      <c r="C41" s="121">
        <v>9.0090000000000003</v>
      </c>
      <c r="D41" s="116">
        <v>222.99600000000001</v>
      </c>
      <c r="E41" s="116">
        <v>142.22499999999999</v>
      </c>
      <c r="F41" s="116">
        <v>390.18599999999998</v>
      </c>
      <c r="G41" s="172">
        <v>4.6369999999999996</v>
      </c>
      <c r="H41" s="172">
        <v>4.5209999999999999</v>
      </c>
      <c r="I41" s="172">
        <f>H46</f>
        <v>35.606999999999999</v>
      </c>
      <c r="J41" s="172">
        <f>I46</f>
        <v>15.427000000000163</v>
      </c>
      <c r="K41" s="172">
        <f>J46</f>
        <v>705.86400000000003</v>
      </c>
      <c r="L41" s="78"/>
      <c r="M41" s="112" t="s">
        <v>46</v>
      </c>
      <c r="N41" s="149">
        <f>SUM(N42:N47)+N11</f>
        <v>1461.6419999999998</v>
      </c>
      <c r="O41" s="149">
        <f t="shared" ref="O41:T41" si="41">SUM(O42:O47)+O11</f>
        <v>1354.2910000000002</v>
      </c>
      <c r="P41" s="149">
        <f t="shared" si="41"/>
        <v>1502.9259999999999</v>
      </c>
      <c r="Q41" s="149">
        <f t="shared" si="41"/>
        <v>1992.9559999999997</v>
      </c>
      <c r="R41" s="149">
        <f t="shared" si="41"/>
        <v>1519.569</v>
      </c>
      <c r="S41" s="149">
        <f t="shared" si="41"/>
        <v>1747.8139999999999</v>
      </c>
      <c r="T41" s="149">
        <f t="shared" si="41"/>
        <v>2086.5299999999997</v>
      </c>
      <c r="U41" s="149">
        <f t="shared" ref="U41:V41" si="42">SUM(U42:U47)+U11</f>
        <v>3018.0189999999998</v>
      </c>
      <c r="V41" s="212">
        <f t="shared" si="42"/>
        <v>3268.1219999999998</v>
      </c>
    </row>
    <row r="42" spans="2:22" ht="10.5" x14ac:dyDescent="0.25">
      <c r="B42" s="88" t="s">
        <v>19</v>
      </c>
      <c r="C42" s="122">
        <v>728.37900000000002</v>
      </c>
      <c r="D42" s="117">
        <v>1312.67</v>
      </c>
      <c r="E42" s="117">
        <v>1357.6279999999999</v>
      </c>
      <c r="F42" s="117">
        <v>748.327</v>
      </c>
      <c r="G42" s="173">
        <v>796.27</v>
      </c>
      <c r="H42" s="173">
        <v>483.37900000000002</v>
      </c>
      <c r="I42" s="173">
        <v>3754.3290000000002</v>
      </c>
      <c r="J42" s="173">
        <v>2978.0059999999999</v>
      </c>
      <c r="K42" s="173">
        <v>1769.566</v>
      </c>
      <c r="L42" s="78"/>
      <c r="M42" s="131" t="s">
        <v>83</v>
      </c>
      <c r="N42" s="151">
        <v>244.15199999999999</v>
      </c>
      <c r="O42" s="153">
        <v>304.69799999999998</v>
      </c>
      <c r="P42" s="153">
        <v>313.26400000000001</v>
      </c>
      <c r="Q42" s="153">
        <f>0.003+278.643</f>
        <v>278.64599999999996</v>
      </c>
      <c r="R42" s="153">
        <f>1.022+446.787</f>
        <v>447.80899999999997</v>
      </c>
      <c r="S42" s="156">
        <v>356.91500000000002</v>
      </c>
      <c r="T42" s="156">
        <v>258.25900000000001</v>
      </c>
      <c r="U42" s="156">
        <f>195.282+374.112</f>
        <v>569.39400000000001</v>
      </c>
      <c r="V42" s="213">
        <f>93.432+325.085</f>
        <v>418.517</v>
      </c>
    </row>
    <row r="43" spans="2:22" ht="10.5" x14ac:dyDescent="0.25">
      <c r="B43" s="85" t="s">
        <v>80</v>
      </c>
      <c r="C43" s="123">
        <f>-928.69</f>
        <v>-928.69</v>
      </c>
      <c r="D43" s="118">
        <f>-1315.64</f>
        <v>-1315.64</v>
      </c>
      <c r="E43" s="118">
        <f>-1501.202</f>
        <v>-1501.202</v>
      </c>
      <c r="F43" s="118">
        <v>-2514.9749999999999</v>
      </c>
      <c r="G43" s="154">
        <v>-1781.3</v>
      </c>
      <c r="H43" s="154">
        <v>-346.44600000000003</v>
      </c>
      <c r="I43" s="154">
        <v>-596.52499999999998</v>
      </c>
      <c r="J43" s="154">
        <v>-1561.098</v>
      </c>
      <c r="K43" s="154">
        <v>-3145.95</v>
      </c>
      <c r="L43" s="78"/>
      <c r="M43" s="85" t="s">
        <v>84</v>
      </c>
      <c r="N43" s="92">
        <v>785.35699999999997</v>
      </c>
      <c r="O43" s="154">
        <v>556.14700000000005</v>
      </c>
      <c r="P43" s="154">
        <v>676.28899999999999</v>
      </c>
      <c r="Q43" s="154">
        <v>1037.8340000000001</v>
      </c>
      <c r="R43" s="154">
        <v>424.89</v>
      </c>
      <c r="S43" s="102">
        <v>142.892</v>
      </c>
      <c r="T43" s="102">
        <v>198.21700000000001</v>
      </c>
      <c r="U43" s="102">
        <v>231.756</v>
      </c>
      <c r="V43" s="214">
        <v>266.48099999999999</v>
      </c>
    </row>
    <row r="44" spans="2:22" ht="10.5" x14ac:dyDescent="0.25">
      <c r="B44" s="85" t="s">
        <v>20</v>
      </c>
      <c r="C44" s="123">
        <v>414.298</v>
      </c>
      <c r="D44" s="118">
        <f>-77.801</f>
        <v>-77.801000000000002</v>
      </c>
      <c r="E44" s="118">
        <v>391.53699999999998</v>
      </c>
      <c r="F44" s="118">
        <f>1381.097</f>
        <v>1381.097</v>
      </c>
      <c r="G44" s="118">
        <v>984.91</v>
      </c>
      <c r="H44" s="154">
        <v>-105.84699999999999</v>
      </c>
      <c r="I44" s="154">
        <v>-3177.9839999999999</v>
      </c>
      <c r="J44" s="154">
        <v>-726.471</v>
      </c>
      <c r="K44" s="154">
        <v>762.90300000000002</v>
      </c>
      <c r="L44" s="78"/>
      <c r="M44" s="85" t="s">
        <v>79</v>
      </c>
      <c r="N44" s="92">
        <v>29.524000000000001</v>
      </c>
      <c r="O44" s="154">
        <v>24.95</v>
      </c>
      <c r="P44" s="154">
        <v>15.797000000000001</v>
      </c>
      <c r="Q44" s="154">
        <v>38.829000000000001</v>
      </c>
      <c r="R44" s="154">
        <v>35.39</v>
      </c>
      <c r="S44" s="102">
        <v>59.884999999999998</v>
      </c>
      <c r="T44" s="102">
        <v>83.599000000000004</v>
      </c>
      <c r="U44" s="102">
        <v>76.944000000000003</v>
      </c>
      <c r="V44" s="214">
        <v>54.356000000000002</v>
      </c>
    </row>
    <row r="45" spans="2:22" ht="11" thickBot="1" x14ac:dyDescent="0.3">
      <c r="B45" s="177" t="s">
        <v>21</v>
      </c>
      <c r="C45" s="124">
        <f t="shared" ref="C45" si="43">+C42+C43+C44</f>
        <v>213.98699999999997</v>
      </c>
      <c r="D45" s="119">
        <f>+D42+D43+D44</f>
        <v>-80.771000000000029</v>
      </c>
      <c r="E45" s="119">
        <f t="shared" ref="E45:F45" si="44">+E42+E43+E44</f>
        <v>247.96299999999991</v>
      </c>
      <c r="F45" s="119">
        <f t="shared" si="44"/>
        <v>-385.55099999999993</v>
      </c>
      <c r="G45" s="119">
        <f t="shared" ref="G45:H45" si="45">+G42+G43+G44</f>
        <v>-0.12000000000000455</v>
      </c>
      <c r="H45" s="119">
        <f t="shared" si="45"/>
        <v>31.085999999999999</v>
      </c>
      <c r="I45" s="119">
        <f>+I42+I43+I44</f>
        <v>-20.179999999999836</v>
      </c>
      <c r="J45" s="119">
        <f>SUM(J42:J44)</f>
        <v>690.4369999999999</v>
      </c>
      <c r="K45" s="255">
        <f>SUM(K42:K44)</f>
        <v>-613.48099999999977</v>
      </c>
      <c r="L45" s="78"/>
      <c r="M45" s="85" t="s">
        <v>102</v>
      </c>
      <c r="N45" s="92">
        <v>21.718</v>
      </c>
      <c r="O45" s="154">
        <v>9.5960000000000001</v>
      </c>
      <c r="P45" s="154">
        <v>1.6659999999999999</v>
      </c>
      <c r="Q45" s="154">
        <v>9.6379999999999999</v>
      </c>
      <c r="R45" s="154">
        <v>0.26</v>
      </c>
      <c r="S45" s="102">
        <v>5.1550000000000002</v>
      </c>
      <c r="T45" s="102">
        <v>91.183999999999997</v>
      </c>
      <c r="U45" s="102">
        <v>81.397000000000006</v>
      </c>
      <c r="V45" s="214">
        <v>17.088000000000001</v>
      </c>
    </row>
    <row r="46" spans="2:22" ht="11" thickBot="1" x14ac:dyDescent="0.3">
      <c r="B46" s="112" t="s">
        <v>73</v>
      </c>
      <c r="C46" s="125">
        <f t="shared" ref="C46" si="46">+C41+C45</f>
        <v>222.99599999999998</v>
      </c>
      <c r="D46" s="120">
        <f>+D41+D45</f>
        <v>142.22499999999997</v>
      </c>
      <c r="E46" s="120">
        <f t="shared" ref="E46:F46" si="47">+E41+E45</f>
        <v>390.18799999999987</v>
      </c>
      <c r="F46" s="120">
        <f t="shared" si="47"/>
        <v>4.6350000000000477</v>
      </c>
      <c r="G46" s="120">
        <f t="shared" ref="G46:H46" si="48">+G41+G45</f>
        <v>4.516999999999995</v>
      </c>
      <c r="H46" s="120">
        <f t="shared" si="48"/>
        <v>35.606999999999999</v>
      </c>
      <c r="I46" s="120">
        <f>+I41+I45</f>
        <v>15.427000000000163</v>
      </c>
      <c r="J46" s="120">
        <f>+J41+J45</f>
        <v>705.86400000000003</v>
      </c>
      <c r="K46" s="256">
        <f>+K41+K45</f>
        <v>92.383000000000266</v>
      </c>
      <c r="L46" s="78"/>
      <c r="M46" s="85" t="s">
        <v>162</v>
      </c>
      <c r="N46" s="92"/>
      <c r="O46" s="154">
        <v>1.7470000000000001</v>
      </c>
      <c r="P46" s="154">
        <v>2.0030000000000001</v>
      </c>
      <c r="Q46" s="154">
        <v>4.5999999999999996</v>
      </c>
      <c r="R46" s="154">
        <v>4.5999999999999996</v>
      </c>
      <c r="S46" s="102">
        <v>5.101</v>
      </c>
      <c r="T46" s="102">
        <v>2.5019999999999998</v>
      </c>
      <c r="U46" s="102">
        <v>2.61</v>
      </c>
      <c r="V46" s="214">
        <v>2.504</v>
      </c>
    </row>
    <row r="47" spans="2:22" ht="11" thickBot="1" x14ac:dyDescent="0.3">
      <c r="J47" s="80"/>
      <c r="K47" s="80"/>
      <c r="L47" s="78"/>
      <c r="M47" s="132" t="s">
        <v>71</v>
      </c>
      <c r="N47" s="152">
        <v>0.82799999999999996</v>
      </c>
      <c r="O47" s="155">
        <v>1.6970000000000001</v>
      </c>
      <c r="P47" s="169">
        <v>2.4540000000000002</v>
      </c>
      <c r="Q47" s="155">
        <v>3.4180000000000001</v>
      </c>
      <c r="R47" s="155">
        <v>3.46</v>
      </c>
      <c r="S47" s="157">
        <v>2.3740000000000001</v>
      </c>
      <c r="T47" s="157">
        <v>2.9780000000000002</v>
      </c>
      <c r="U47" s="157">
        <v>0.93200000000000005</v>
      </c>
      <c r="V47" s="215">
        <v>0</v>
      </c>
    </row>
    <row r="48" spans="2:22" ht="11" thickBot="1" x14ac:dyDescent="0.3">
      <c r="B48" s="113" t="s">
        <v>22</v>
      </c>
      <c r="C48" s="126" t="s">
        <v>35</v>
      </c>
      <c r="D48" s="115" t="s">
        <v>87</v>
      </c>
      <c r="E48" s="115" t="s">
        <v>121</v>
      </c>
      <c r="F48" s="115" t="s">
        <v>165</v>
      </c>
      <c r="G48" s="114" t="s">
        <v>167</v>
      </c>
      <c r="H48" s="114" t="s">
        <v>168</v>
      </c>
      <c r="I48" s="114" t="s">
        <v>170</v>
      </c>
      <c r="J48" s="114" t="s">
        <v>175</v>
      </c>
      <c r="K48" s="192" t="s">
        <v>177</v>
      </c>
      <c r="L48" s="78"/>
      <c r="M48" s="112" t="s">
        <v>47</v>
      </c>
      <c r="N48" s="149">
        <f>(N28-N41)</f>
        <v>267.06900000000041</v>
      </c>
      <c r="O48" s="149">
        <f t="shared" ref="O48:T48" si="49">(O28-O41)</f>
        <v>480.71999999999957</v>
      </c>
      <c r="P48" s="149">
        <f t="shared" si="49"/>
        <v>540.04999999999973</v>
      </c>
      <c r="Q48" s="149">
        <f t="shared" si="49"/>
        <v>-200.01799999999957</v>
      </c>
      <c r="R48" s="149">
        <f t="shared" si="49"/>
        <v>-29.979000000000042</v>
      </c>
      <c r="S48" s="149">
        <f t="shared" si="49"/>
        <v>404.85000000000036</v>
      </c>
      <c r="T48" s="149">
        <f t="shared" si="49"/>
        <v>45.122000000000298</v>
      </c>
      <c r="U48" s="149">
        <f t="shared" ref="U48:V48" si="50">(U28-U41)</f>
        <v>48.220000000000255</v>
      </c>
      <c r="V48" s="212">
        <f>(V28-V41)</f>
        <v>-555.53899999999976</v>
      </c>
    </row>
    <row r="49" spans="2:22" ht="11" thickBot="1" x14ac:dyDescent="0.3">
      <c r="B49" s="84" t="s">
        <v>28</v>
      </c>
      <c r="C49" s="138">
        <f>C42</f>
        <v>728.37900000000002</v>
      </c>
      <c r="D49" s="101">
        <f>D42</f>
        <v>1312.67</v>
      </c>
      <c r="E49" s="101">
        <f>E42</f>
        <v>1357.6279999999999</v>
      </c>
      <c r="F49" s="101">
        <f>F42</f>
        <v>748.327</v>
      </c>
      <c r="G49" s="101">
        <f t="shared" ref="G49:H49" si="51">G42</f>
        <v>796.27</v>
      </c>
      <c r="H49" s="101">
        <f t="shared" si="51"/>
        <v>483.37900000000002</v>
      </c>
      <c r="I49" s="101">
        <f t="shared" ref="I49:J49" si="52">I42</f>
        <v>3754.3290000000002</v>
      </c>
      <c r="J49" s="101">
        <f t="shared" si="52"/>
        <v>2978.0059999999999</v>
      </c>
      <c r="K49" s="101">
        <f>K42</f>
        <v>1769.566</v>
      </c>
      <c r="L49" s="78"/>
      <c r="M49" s="113" t="s">
        <v>171</v>
      </c>
      <c r="N49" s="174">
        <f>SUM(N50:N54)+N10</f>
        <v>2441.6019999999999</v>
      </c>
      <c r="O49" s="174">
        <f t="shared" ref="O49:T49" si="53">SUM(O50:O54)+O10</f>
        <v>2945.9569999999999</v>
      </c>
      <c r="P49" s="174">
        <f t="shared" si="53"/>
        <v>3673.9380000000001</v>
      </c>
      <c r="Q49" s="174">
        <f t="shared" si="53"/>
        <v>5184.0929999999998</v>
      </c>
      <c r="R49" s="174">
        <f t="shared" si="53"/>
        <v>6451.2</v>
      </c>
      <c r="S49" s="174">
        <f t="shared" si="53"/>
        <v>6708.5830000000005</v>
      </c>
      <c r="T49" s="174">
        <f t="shared" si="53"/>
        <v>5139.92</v>
      </c>
      <c r="U49" s="174">
        <f t="shared" ref="U49" si="54">SUM(U50:U54)+U10</f>
        <v>4621.1610000000001</v>
      </c>
      <c r="V49" s="216">
        <f>SUM(V50:V54)+V10</f>
        <v>5732.3060000000005</v>
      </c>
    </row>
    <row r="50" spans="2:22" ht="11" thickBot="1" x14ac:dyDescent="0.3">
      <c r="B50" s="140" t="s">
        <v>29</v>
      </c>
      <c r="C50" s="170">
        <f>-788.745-84.034+2.058</f>
        <v>-870.721</v>
      </c>
      <c r="D50" s="171">
        <f>-1145.296+4.182</f>
        <v>-1141.114</v>
      </c>
      <c r="E50" s="171">
        <f>-1631.517+0.4</f>
        <v>-1631.117</v>
      </c>
      <c r="F50" s="171">
        <f>-2770.177+3.308-6.336</f>
        <v>-2773.2049999999999</v>
      </c>
      <c r="G50" s="171">
        <f>-1843.427+2.831</f>
        <v>-1840.596</v>
      </c>
      <c r="H50" s="171">
        <f>-428.276+30.837</f>
        <v>-397.43900000000002</v>
      </c>
      <c r="I50" s="171">
        <f>-654.037+20.942</f>
        <v>-633.09500000000003</v>
      </c>
      <c r="J50" s="171">
        <f>-1755.935+92.612</f>
        <v>-1663.3229999999999</v>
      </c>
      <c r="K50" s="171">
        <f>-3129.452+18.383</f>
        <v>-3111.0690000000004</v>
      </c>
      <c r="L50" s="78"/>
      <c r="M50" s="131" t="s">
        <v>116</v>
      </c>
      <c r="N50" s="151">
        <v>275.79899999999998</v>
      </c>
      <c r="O50" s="153">
        <v>378.59</v>
      </c>
      <c r="P50" s="153">
        <v>459.88400000000001</v>
      </c>
      <c r="Q50" s="153">
        <v>272.37099999999998</v>
      </c>
      <c r="R50" s="153">
        <v>83.72</v>
      </c>
      <c r="S50" s="156">
        <v>12.683</v>
      </c>
      <c r="T50" s="156">
        <v>1172.1410000000001</v>
      </c>
      <c r="U50" s="156">
        <v>1257.271</v>
      </c>
      <c r="V50" s="213">
        <v>1399.723</v>
      </c>
    </row>
    <row r="51" spans="2:22" ht="11" thickBot="1" x14ac:dyDescent="0.3">
      <c r="B51" s="112" t="s">
        <v>30</v>
      </c>
      <c r="C51" s="149">
        <f t="shared" ref="C51:D51" si="55">SUM(C49:C50)</f>
        <v>-142.34199999999998</v>
      </c>
      <c r="D51" s="150">
        <f t="shared" si="55"/>
        <v>171.55600000000004</v>
      </c>
      <c r="E51" s="150">
        <f t="shared" ref="E51:I51" si="56">SUM(E49:E50)</f>
        <v>-273.48900000000003</v>
      </c>
      <c r="F51" s="150">
        <f t="shared" si="56"/>
        <v>-2024.8779999999999</v>
      </c>
      <c r="G51" s="150">
        <f t="shared" si="56"/>
        <v>-1044.326</v>
      </c>
      <c r="H51" s="150">
        <f t="shared" si="56"/>
        <v>85.94</v>
      </c>
      <c r="I51" s="150">
        <f t="shared" si="56"/>
        <v>3121.2340000000004</v>
      </c>
      <c r="J51" s="150">
        <f>SUM(J49:J50)</f>
        <v>1314.683</v>
      </c>
      <c r="K51" s="150">
        <f>SUM(K49:K50)</f>
        <v>-1341.5030000000004</v>
      </c>
      <c r="L51" s="78"/>
      <c r="M51" s="85" t="s">
        <v>86</v>
      </c>
      <c r="N51" s="92">
        <v>120.07599999999999</v>
      </c>
      <c r="O51" s="154">
        <v>132.13399999999999</v>
      </c>
      <c r="P51" s="154">
        <v>155.172</v>
      </c>
      <c r="Q51" s="154">
        <v>162.70599999999999</v>
      </c>
      <c r="R51" s="154">
        <v>169.16</v>
      </c>
      <c r="S51" s="102">
        <v>180.93899999999999</v>
      </c>
      <c r="T51" s="102">
        <v>228.18199999999999</v>
      </c>
      <c r="U51" s="102">
        <v>248.40600000000001</v>
      </c>
      <c r="V51" s="214">
        <v>262.04500000000002</v>
      </c>
    </row>
    <row r="52" spans="2:22" ht="11" thickBot="1" x14ac:dyDescent="0.3">
      <c r="J52" s="80"/>
      <c r="K52" s="80"/>
      <c r="L52" s="78"/>
      <c r="M52" s="85" t="s">
        <v>72</v>
      </c>
      <c r="N52" s="92">
        <v>10.241</v>
      </c>
      <c r="O52" s="154">
        <v>9.6460000000000008</v>
      </c>
      <c r="P52" s="154">
        <v>9.6210000000000004</v>
      </c>
      <c r="Q52" s="154">
        <v>11.473000000000001</v>
      </c>
      <c r="R52" s="154">
        <v>11.92</v>
      </c>
      <c r="S52" s="102">
        <v>11.895</v>
      </c>
      <c r="T52" s="102">
        <v>13.131</v>
      </c>
      <c r="U52" s="102">
        <v>0</v>
      </c>
      <c r="V52" s="214">
        <v>0</v>
      </c>
    </row>
    <row r="53" spans="2:22" ht="10.5" x14ac:dyDescent="0.25">
      <c r="B53" s="131" t="s">
        <v>74</v>
      </c>
      <c r="C53" s="133">
        <v>8726363</v>
      </c>
      <c r="D53" s="134">
        <v>8726363</v>
      </c>
      <c r="E53" s="134">
        <v>8726363</v>
      </c>
      <c r="F53" s="134">
        <v>8726363</v>
      </c>
      <c r="G53" s="134">
        <v>87263630</v>
      </c>
      <c r="H53" s="134">
        <v>87263630</v>
      </c>
      <c r="I53" s="135">
        <v>87263630</v>
      </c>
      <c r="J53" s="135">
        <v>87263630</v>
      </c>
      <c r="K53" s="135">
        <v>87263630</v>
      </c>
      <c r="L53" s="78"/>
      <c r="M53" s="85" t="s">
        <v>101</v>
      </c>
      <c r="N53" s="92"/>
      <c r="O53" s="154"/>
      <c r="P53" s="154"/>
      <c r="Q53" s="154"/>
      <c r="R53" s="154"/>
      <c r="S53" s="102">
        <v>0</v>
      </c>
      <c r="T53" s="102">
        <v>0</v>
      </c>
      <c r="U53" s="102">
        <v>0</v>
      </c>
      <c r="V53" s="214">
        <v>0</v>
      </c>
    </row>
    <row r="54" spans="2:22" ht="11" thickBot="1" x14ac:dyDescent="0.3">
      <c r="B54" s="85" t="s">
        <v>75</v>
      </c>
      <c r="C54" s="127">
        <f t="shared" ref="C54:J54" si="57">C53*N60/1000000</f>
        <v>4091.3552925500003</v>
      </c>
      <c r="D54" s="129">
        <f t="shared" si="57"/>
        <v>6116.7441448500003</v>
      </c>
      <c r="E54" s="129">
        <f t="shared" si="57"/>
        <v>4263.2646436499999</v>
      </c>
      <c r="F54" s="129">
        <f t="shared" si="57"/>
        <v>2617.9088999999999</v>
      </c>
      <c r="G54" s="129">
        <f t="shared" si="57"/>
        <v>5829.2104840000002</v>
      </c>
      <c r="H54" s="129">
        <f t="shared" si="57"/>
        <v>7015.9958520000009</v>
      </c>
      <c r="I54" s="136">
        <f t="shared" si="57"/>
        <v>10598.167863500001</v>
      </c>
      <c r="J54" s="136">
        <f t="shared" si="57"/>
        <v>13517.136286999999</v>
      </c>
      <c r="K54" s="136">
        <f>K53*V60/1000000</f>
        <v>8800.5370855000001</v>
      </c>
      <c r="L54" s="78"/>
      <c r="M54" s="132" t="s">
        <v>162</v>
      </c>
      <c r="N54" s="165">
        <v>44.518999999999998</v>
      </c>
      <c r="O54" s="157">
        <v>42.19</v>
      </c>
      <c r="P54" s="157">
        <v>46.551000000000002</v>
      </c>
      <c r="Q54" s="157">
        <v>54.350999999999999</v>
      </c>
      <c r="R54" s="157">
        <v>49.75</v>
      </c>
      <c r="S54" s="157">
        <v>55.396000000000001</v>
      </c>
      <c r="T54" s="157">
        <v>48.179000000000002</v>
      </c>
      <c r="U54" s="157">
        <v>45.460999999999999</v>
      </c>
      <c r="V54" s="215">
        <v>43.274999999999999</v>
      </c>
    </row>
    <row r="55" spans="2:22" ht="11" thickBot="1" x14ac:dyDescent="0.3">
      <c r="B55" s="85" t="s">
        <v>78</v>
      </c>
      <c r="C55" s="127">
        <f>N12</f>
        <v>2371.0300000000002</v>
      </c>
      <c r="D55" s="129">
        <f>O12</f>
        <v>2838.8530000000001</v>
      </c>
      <c r="E55" s="129">
        <f>P12</f>
        <v>3494.163</v>
      </c>
      <c r="F55" s="129">
        <f>Q12</f>
        <v>5303.183</v>
      </c>
      <c r="G55" s="129">
        <f>R12</f>
        <v>6739.8099999999995</v>
      </c>
      <c r="H55" s="129">
        <f t="shared" ref="H55" si="58">S12</f>
        <v>7623.1620000000003</v>
      </c>
      <c r="I55" s="136">
        <f>T12</f>
        <v>5128.0779999999995</v>
      </c>
      <c r="J55" s="136">
        <f>U12</f>
        <v>5125.009</v>
      </c>
      <c r="K55" s="136">
        <f>V12</f>
        <v>6536.4390000000003</v>
      </c>
      <c r="L55" s="78"/>
      <c r="M55" s="112" t="s">
        <v>89</v>
      </c>
      <c r="N55" s="149">
        <f>N16+N28</f>
        <v>10110.732</v>
      </c>
      <c r="O55" s="149">
        <f t="shared" ref="O55:T55" si="59">O16+O28</f>
        <v>11214.142000000002</v>
      </c>
      <c r="P55" s="149">
        <f t="shared" si="59"/>
        <v>12842.721000000001</v>
      </c>
      <c r="Q55" s="149">
        <f t="shared" si="59"/>
        <v>15494.265000000001</v>
      </c>
      <c r="R55" s="149">
        <f t="shared" si="59"/>
        <v>16143.329999999998</v>
      </c>
      <c r="S55" s="149">
        <f t="shared" si="59"/>
        <v>16761.155999999999</v>
      </c>
      <c r="T55" s="149">
        <f t="shared" si="59"/>
        <v>16894.598000000002</v>
      </c>
      <c r="U55" s="149">
        <f t="shared" ref="U55:V55" si="60">U16+U28</f>
        <v>18877.627000000004</v>
      </c>
      <c r="V55" s="212">
        <f t="shared" si="60"/>
        <v>21127.518999999997</v>
      </c>
    </row>
    <row r="56" spans="2:22" ht="11" thickBot="1" x14ac:dyDescent="0.3">
      <c r="B56" s="85" t="s">
        <v>76</v>
      </c>
      <c r="C56" s="127">
        <f>N33+N34</f>
        <v>359.048</v>
      </c>
      <c r="D56" s="129">
        <f>O33+O34</f>
        <v>481.17600000000004</v>
      </c>
      <c r="E56" s="129">
        <f>P33+P34</f>
        <v>656.89</v>
      </c>
      <c r="F56" s="129">
        <f>Q33+Q34</f>
        <v>194.91200000000001</v>
      </c>
      <c r="G56" s="129">
        <f>R33+R34</f>
        <v>161.18</v>
      </c>
      <c r="H56" s="129">
        <f t="shared" ref="H56" si="61">S33+S34</f>
        <v>166.06800000000001</v>
      </c>
      <c r="I56" s="136">
        <f>T33+T34</f>
        <v>172.62599999999998</v>
      </c>
      <c r="J56" s="136">
        <f>U33+U34</f>
        <v>779.30500000000006</v>
      </c>
      <c r="K56" s="136">
        <f>V33+V34</f>
        <v>214.37899999999999</v>
      </c>
      <c r="L56" s="79"/>
      <c r="M56" s="112" t="s">
        <v>90</v>
      </c>
      <c r="N56" s="149">
        <f>N49+N41+N8</f>
        <v>10110.732</v>
      </c>
      <c r="O56" s="149">
        <f t="shared" ref="O56:T56" si="62">O49+O41+O8</f>
        <v>11214.142</v>
      </c>
      <c r="P56" s="149">
        <f t="shared" si="62"/>
        <v>12842.721</v>
      </c>
      <c r="Q56" s="149">
        <f t="shared" si="62"/>
        <v>15494.264999999998</v>
      </c>
      <c r="R56" s="149">
        <f t="shared" si="62"/>
        <v>16143.323</v>
      </c>
      <c r="S56" s="149">
        <f t="shared" si="62"/>
        <v>16761.156000000003</v>
      </c>
      <c r="T56" s="149">
        <f t="shared" si="62"/>
        <v>16894.59763</v>
      </c>
      <c r="U56" s="149">
        <f t="shared" ref="U56:V56" si="63">U49+U41+U8</f>
        <v>18877.622629999998</v>
      </c>
      <c r="V56" s="212">
        <f t="shared" si="63"/>
        <v>21127.540999999997</v>
      </c>
    </row>
    <row r="57" spans="2:22" ht="11" thickBot="1" x14ac:dyDescent="0.3">
      <c r="B57" s="132" t="s">
        <v>77</v>
      </c>
      <c r="C57" s="128">
        <f t="shared" ref="C57:F57" si="64">C54+C55-C56</f>
        <v>6103.3372925500007</v>
      </c>
      <c r="D57" s="130">
        <f t="shared" si="64"/>
        <v>8474.4211448500009</v>
      </c>
      <c r="E57" s="130">
        <f t="shared" si="64"/>
        <v>7100.5376436500001</v>
      </c>
      <c r="F57" s="130">
        <f t="shared" si="64"/>
        <v>7726.1798999999992</v>
      </c>
      <c r="G57" s="130">
        <f t="shared" ref="G57:H57" si="65">G54+G55-G56</f>
        <v>12407.840484</v>
      </c>
      <c r="H57" s="130">
        <f t="shared" si="65"/>
        <v>14473.089852000001</v>
      </c>
      <c r="I57" s="137">
        <f t="shared" ref="I57" si="66">I54+I55-I56</f>
        <v>15553.6198635</v>
      </c>
      <c r="J57" s="137">
        <f>J54+J55-J56</f>
        <v>17862.840286999999</v>
      </c>
      <c r="K57" s="137">
        <f>K54+K55-K56</f>
        <v>15122.5970855</v>
      </c>
      <c r="L57" s="79"/>
      <c r="M57" s="245"/>
      <c r="N57" s="245"/>
      <c r="O57" s="245"/>
      <c r="P57" s="245"/>
      <c r="Q57" s="245"/>
      <c r="R57" s="245"/>
      <c r="S57" s="245"/>
      <c r="T57" s="245"/>
      <c r="U57" s="245"/>
    </row>
    <row r="58" spans="2:22" ht="15.75" customHeight="1" thickBot="1" x14ac:dyDescent="0.3">
      <c r="J58" s="80"/>
      <c r="K58" s="80"/>
      <c r="L58" s="79"/>
      <c r="M58" s="249" t="s">
        <v>176</v>
      </c>
      <c r="N58" s="250"/>
      <c r="O58" s="250"/>
      <c r="P58" s="250"/>
      <c r="Q58" s="250"/>
      <c r="R58" s="250"/>
      <c r="S58" s="250"/>
      <c r="T58" s="250"/>
      <c r="U58" s="250"/>
      <c r="V58" s="251"/>
    </row>
    <row r="59" spans="2:22" ht="11" thickBot="1" x14ac:dyDescent="0.3">
      <c r="K59" s="80"/>
      <c r="L59" s="79"/>
      <c r="M59" s="139" t="s">
        <v>49</v>
      </c>
      <c r="N59" s="183" t="s">
        <v>35</v>
      </c>
      <c r="O59" s="184" t="s">
        <v>87</v>
      </c>
      <c r="P59" s="184" t="s">
        <v>121</v>
      </c>
      <c r="Q59" s="184" t="s">
        <v>165</v>
      </c>
      <c r="R59" s="185" t="s">
        <v>167</v>
      </c>
      <c r="S59" s="185" t="s">
        <v>168</v>
      </c>
      <c r="T59" s="185" t="s">
        <v>170</v>
      </c>
      <c r="U59" s="220" t="s">
        <v>175</v>
      </c>
      <c r="V59" s="192" t="s">
        <v>178</v>
      </c>
    </row>
    <row r="60" spans="2:22" ht="14.5" x14ac:dyDescent="0.35">
      <c r="K60" s="80"/>
      <c r="L60" s="79"/>
      <c r="M60" s="144" t="s">
        <v>50</v>
      </c>
      <c r="N60" s="186">
        <v>468.85</v>
      </c>
      <c r="O60" s="186">
        <v>700.95</v>
      </c>
      <c r="P60" s="186">
        <v>488.55</v>
      </c>
      <c r="Q60" s="186">
        <v>300</v>
      </c>
      <c r="R60" s="186">
        <v>66.8</v>
      </c>
      <c r="S60" s="186">
        <v>80.400000000000006</v>
      </c>
      <c r="T60" s="186">
        <v>121.45</v>
      </c>
      <c r="U60" s="218">
        <v>154.9</v>
      </c>
      <c r="V60" s="229">
        <v>100.85</v>
      </c>
    </row>
    <row r="61" spans="2:22" ht="14.5" x14ac:dyDescent="0.35">
      <c r="D61" s="81"/>
      <c r="L61" s="79"/>
      <c r="M61" s="142" t="s">
        <v>51</v>
      </c>
      <c r="N61" s="160">
        <f t="shared" ref="N61:T61" si="67">C34</f>
        <v>67.959999999999994</v>
      </c>
      <c r="O61" s="160">
        <f t="shared" si="67"/>
        <v>83.53</v>
      </c>
      <c r="P61" s="160">
        <f t="shared" si="67"/>
        <v>89.31</v>
      </c>
      <c r="Q61" s="160">
        <f t="shared" si="67"/>
        <v>8.23</v>
      </c>
      <c r="R61" s="160">
        <f t="shared" si="67"/>
        <v>-1.46</v>
      </c>
      <c r="S61" s="160">
        <f t="shared" si="67"/>
        <v>1.54</v>
      </c>
      <c r="T61" s="160">
        <f t="shared" si="67"/>
        <v>15.6</v>
      </c>
      <c r="U61" s="219">
        <f>J34</f>
        <v>21.07</v>
      </c>
      <c r="V61" s="228">
        <f>K34</f>
        <v>13.2</v>
      </c>
    </row>
    <row r="62" spans="2:22" x14ac:dyDescent="0.2">
      <c r="L62" s="79"/>
      <c r="M62" s="142" t="s">
        <v>52</v>
      </c>
      <c r="N62" s="160">
        <f t="shared" ref="N62:V62" si="68">(N8*1000000)/C53</f>
        <v>711.34881737099408</v>
      </c>
      <c r="O62" s="160">
        <f t="shared" si="68"/>
        <v>792.29960981453553</v>
      </c>
      <c r="P62" s="160">
        <f t="shared" si="68"/>
        <v>878.47101936969614</v>
      </c>
      <c r="Q62" s="160">
        <f t="shared" si="68"/>
        <v>953.11368550677969</v>
      </c>
      <c r="R62" s="160">
        <f t="shared" si="68"/>
        <v>93.653610329985128</v>
      </c>
      <c r="S62" s="160">
        <f t="shared" si="68"/>
        <v>95.168617212004591</v>
      </c>
      <c r="T62" s="160">
        <f t="shared" si="68"/>
        <v>110.79240721478124</v>
      </c>
      <c r="U62" s="219">
        <f t="shared" si="68"/>
        <v>128.78724653100036</v>
      </c>
      <c r="V62" s="160">
        <f>(V8*1000000)/K53</f>
        <v>138.97098940303079</v>
      </c>
    </row>
    <row r="63" spans="2:22" x14ac:dyDescent="0.2">
      <c r="D63" s="82"/>
      <c r="L63" s="79"/>
      <c r="M63" s="142" t="s">
        <v>53</v>
      </c>
      <c r="N63" s="160">
        <v>2</v>
      </c>
      <c r="O63" s="160">
        <v>2.5</v>
      </c>
      <c r="P63" s="160">
        <v>2.5</v>
      </c>
      <c r="Q63" s="160">
        <v>2.5</v>
      </c>
      <c r="R63" s="160">
        <v>0</v>
      </c>
      <c r="S63" s="160">
        <v>0</v>
      </c>
      <c r="T63" s="160">
        <v>3</v>
      </c>
      <c r="U63" s="219">
        <v>3</v>
      </c>
      <c r="V63" s="217">
        <v>3</v>
      </c>
    </row>
    <row r="64" spans="2:22" x14ac:dyDescent="0.2">
      <c r="L64" s="79"/>
      <c r="M64" s="142" t="s">
        <v>54</v>
      </c>
      <c r="N64" s="159">
        <f t="shared" ref="N64:S64" si="69">(N60/N61)</f>
        <v>6.8989111241907013</v>
      </c>
      <c r="O64" s="159">
        <f t="shared" si="69"/>
        <v>8.3915958338321559</v>
      </c>
      <c r="P64" s="159">
        <f t="shared" si="69"/>
        <v>5.4702720859926099</v>
      </c>
      <c r="Q64" s="159">
        <f t="shared" si="69"/>
        <v>36.452004860267316</v>
      </c>
      <c r="R64" s="159">
        <f t="shared" si="69"/>
        <v>-45.753424657534246</v>
      </c>
      <c r="S64" s="159">
        <f t="shared" si="69"/>
        <v>52.20779220779221</v>
      </c>
      <c r="T64" s="159">
        <f>(T60/T61)</f>
        <v>7.7852564102564106</v>
      </c>
      <c r="U64" s="221">
        <f>(U60/U61)</f>
        <v>7.3516848599905078</v>
      </c>
      <c r="V64" s="159">
        <f>(V60/V61)</f>
        <v>7.6401515151515147</v>
      </c>
    </row>
    <row r="65" spans="12:22" x14ac:dyDescent="0.2">
      <c r="L65" s="79"/>
      <c r="M65" s="142" t="s">
        <v>55</v>
      </c>
      <c r="N65" s="159">
        <f t="shared" ref="N65:S65" si="70">(N60/N62)</f>
        <v>0.65909999222712956</v>
      </c>
      <c r="O65" s="159">
        <f t="shared" si="70"/>
        <v>0.88470319979594725</v>
      </c>
      <c r="P65" s="159">
        <f t="shared" si="70"/>
        <v>0.5561367298724722</v>
      </c>
      <c r="Q65" s="159">
        <f t="shared" si="70"/>
        <v>0.31475783483319425</v>
      </c>
      <c r="R65" s="159">
        <f t="shared" si="70"/>
        <v>0.71326668309563934</v>
      </c>
      <c r="S65" s="159">
        <f t="shared" si="70"/>
        <v>0.84481630978093403</v>
      </c>
      <c r="T65" s="159">
        <f t="shared" ref="T65:V65" si="71">(T60/T62)</f>
        <v>1.0961942524144099</v>
      </c>
      <c r="U65" s="221">
        <f t="shared" si="71"/>
        <v>1.2027588458668852</v>
      </c>
      <c r="V65" s="159">
        <f>(V60/V62)</f>
        <v>0.72569102683383924</v>
      </c>
    </row>
    <row r="66" spans="12:22" x14ac:dyDescent="0.2">
      <c r="L66" s="79"/>
      <c r="M66" s="142" t="s">
        <v>56</v>
      </c>
      <c r="N66" s="159">
        <f t="shared" ref="N66:V66" si="72">C57/C17</f>
        <v>5.2354827328258553</v>
      </c>
      <c r="O66" s="159">
        <f t="shared" si="72"/>
        <v>5.7472912267286613</v>
      </c>
      <c r="P66" s="159">
        <f t="shared" si="72"/>
        <v>4.5648970845695658</v>
      </c>
      <c r="Q66" s="159">
        <f t="shared" si="72"/>
        <v>6.5170022656304063</v>
      </c>
      <c r="R66" s="159">
        <f t="shared" si="72"/>
        <v>42.366375811793645</v>
      </c>
      <c r="S66" s="159">
        <f t="shared" si="72"/>
        <v>12.16743409550617</v>
      </c>
      <c r="T66" s="159">
        <f t="shared" si="72"/>
        <v>4.1015534712822257</v>
      </c>
      <c r="U66" s="221">
        <f t="shared" si="72"/>
        <v>5.3631726579932772</v>
      </c>
      <c r="V66" s="159">
        <f>K57/K17</f>
        <v>6.2337960824929235</v>
      </c>
    </row>
    <row r="67" spans="12:22" x14ac:dyDescent="0.2">
      <c r="L67" s="79"/>
      <c r="M67" s="158" t="s">
        <v>57</v>
      </c>
      <c r="N67" s="161">
        <f t="shared" ref="N67:V67" si="73">(C27/N8)</f>
        <v>9.5531235823573118E-2</v>
      </c>
      <c r="O67" s="161">
        <f t="shared" si="73"/>
        <v>0.10542177823380001</v>
      </c>
      <c r="P67" s="161">
        <f t="shared" si="73"/>
        <v>0.10167004158830517</v>
      </c>
      <c r="Q67" s="161">
        <f t="shared" si="73"/>
        <v>7.042981690027042E-2</v>
      </c>
      <c r="R67" s="161">
        <f t="shared" si="73"/>
        <v>-4.1334691701027632E-2</v>
      </c>
      <c r="S67" s="161">
        <f t="shared" si="73"/>
        <v>2.5318013442652307E-3</v>
      </c>
      <c r="T67" s="161">
        <f t="shared" si="73"/>
        <v>0.27202522144358288</v>
      </c>
      <c r="U67" s="222">
        <f t="shared" si="73"/>
        <v>0.16356865986866728</v>
      </c>
      <c r="V67" s="161">
        <f>(K27/V8)</f>
        <v>9.4977757690556733E-2</v>
      </c>
    </row>
    <row r="68" spans="12:22" x14ac:dyDescent="0.2">
      <c r="L68" s="79"/>
      <c r="M68" s="158" t="s">
        <v>58</v>
      </c>
      <c r="N68" s="161">
        <f t="shared" ref="N68:V68" si="74">(C17-C21)/N13</f>
        <v>0.11702075015984342</v>
      </c>
      <c r="O68" s="161">
        <f t="shared" si="74"/>
        <v>0.12985064378761915</v>
      </c>
      <c r="P68" s="161">
        <f t="shared" si="74"/>
        <v>0.11501195568350225</v>
      </c>
      <c r="Q68" s="161">
        <f t="shared" si="74"/>
        <v>6.4329021726708083E-2</v>
      </c>
      <c r="R68" s="161">
        <f t="shared" si="74"/>
        <v>-3.7897245809796944E-3</v>
      </c>
      <c r="S68" s="161">
        <f t="shared" si="74"/>
        <v>4.8523106980444375E-2</v>
      </c>
      <c r="T68" s="161">
        <f t="shared" si="74"/>
        <v>0.22540159076785637</v>
      </c>
      <c r="U68" s="222">
        <f t="shared" si="74"/>
        <v>0.17958677066887083</v>
      </c>
      <c r="V68" s="161">
        <f>(K17-K21)/V13</f>
        <v>0.1055983960060515</v>
      </c>
    </row>
    <row r="69" spans="12:22" x14ac:dyDescent="0.2">
      <c r="L69" s="79"/>
      <c r="M69" s="142" t="s">
        <v>59</v>
      </c>
      <c r="N69" s="162">
        <f>N12/N8</f>
        <v>0.3819628809592544</v>
      </c>
      <c r="O69" s="162">
        <f t="shared" ref="O69:T69" si="75">(O12/O8)</f>
        <v>0.41060117496739174</v>
      </c>
      <c r="P69" s="162">
        <f t="shared" si="75"/>
        <v>0.45580852864852556</v>
      </c>
      <c r="Q69" s="162">
        <f t="shared" si="75"/>
        <v>0.63761515872618924</v>
      </c>
      <c r="R69" s="162">
        <f t="shared" si="75"/>
        <v>0.82468834100086696</v>
      </c>
      <c r="S69" s="162">
        <f t="shared" si="75"/>
        <v>0.91792693803637171</v>
      </c>
      <c r="T69" s="162">
        <f t="shared" si="75"/>
        <v>0.53040956719441401</v>
      </c>
      <c r="U69" s="223">
        <f t="shared" ref="U69:V69" si="76">(U12/U8)</f>
        <v>0.45602483980469455</v>
      </c>
      <c r="V69" s="162">
        <f>(V12/V8)</f>
        <v>0.53899382317951527</v>
      </c>
    </row>
    <row r="70" spans="12:22" x14ac:dyDescent="0.2">
      <c r="L70" s="79"/>
      <c r="M70" s="142" t="s">
        <v>60</v>
      </c>
      <c r="N70" s="162">
        <f t="shared" ref="N70:T70" si="77">(N12-N33-N34)/N8</f>
        <v>0.32412177035219403</v>
      </c>
      <c r="O70" s="162">
        <f t="shared" si="77"/>
        <v>0.34100566193233511</v>
      </c>
      <c r="P70" s="162">
        <f t="shared" si="77"/>
        <v>0.37011817465418417</v>
      </c>
      <c r="Q70" s="162">
        <f t="shared" si="77"/>
        <v>0.61418039401645952</v>
      </c>
      <c r="R70" s="162">
        <f t="shared" si="77"/>
        <v>0.80496623209831331</v>
      </c>
      <c r="S70" s="162">
        <f t="shared" si="77"/>
        <v>0.89793021085861735</v>
      </c>
      <c r="T70" s="162">
        <f t="shared" si="77"/>
        <v>0.51255444058625732</v>
      </c>
      <c r="U70" s="223">
        <f t="shared" ref="U70:V70" si="78">(U12-U33-U34)/U8</f>
        <v>0.38668204688784358</v>
      </c>
      <c r="V70" s="162">
        <f>(V12-V33-V34)/V8</f>
        <v>0.52131616156293759</v>
      </c>
    </row>
    <row r="71" spans="12:22" x14ac:dyDescent="0.2">
      <c r="L71" s="79"/>
      <c r="M71" s="142" t="s">
        <v>61</v>
      </c>
      <c r="N71" s="163">
        <f t="shared" ref="N71:S71" si="79">(N63/N60)</f>
        <v>4.2657566385837682E-3</v>
      </c>
      <c r="O71" s="163">
        <f t="shared" si="79"/>
        <v>3.5665882017262285E-3</v>
      </c>
      <c r="P71" s="163">
        <f t="shared" si="79"/>
        <v>5.1171835022003889E-3</v>
      </c>
      <c r="Q71" s="163">
        <f t="shared" si="79"/>
        <v>8.3333333333333332E-3</v>
      </c>
      <c r="R71" s="163">
        <f t="shared" si="79"/>
        <v>0</v>
      </c>
      <c r="S71" s="163">
        <f t="shared" si="79"/>
        <v>0</v>
      </c>
      <c r="T71" s="163">
        <f t="shared" ref="T71:V71" si="80">(T63/T60)</f>
        <v>2.4701523260601072E-2</v>
      </c>
      <c r="U71" s="224">
        <f t="shared" si="80"/>
        <v>1.9367333763718526E-2</v>
      </c>
      <c r="V71" s="163">
        <f>(V63/V60)</f>
        <v>2.9747149231531982E-2</v>
      </c>
    </row>
    <row r="72" spans="12:22" x14ac:dyDescent="0.2">
      <c r="L72" s="79"/>
      <c r="M72" s="142" t="s">
        <v>62</v>
      </c>
      <c r="N72" s="164">
        <f>(AVERAGE(N32:N32)/C5*365)</f>
        <v>19.506548756225637</v>
      </c>
      <c r="O72" s="164">
        <f t="shared" ref="O72:V72" si="81">(AVERAGE(N32:O32)/D5*365)</f>
        <v>16.952533134162028</v>
      </c>
      <c r="P72" s="164">
        <f t="shared" si="81"/>
        <v>15.061590252130664</v>
      </c>
      <c r="Q72" s="164">
        <f t="shared" si="81"/>
        <v>11.717627050049272</v>
      </c>
      <c r="R72" s="164">
        <f t="shared" si="81"/>
        <v>21.425922853895809</v>
      </c>
      <c r="S72" s="164">
        <f t="shared" si="81"/>
        <v>20.591345241398315</v>
      </c>
      <c r="T72" s="164">
        <f t="shared" si="81"/>
        <v>12.450892224432296</v>
      </c>
      <c r="U72" s="225">
        <f t="shared" si="81"/>
        <v>9.4854170717078752</v>
      </c>
      <c r="V72" s="164">
        <f>(AVERAGE(U32:V32)/K5*365)</f>
        <v>12.086502448966096</v>
      </c>
    </row>
    <row r="73" spans="12:22" x14ac:dyDescent="0.2">
      <c r="L73" s="79"/>
      <c r="M73" s="142" t="s">
        <v>63</v>
      </c>
      <c r="N73" s="164">
        <f>AVERAGE(N42:N42)/(SUM(C11:C13))*365</f>
        <v>43.026574796021379</v>
      </c>
      <c r="O73" s="164">
        <f>AVERAGE(N42:O42)/(SUM(D11:D13))*365</f>
        <v>44.524482322693508</v>
      </c>
      <c r="P73" s="164">
        <f t="shared" ref="P73:V73" si="82">AVERAGE(O42:P42)/(SUM(E11:E13))*365</f>
        <v>42.304619114978784</v>
      </c>
      <c r="Q73" s="164">
        <f t="shared" si="82"/>
        <v>41.293147177560392</v>
      </c>
      <c r="R73" s="164">
        <f t="shared" si="82"/>
        <v>90.882195175453631</v>
      </c>
      <c r="S73" s="164">
        <f t="shared" si="82"/>
        <v>47.81384256757196</v>
      </c>
      <c r="T73" s="164">
        <f t="shared" si="82"/>
        <v>27.656599420308705</v>
      </c>
      <c r="U73" s="164">
        <f t="shared" si="82"/>
        <v>42.241849212992271</v>
      </c>
      <c r="V73" s="164">
        <f t="shared" si="82"/>
        <v>50.144739890534389</v>
      </c>
    </row>
    <row r="74" spans="12:22" x14ac:dyDescent="0.2">
      <c r="L74" s="79"/>
      <c r="M74" s="142" t="s">
        <v>64</v>
      </c>
      <c r="N74" s="164">
        <f>AVERAGE(N29:N29)/(SUM(C11:C13))*365</f>
        <v>107.2793605362758</v>
      </c>
      <c r="O74" s="164">
        <f>AVERAGE(N29:O29)/(SUM(D11:D13))*365</f>
        <v>109.805802110893</v>
      </c>
      <c r="P74" s="164">
        <f t="shared" ref="O74:V74" si="83">AVERAGE(P29:P29)/(SUM(E11:E13))*365</f>
        <v>87.040328869853099</v>
      </c>
      <c r="Q74" s="164">
        <f t="shared" si="83"/>
        <v>128.89955416956391</v>
      </c>
      <c r="R74" s="164">
        <f t="shared" si="83"/>
        <v>131.11866684032657</v>
      </c>
      <c r="S74" s="164">
        <f t="shared" si="83"/>
        <v>103.21314552309265</v>
      </c>
      <c r="T74" s="164">
        <f t="shared" si="83"/>
        <v>80.979625816807498</v>
      </c>
      <c r="U74" s="164">
        <f t="shared" si="83"/>
        <v>115.11963334217995</v>
      </c>
      <c r="V74" s="164">
        <f t="shared" si="83"/>
        <v>128.11287657486494</v>
      </c>
    </row>
    <row r="75" spans="12:22" x14ac:dyDescent="0.2">
      <c r="L75" s="79"/>
      <c r="M75" s="142" t="s">
        <v>82</v>
      </c>
      <c r="N75" s="164">
        <f t="shared" ref="N75:P75" si="84">(N74+N72-N73)</f>
        <v>83.759334496480065</v>
      </c>
      <c r="O75" s="164">
        <f t="shared" si="84"/>
        <v>82.233852922361507</v>
      </c>
      <c r="P75" s="164">
        <f t="shared" si="84"/>
        <v>59.797300007004985</v>
      </c>
      <c r="Q75" s="164">
        <f t="shared" ref="Q75:S75" si="85">(Q74+Q72-Q73)</f>
        <v>99.324034042052773</v>
      </c>
      <c r="R75" s="164">
        <f t="shared" si="85"/>
        <v>61.662394518768735</v>
      </c>
      <c r="S75" s="164">
        <f t="shared" si="85"/>
        <v>75.990648196919011</v>
      </c>
      <c r="T75" s="164">
        <f>(T74+T72-T73)</f>
        <v>65.773918620931084</v>
      </c>
      <c r="U75" s="225">
        <f>(U74+U72-U73)</f>
        <v>82.36320120089556</v>
      </c>
      <c r="V75" s="164">
        <f>(V74+V72-V73)</f>
        <v>90.054639133296632</v>
      </c>
    </row>
    <row r="76" spans="12:22" x14ac:dyDescent="0.2">
      <c r="L76" s="79"/>
      <c r="M76" s="142" t="s">
        <v>65</v>
      </c>
      <c r="N76" s="164">
        <f>AVERAGE(N48:N48)/C7*365</f>
        <v>15.091823383890663</v>
      </c>
      <c r="O76" s="164">
        <f t="shared" ref="O76:V76" si="86">AVERAGE(N48:O48)/D7*365</f>
        <v>19.00830474295682</v>
      </c>
      <c r="P76" s="164">
        <f t="shared" si="86"/>
        <v>23.219284453194167</v>
      </c>
      <c r="Q76" s="164">
        <f t="shared" si="86"/>
        <v>8.2356209040600028</v>
      </c>
      <c r="R76" s="164">
        <f t="shared" si="86"/>
        <v>-10.140765199870488</v>
      </c>
      <c r="S76" s="164">
        <f t="shared" si="86"/>
        <v>8.200669908387006</v>
      </c>
      <c r="T76" s="164">
        <f t="shared" si="86"/>
        <v>6.2535964700791906</v>
      </c>
      <c r="U76" s="225">
        <f t="shared" si="86"/>
        <v>1.3998194318422259</v>
      </c>
      <c r="V76" s="164">
        <f>AVERAGE(U48:V48)/K7*365</f>
        <v>-8.3176485686181962</v>
      </c>
    </row>
    <row r="77" spans="12:22" x14ac:dyDescent="0.2">
      <c r="L77" s="79"/>
      <c r="M77" s="143" t="s">
        <v>179</v>
      </c>
      <c r="N77" s="175">
        <f t="shared" ref="N77:V77" si="87">C5/(N18+N17)</f>
        <v>0.80049886306698292</v>
      </c>
      <c r="O77" s="175">
        <f t="shared" si="87"/>
        <v>0.79808150186935922</v>
      </c>
      <c r="P77" s="175">
        <f t="shared" si="87"/>
        <v>0.77954684473092206</v>
      </c>
      <c r="Q77" s="175">
        <f t="shared" si="87"/>
        <v>0.56006921486298111</v>
      </c>
      <c r="R77" s="175">
        <f t="shared" si="87"/>
        <v>0.27915201673185558</v>
      </c>
      <c r="S77" s="175">
        <f t="shared" si="87"/>
        <v>0.58091047470048207</v>
      </c>
      <c r="T77" s="175">
        <f t="shared" si="87"/>
        <v>0.91102997659324358</v>
      </c>
      <c r="U77" s="226">
        <f t="shared" si="87"/>
        <v>0.80255404136786135</v>
      </c>
      <c r="V77" s="175">
        <f>K5/(V18+V17)</f>
        <v>0.63024210643592538</v>
      </c>
    </row>
    <row r="78" spans="12:22" x14ac:dyDescent="0.2">
      <c r="L78" s="79"/>
      <c r="M78" s="158" t="s">
        <v>88</v>
      </c>
      <c r="N78" s="161">
        <f t="shared" ref="N78:V78" si="88">C22/N12</f>
        <v>8.5045739615272675E-2</v>
      </c>
      <c r="O78" s="161">
        <f t="shared" si="88"/>
        <v>8.659835503986997E-2</v>
      </c>
      <c r="P78" s="161">
        <f t="shared" si="88"/>
        <v>8.1220309413155597E-2</v>
      </c>
      <c r="Q78" s="161">
        <f t="shared" si="88"/>
        <v>5.7387987553889803E-2</v>
      </c>
      <c r="R78" s="161">
        <f t="shared" si="88"/>
        <v>4.1168816331617661E-2</v>
      </c>
      <c r="S78" s="161">
        <f t="shared" si="88"/>
        <v>9.0382442351349734E-2</v>
      </c>
      <c r="T78" s="161">
        <f t="shared" si="88"/>
        <v>0.13844251198987223</v>
      </c>
      <c r="U78" s="222">
        <f t="shared" si="88"/>
        <v>8.3603755622673054E-2</v>
      </c>
      <c r="V78" s="161">
        <f>K22/V12</f>
        <v>6.0124480623164993E-2</v>
      </c>
    </row>
    <row r="79" spans="12:22" ht="10.5" thickBot="1" x14ac:dyDescent="0.25">
      <c r="L79" s="79"/>
      <c r="M79" s="145" t="s">
        <v>172</v>
      </c>
      <c r="N79" s="176">
        <f t="shared" ref="N79:S79" si="89">(C17-C21)/C22</f>
        <v>5.0193061107088672</v>
      </c>
      <c r="O79" s="176">
        <f t="shared" si="89"/>
        <v>5.2078913114220651</v>
      </c>
      <c r="P79" s="176">
        <f t="shared" si="89"/>
        <v>4.5955806439109645</v>
      </c>
      <c r="Q79" s="176">
        <f t="shared" si="89"/>
        <v>2.8538110462346244</v>
      </c>
      <c r="R79" s="176">
        <f t="shared" si="89"/>
        <v>-0.19973330450138799</v>
      </c>
      <c r="S79" s="176">
        <f t="shared" si="89"/>
        <v>1.0573207547169794</v>
      </c>
      <c r="T79" s="176">
        <f>(I17-I21)/I22</f>
        <v>4.7014440575594705</v>
      </c>
      <c r="U79" s="227">
        <f>(J17-J21)/J22</f>
        <v>6.6473148645179378</v>
      </c>
      <c r="V79" s="176">
        <f>(K17-K21)/K22</f>
        <v>4.7987938931297727</v>
      </c>
    </row>
    <row r="80" spans="12:22" ht="14.5" x14ac:dyDescent="0.35">
      <c r="M80" s="243"/>
      <c r="N80" s="243"/>
      <c r="O80" s="243"/>
      <c r="P80" s="243"/>
      <c r="Q80" s="243"/>
      <c r="R80" s="243"/>
      <c r="S80" s="243"/>
      <c r="T80" s="243"/>
      <c r="U80" s="243"/>
    </row>
  </sheetData>
  <mergeCells count="8">
    <mergeCell ref="B2:V2"/>
    <mergeCell ref="M3:V3"/>
    <mergeCell ref="M80:U80"/>
    <mergeCell ref="M15:U15"/>
    <mergeCell ref="M57:U57"/>
    <mergeCell ref="B3:K3"/>
    <mergeCell ref="M58:V58"/>
    <mergeCell ref="B39:K39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colBreaks count="1" manualBreakCount="1">
    <brk id="20" max="1048575" man="1"/>
  </colBreaks>
  <ignoredErrors>
    <ignoredError sqref="N69:S71 N75:S75 S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J8" sqref="J8"/>
    </sheetView>
  </sheetViews>
  <sheetFormatPr defaultRowHeight="14.5" x14ac:dyDescent="0.35"/>
  <cols>
    <col min="1" max="1" width="20.54296875" bestFit="1" customWidth="1"/>
    <col min="2" max="2" width="8.453125" bestFit="1" customWidth="1"/>
    <col min="8" max="8" width="20.1796875" bestFit="1" customWidth="1"/>
    <col min="9" max="9" width="15.453125" customWidth="1"/>
    <col min="10" max="10" width="10" bestFit="1" customWidth="1"/>
  </cols>
  <sheetData>
    <row r="1" spans="1:13" x14ac:dyDescent="0.35">
      <c r="A1" t="s">
        <v>123</v>
      </c>
    </row>
    <row r="4" spans="1:13" x14ac:dyDescent="0.35">
      <c r="A4" s="61" t="s">
        <v>124</v>
      </c>
      <c r="B4" s="61" t="s">
        <v>125</v>
      </c>
      <c r="C4" s="61" t="s">
        <v>126</v>
      </c>
      <c r="D4" s="61" t="s">
        <v>127</v>
      </c>
      <c r="E4" s="61" t="s">
        <v>128</v>
      </c>
      <c r="F4" s="61" t="s">
        <v>129</v>
      </c>
      <c r="H4" s="61" t="s">
        <v>92</v>
      </c>
      <c r="I4" s="61" t="s">
        <v>125</v>
      </c>
      <c r="J4" s="61" t="s">
        <v>126</v>
      </c>
      <c r="K4" s="61" t="s">
        <v>127</v>
      </c>
      <c r="L4" s="61" t="s">
        <v>128</v>
      </c>
      <c r="M4" s="61" t="s">
        <v>129</v>
      </c>
    </row>
    <row r="5" spans="1:13" x14ac:dyDescent="0.35">
      <c r="A5" s="61" t="s">
        <v>130</v>
      </c>
      <c r="B5" s="61">
        <v>752.85</v>
      </c>
      <c r="C5" s="61">
        <v>3306.71</v>
      </c>
      <c r="D5" s="61">
        <v>579.89</v>
      </c>
      <c r="E5" s="61">
        <v>495.88</v>
      </c>
      <c r="F5" s="61">
        <v>802.31</v>
      </c>
      <c r="H5" s="61" t="s">
        <v>131</v>
      </c>
      <c r="I5" s="61">
        <v>307.57</v>
      </c>
      <c r="J5" s="61">
        <v>2038.1</v>
      </c>
      <c r="K5" s="61">
        <v>198.22569999999999</v>
      </c>
      <c r="L5" s="61">
        <v>244.34</v>
      </c>
      <c r="M5" s="61">
        <v>766.58</v>
      </c>
    </row>
    <row r="6" spans="1:13" x14ac:dyDescent="0.35">
      <c r="A6" s="61" t="s">
        <v>132</v>
      </c>
      <c r="B6" s="61">
        <v>450.09</v>
      </c>
      <c r="C6" s="61">
        <v>2446.21</v>
      </c>
      <c r="D6" s="61">
        <v>390.98</v>
      </c>
      <c r="E6" s="61">
        <v>363.72</v>
      </c>
      <c r="F6" s="61">
        <v>526.86</v>
      </c>
      <c r="H6" s="61" t="s">
        <v>40</v>
      </c>
      <c r="I6" s="61">
        <v>105.41</v>
      </c>
      <c r="J6" s="61">
        <v>1287.3399999999999</v>
      </c>
      <c r="K6" s="61">
        <v>14.4099</v>
      </c>
      <c r="L6" s="61">
        <v>13.46</v>
      </c>
      <c r="M6" s="61">
        <v>300.27</v>
      </c>
    </row>
    <row r="7" spans="1:13" x14ac:dyDescent="0.35">
      <c r="A7" s="62" t="s">
        <v>133</v>
      </c>
      <c r="B7" s="63">
        <f>((B5/B6)^(1/3)-1)</f>
        <v>0.1870518711022533</v>
      </c>
      <c r="C7" s="63">
        <f>((C5/C6)^(1/3)-1)</f>
        <v>0.10569188922154193</v>
      </c>
      <c r="D7" s="63">
        <f>((D5/D6)^(1/3)-1)</f>
        <v>0.14041702570232895</v>
      </c>
      <c r="E7" s="63">
        <f>((E5/E6)^(1/3)-1)</f>
        <v>0.10884234689766714</v>
      </c>
      <c r="F7" s="63">
        <f t="shared" ref="F7" si="0">((F5/F6)^(1/3)-1)</f>
        <v>0.1504886165367092</v>
      </c>
      <c r="H7" s="61" t="s">
        <v>41</v>
      </c>
      <c r="I7" s="61">
        <v>53.67</v>
      </c>
      <c r="J7" s="61">
        <v>18.04</v>
      </c>
      <c r="K7" s="61">
        <v>12.9999</v>
      </c>
      <c r="L7" s="61">
        <v>47.05</v>
      </c>
      <c r="M7" s="61">
        <v>49.14</v>
      </c>
    </row>
    <row r="8" spans="1:13" x14ac:dyDescent="0.35">
      <c r="A8" s="61"/>
      <c r="B8" s="64"/>
      <c r="C8" s="61"/>
      <c r="D8" s="61"/>
      <c r="E8" s="61"/>
      <c r="F8" s="61"/>
      <c r="H8" s="62" t="s">
        <v>42</v>
      </c>
      <c r="I8" s="62">
        <f>I6+I7</f>
        <v>159.07999999999998</v>
      </c>
      <c r="J8" s="62">
        <f t="shared" ref="J8:M8" si="1">J6+J7</f>
        <v>1305.3799999999999</v>
      </c>
      <c r="K8" s="62">
        <f t="shared" si="1"/>
        <v>27.409800000000001</v>
      </c>
      <c r="L8" s="62">
        <f t="shared" si="1"/>
        <v>60.51</v>
      </c>
      <c r="M8" s="62">
        <f t="shared" si="1"/>
        <v>349.40999999999997</v>
      </c>
    </row>
    <row r="9" spans="1:13" x14ac:dyDescent="0.35">
      <c r="A9" s="61" t="s">
        <v>134</v>
      </c>
      <c r="B9" s="65">
        <f>277.85+6.43</f>
        <v>284.28000000000003</v>
      </c>
      <c r="C9" s="61">
        <f>1278.11+301.53</f>
        <v>1579.6399999999999</v>
      </c>
      <c r="D9" s="61">
        <f>254.12+17.443</f>
        <v>271.56299999999999</v>
      </c>
      <c r="E9" s="61">
        <v>310.85000000000002</v>
      </c>
      <c r="F9" s="61">
        <f>268.44</f>
        <v>268.44</v>
      </c>
      <c r="H9" s="62" t="s">
        <v>43</v>
      </c>
      <c r="I9" s="62">
        <f>(I10+I11-I17-I7)</f>
        <v>503.26000000000005</v>
      </c>
      <c r="J9" s="62">
        <f t="shared" ref="J9:M9" si="2">(J10+J11-J17-J7)</f>
        <v>3663.8300000000004</v>
      </c>
      <c r="K9" s="62">
        <f t="shared" si="2"/>
        <v>238.54230000000004</v>
      </c>
      <c r="L9" s="62">
        <f t="shared" si="2"/>
        <v>253.51999999999998</v>
      </c>
      <c r="M9" s="62">
        <f t="shared" si="2"/>
        <v>1084.83</v>
      </c>
    </row>
    <row r="10" spans="1:13" x14ac:dyDescent="0.35">
      <c r="A10" s="61" t="s">
        <v>135</v>
      </c>
      <c r="B10" s="61">
        <v>0.22</v>
      </c>
      <c r="C10" s="61">
        <v>47.85</v>
      </c>
      <c r="D10" s="61">
        <v>-2.78</v>
      </c>
      <c r="E10" s="61">
        <v>-11.19</v>
      </c>
      <c r="F10" s="61">
        <v>-1.85</v>
      </c>
      <c r="H10" s="61" t="s">
        <v>136</v>
      </c>
      <c r="I10" s="61">
        <v>450.46</v>
      </c>
      <c r="J10" s="61">
        <v>3121.72</v>
      </c>
      <c r="K10" s="61">
        <v>187.4349</v>
      </c>
      <c r="L10" s="61">
        <v>233.98</v>
      </c>
      <c r="M10" s="61">
        <v>1079.97</v>
      </c>
    </row>
    <row r="11" spans="1:13" x14ac:dyDescent="0.35">
      <c r="A11" s="61"/>
      <c r="B11" s="61"/>
      <c r="C11" s="61"/>
      <c r="D11" s="61"/>
      <c r="E11" s="61"/>
      <c r="F11" s="61"/>
      <c r="H11" s="61" t="s">
        <v>137</v>
      </c>
      <c r="I11" s="61">
        <v>209.91</v>
      </c>
      <c r="J11" s="61">
        <v>1400.38</v>
      </c>
      <c r="K11" s="61">
        <v>157.07</v>
      </c>
      <c r="L11" s="61">
        <v>177.01</v>
      </c>
      <c r="M11" s="61">
        <v>204.29</v>
      </c>
    </row>
    <row r="12" spans="1:13" x14ac:dyDescent="0.35">
      <c r="A12" s="62" t="s">
        <v>138</v>
      </c>
      <c r="B12" s="62">
        <f>(B22+B16+B17)</f>
        <v>178.59</v>
      </c>
      <c r="C12" s="62">
        <f>(C22+C16+C17)</f>
        <v>918.12</v>
      </c>
      <c r="D12" s="62">
        <f>(D22+D16+D17)</f>
        <v>86.2363</v>
      </c>
      <c r="E12" s="62">
        <f>(E22+E16+E17)</f>
        <v>83.606999999999999</v>
      </c>
      <c r="F12" s="62">
        <f t="shared" ref="F12" si="3">(F22+F16+F17)</f>
        <v>164.37</v>
      </c>
      <c r="H12" s="61" t="s">
        <v>139</v>
      </c>
      <c r="I12" s="61">
        <v>59.87</v>
      </c>
      <c r="J12" s="61">
        <v>346.27</v>
      </c>
      <c r="K12" s="61">
        <v>41.51</v>
      </c>
      <c r="L12" s="61">
        <v>83.83</v>
      </c>
      <c r="M12" s="61">
        <v>63.57</v>
      </c>
    </row>
    <row r="13" spans="1:13" x14ac:dyDescent="0.35">
      <c r="A13" s="62" t="s">
        <v>140</v>
      </c>
      <c r="B13" s="62">
        <f>(B23+B19+B20)</f>
        <v>70.009999999999991</v>
      </c>
      <c r="C13" s="62">
        <f>(C23+C19+C20)</f>
        <v>402.31</v>
      </c>
      <c r="D13" s="62">
        <f>(D23+D19+D20)</f>
        <v>24.310000000000002</v>
      </c>
      <c r="E13" s="62">
        <f>(E23+E19+E20)</f>
        <v>49</v>
      </c>
      <c r="F13" s="62">
        <f t="shared" ref="F13" si="4">(F23+F19+F20)</f>
        <v>67</v>
      </c>
      <c r="H13" s="61" t="s">
        <v>141</v>
      </c>
      <c r="I13" s="61">
        <v>52.61</v>
      </c>
      <c r="J13" s="61">
        <v>394.23</v>
      </c>
      <c r="K13" s="61">
        <v>33.69</v>
      </c>
      <c r="L13" s="61">
        <v>68.41</v>
      </c>
      <c r="M13" s="61">
        <v>74.48</v>
      </c>
    </row>
    <row r="14" spans="1:13" x14ac:dyDescent="0.35">
      <c r="A14" s="62" t="s">
        <v>133</v>
      </c>
      <c r="B14" s="63">
        <f>((B12/B13)^(1/3)-1)</f>
        <v>0.36636172069800388</v>
      </c>
      <c r="C14" s="63">
        <f>((C12/C13)^(1/3)-1)</f>
        <v>0.31657682679676258</v>
      </c>
      <c r="D14" s="63">
        <f t="shared" ref="D14:E14" si="5">((D12/D13)^(1/3)-1)</f>
        <v>0.52511193108048571</v>
      </c>
      <c r="E14" s="63">
        <f t="shared" si="5"/>
        <v>0.1949475782452148</v>
      </c>
      <c r="F14" s="63">
        <f>((F12/F13)^(1/3)-1)</f>
        <v>0.34870173901734836</v>
      </c>
      <c r="H14" s="61" t="s">
        <v>142</v>
      </c>
      <c r="I14" s="61">
        <v>105.74</v>
      </c>
      <c r="J14" s="61">
        <v>73.48</v>
      </c>
      <c r="K14" s="61">
        <v>39.130000000000003</v>
      </c>
      <c r="L14" s="61">
        <v>63.11</v>
      </c>
      <c r="M14" s="61">
        <v>33.479999999999997</v>
      </c>
    </row>
    <row r="15" spans="1:13" x14ac:dyDescent="0.35">
      <c r="A15" s="61"/>
      <c r="B15" s="61"/>
      <c r="C15" s="61"/>
      <c r="D15" s="61"/>
      <c r="E15" s="61"/>
      <c r="F15" s="61"/>
      <c r="H15" s="61" t="s">
        <v>143</v>
      </c>
      <c r="I15" s="61">
        <v>117.94</v>
      </c>
      <c r="J15" s="61">
        <v>109.15</v>
      </c>
      <c r="K15" s="61">
        <v>39.619999999999997</v>
      </c>
      <c r="L15" s="61">
        <v>47.59</v>
      </c>
      <c r="M15" s="61">
        <v>32</v>
      </c>
    </row>
    <row r="16" spans="1:13" x14ac:dyDescent="0.35">
      <c r="A16" s="61" t="s">
        <v>144</v>
      </c>
      <c r="B16" s="61">
        <v>47.73</v>
      </c>
      <c r="C16" s="61">
        <v>127.68</v>
      </c>
      <c r="D16" s="61">
        <v>9.3864000000000001</v>
      </c>
      <c r="E16" s="61">
        <v>13.0884</v>
      </c>
      <c r="F16" s="61">
        <v>25.12</v>
      </c>
      <c r="H16" s="61" t="s">
        <v>145</v>
      </c>
      <c r="I16" s="61">
        <v>4.01</v>
      </c>
      <c r="J16" s="61">
        <f>15.24+11.5</f>
        <v>26.740000000000002</v>
      </c>
      <c r="K16" s="61">
        <f>0.1648+3.1935</f>
        <v>3.3582999999999998</v>
      </c>
      <c r="L16" s="61">
        <f>1.4722</f>
        <v>1.4722</v>
      </c>
      <c r="M16" s="61">
        <f>39.01+26.67</f>
        <v>65.680000000000007</v>
      </c>
    </row>
    <row r="17" spans="1:13" x14ac:dyDescent="0.35">
      <c r="A17" s="61" t="s">
        <v>146</v>
      </c>
      <c r="B17" s="61">
        <v>20.78</v>
      </c>
      <c r="C17" s="61">
        <v>124.4</v>
      </c>
      <c r="D17" s="61">
        <v>6.3699000000000003</v>
      </c>
      <c r="E17" s="61">
        <v>8.0992999999999995</v>
      </c>
      <c r="F17" s="61">
        <v>28.37</v>
      </c>
      <c r="H17" s="61" t="s">
        <v>147</v>
      </c>
      <c r="I17" s="61">
        <v>103.44</v>
      </c>
      <c r="J17" s="61">
        <v>840.23</v>
      </c>
      <c r="K17" s="61">
        <v>92.962699999999998</v>
      </c>
      <c r="L17" s="61">
        <v>110.42</v>
      </c>
      <c r="M17" s="61">
        <v>150.29</v>
      </c>
    </row>
    <row r="18" spans="1:13" x14ac:dyDescent="0.35">
      <c r="A18" s="61"/>
      <c r="B18" s="61"/>
      <c r="C18" s="61"/>
      <c r="D18" s="61"/>
      <c r="E18" s="61"/>
      <c r="F18" s="61"/>
      <c r="H18" s="61" t="s">
        <v>148</v>
      </c>
      <c r="I18" s="61">
        <v>45.38</v>
      </c>
      <c r="J18" s="61">
        <f>271.19+3.05</f>
        <v>274.24</v>
      </c>
      <c r="K18" s="61">
        <v>44.57</v>
      </c>
      <c r="L18" s="61">
        <v>18.468399999999999</v>
      </c>
      <c r="M18" s="61">
        <v>31.32</v>
      </c>
    </row>
    <row r="19" spans="1:13" x14ac:dyDescent="0.35">
      <c r="A19" s="61" t="s">
        <v>149</v>
      </c>
      <c r="B19" s="61">
        <v>33.25</v>
      </c>
      <c r="C19" s="61">
        <v>118.29</v>
      </c>
      <c r="D19" s="61">
        <v>7.33</v>
      </c>
      <c r="E19" s="61">
        <v>10</v>
      </c>
      <c r="F19" s="61">
        <v>14</v>
      </c>
      <c r="H19" s="61" t="s">
        <v>150</v>
      </c>
      <c r="I19" s="61">
        <v>44.73</v>
      </c>
      <c r="J19" s="61">
        <f>254.71+0.51</f>
        <v>255.22</v>
      </c>
      <c r="K19" s="61">
        <v>44.79</v>
      </c>
      <c r="L19" s="61">
        <v>18.706</v>
      </c>
      <c r="M19" s="61">
        <v>30.46</v>
      </c>
    </row>
    <row r="20" spans="1:13" x14ac:dyDescent="0.35">
      <c r="A20" s="61" t="s">
        <v>151</v>
      </c>
      <c r="B20" s="61">
        <v>25.1</v>
      </c>
      <c r="C20" s="61">
        <v>195.23</v>
      </c>
      <c r="D20" s="61">
        <v>5.96</v>
      </c>
      <c r="E20" s="61">
        <v>7</v>
      </c>
      <c r="F20" s="61">
        <v>20</v>
      </c>
      <c r="H20" s="62" t="s">
        <v>47</v>
      </c>
      <c r="I20" s="62">
        <f>I11-I17</f>
        <v>106.47</v>
      </c>
      <c r="J20" s="62">
        <f t="shared" ref="J20:M20" si="6">J11-J17</f>
        <v>560.15000000000009</v>
      </c>
      <c r="K20" s="62">
        <f t="shared" si="6"/>
        <v>64.107299999999995</v>
      </c>
      <c r="L20" s="62">
        <f t="shared" si="6"/>
        <v>66.589999999999989</v>
      </c>
      <c r="M20" s="62">
        <f t="shared" si="6"/>
        <v>54</v>
      </c>
    </row>
    <row r="21" spans="1:13" x14ac:dyDescent="0.35">
      <c r="A21" s="61"/>
      <c r="B21" s="61"/>
      <c r="C21" s="61"/>
      <c r="D21" s="61"/>
      <c r="E21" s="61"/>
      <c r="F21" s="61"/>
    </row>
    <row r="22" spans="1:13" x14ac:dyDescent="0.35">
      <c r="A22" s="61" t="s">
        <v>152</v>
      </c>
      <c r="B22" s="61">
        <v>110.08</v>
      </c>
      <c r="C22" s="66">
        <v>666.04</v>
      </c>
      <c r="D22" s="61">
        <v>70.48</v>
      </c>
      <c r="E22" s="61">
        <v>62.4193</v>
      </c>
      <c r="F22" s="61">
        <v>110.88</v>
      </c>
    </row>
    <row r="23" spans="1:13" x14ac:dyDescent="0.35">
      <c r="A23" s="61" t="s">
        <v>153</v>
      </c>
      <c r="B23" s="61">
        <v>11.66</v>
      </c>
      <c r="C23" s="61">
        <v>88.79</v>
      </c>
      <c r="D23" s="61">
        <v>11.02</v>
      </c>
      <c r="E23" s="61">
        <v>32</v>
      </c>
      <c r="F23" s="61">
        <v>33</v>
      </c>
    </row>
    <row r="24" spans="1:13" x14ac:dyDescent="0.35">
      <c r="A24" s="61"/>
      <c r="B24" s="61"/>
      <c r="C24" s="61"/>
      <c r="D24" s="61"/>
      <c r="E24" s="61"/>
      <c r="F24" s="61"/>
    </row>
    <row r="25" spans="1:13" x14ac:dyDescent="0.35">
      <c r="A25" s="61" t="s">
        <v>154</v>
      </c>
      <c r="B25" s="61">
        <v>87.77</v>
      </c>
      <c r="C25" s="61">
        <v>424.94</v>
      </c>
      <c r="D25" s="61">
        <v>46.95</v>
      </c>
      <c r="E25" s="61">
        <v>40.234999999999999</v>
      </c>
      <c r="F25" s="61">
        <v>77.930000000000007</v>
      </c>
      <c r="H25" s="61" t="s">
        <v>48</v>
      </c>
      <c r="I25" s="61"/>
      <c r="J25" s="61"/>
      <c r="K25" s="61"/>
      <c r="L25" s="61"/>
      <c r="M25" s="61"/>
    </row>
    <row r="26" spans="1:13" x14ac:dyDescent="0.35">
      <c r="A26" s="61" t="s">
        <v>155</v>
      </c>
      <c r="B26" s="61">
        <v>13.12</v>
      </c>
      <c r="C26" s="61">
        <v>60.74</v>
      </c>
      <c r="D26" s="61">
        <v>8.67</v>
      </c>
      <c r="E26" s="61">
        <v>19</v>
      </c>
      <c r="F26" s="61">
        <v>25</v>
      </c>
      <c r="H26" s="61" t="s">
        <v>74</v>
      </c>
      <c r="I26" s="61">
        <v>10000000</v>
      </c>
      <c r="J26" s="61">
        <v>178243585</v>
      </c>
      <c r="K26" s="61">
        <v>13824550</v>
      </c>
      <c r="L26" s="61">
        <v>24251804</v>
      </c>
      <c r="M26" s="61">
        <v>2591254</v>
      </c>
    </row>
    <row r="27" spans="1:13" x14ac:dyDescent="0.35">
      <c r="A27" s="62" t="s">
        <v>133</v>
      </c>
      <c r="B27" s="63">
        <f>((B25/B26)^(1/3)-1)</f>
        <v>0.88424521518166976</v>
      </c>
      <c r="C27" s="63">
        <f>((C25/C26)^(1/3)-1)</f>
        <v>0.9125711863051218</v>
      </c>
      <c r="D27" s="63">
        <f>((D25/D26)^(1/3)-1)</f>
        <v>0.75605790752667579</v>
      </c>
      <c r="E27" s="63">
        <f t="shared" ref="E27:F27" si="7">((E25/E26)^(1/3)-1)</f>
        <v>0.28415309129874378</v>
      </c>
      <c r="F27" s="63">
        <f t="shared" si="7"/>
        <v>0.46079146428401074</v>
      </c>
      <c r="H27" s="61" t="s">
        <v>75</v>
      </c>
      <c r="I27" s="62">
        <f>I26/10000000*I31</f>
        <v>626.57000000000005</v>
      </c>
      <c r="J27" s="62">
        <f t="shared" ref="J27:M27" si="8">J26/10000000*J31</f>
        <v>2605.9212126999996</v>
      </c>
      <c r="K27" s="62">
        <f t="shared" si="8"/>
        <v>209.09631874999999</v>
      </c>
      <c r="L27" s="62">
        <f t="shared" si="8"/>
        <v>247.36840079999999</v>
      </c>
      <c r="M27" s="62">
        <f t="shared" si="8"/>
        <v>115.33671554000001</v>
      </c>
    </row>
    <row r="28" spans="1:13" x14ac:dyDescent="0.35">
      <c r="A28" s="61"/>
      <c r="B28" s="61"/>
      <c r="C28" s="61"/>
      <c r="D28" s="61"/>
      <c r="E28" s="61"/>
      <c r="F28" s="61"/>
      <c r="H28" s="61" t="s">
        <v>78</v>
      </c>
      <c r="I28" s="62">
        <f>I8</f>
        <v>159.07999999999998</v>
      </c>
      <c r="J28" s="62">
        <f t="shared" ref="J28:M28" si="9">J8</f>
        <v>1305.3799999999999</v>
      </c>
      <c r="K28" s="62">
        <f t="shared" si="9"/>
        <v>27.409800000000001</v>
      </c>
      <c r="L28" s="62">
        <f t="shared" si="9"/>
        <v>60.51</v>
      </c>
      <c r="M28" s="62">
        <f t="shared" si="9"/>
        <v>349.40999999999997</v>
      </c>
    </row>
    <row r="29" spans="1:13" x14ac:dyDescent="0.35">
      <c r="A29" s="61" t="s">
        <v>156</v>
      </c>
      <c r="B29" s="61">
        <v>87.7</v>
      </c>
      <c r="C29" s="61">
        <v>23.88</v>
      </c>
      <c r="D29" s="61">
        <v>33.96</v>
      </c>
      <c r="E29" s="61">
        <v>17.43</v>
      </c>
      <c r="F29" s="61">
        <v>89.31</v>
      </c>
      <c r="H29" s="61" t="s">
        <v>76</v>
      </c>
      <c r="I29" s="62">
        <f>I16</f>
        <v>4.01</v>
      </c>
      <c r="J29" s="62">
        <f t="shared" ref="J29:M29" si="10">J16</f>
        <v>26.740000000000002</v>
      </c>
      <c r="K29" s="62">
        <f t="shared" si="10"/>
        <v>3.3582999999999998</v>
      </c>
      <c r="L29" s="62">
        <f t="shared" si="10"/>
        <v>1.4722</v>
      </c>
      <c r="M29" s="62">
        <f t="shared" si="10"/>
        <v>65.680000000000007</v>
      </c>
    </row>
    <row r="30" spans="1:13" x14ac:dyDescent="0.35">
      <c r="H30" s="61" t="s">
        <v>77</v>
      </c>
      <c r="I30" s="53">
        <f t="shared" ref="I30:M30" si="11">I27+I28-I29</f>
        <v>781.6400000000001</v>
      </c>
      <c r="J30" s="53">
        <f t="shared" si="11"/>
        <v>3884.5612126999995</v>
      </c>
      <c r="K30" s="53">
        <f t="shared" si="11"/>
        <v>233.14781875</v>
      </c>
      <c r="L30" s="53">
        <f t="shared" si="11"/>
        <v>306.40620080000002</v>
      </c>
      <c r="M30" s="53">
        <f t="shared" si="11"/>
        <v>399.06671553999996</v>
      </c>
    </row>
    <row r="31" spans="1:13" x14ac:dyDescent="0.35">
      <c r="H31" s="61" t="s">
        <v>50</v>
      </c>
      <c r="I31" s="61">
        <v>626.57000000000005</v>
      </c>
      <c r="J31" s="61">
        <v>146.19999999999999</v>
      </c>
      <c r="K31" s="61">
        <v>151.25</v>
      </c>
      <c r="L31" s="61">
        <v>102</v>
      </c>
      <c r="M31" s="61">
        <v>445.1</v>
      </c>
    </row>
    <row r="32" spans="1:13" x14ac:dyDescent="0.35">
      <c r="H32" s="61" t="s">
        <v>51</v>
      </c>
      <c r="I32" s="62">
        <f>B29</f>
        <v>87.7</v>
      </c>
      <c r="J32" s="62">
        <f>C29</f>
        <v>23.88</v>
      </c>
      <c r="K32" s="62">
        <f>D29</f>
        <v>33.96</v>
      </c>
      <c r="L32" s="62">
        <f>E29</f>
        <v>17.43</v>
      </c>
      <c r="M32" s="62">
        <f>F29</f>
        <v>89.31</v>
      </c>
    </row>
    <row r="33" spans="8:13" x14ac:dyDescent="0.35">
      <c r="H33" s="61" t="s">
        <v>52</v>
      </c>
      <c r="I33" s="62">
        <f>I31*1000000/I26</f>
        <v>62.656999999999996</v>
      </c>
      <c r="J33" s="67">
        <f>J31*1000000/J26</f>
        <v>0.82022587236449496</v>
      </c>
      <c r="K33" s="67">
        <f t="shared" ref="K33:M33" si="12">K31*1000000/K26</f>
        <v>10.940681613506406</v>
      </c>
      <c r="L33" s="67">
        <f t="shared" si="12"/>
        <v>4.2058726847701724</v>
      </c>
      <c r="M33" s="67">
        <f t="shared" si="12"/>
        <v>171.7701159361452</v>
      </c>
    </row>
    <row r="34" spans="8:13" x14ac:dyDescent="0.35">
      <c r="H34" s="61" t="s">
        <v>54</v>
      </c>
      <c r="I34" s="68">
        <f>I31/I32</f>
        <v>7.1444697833523376</v>
      </c>
      <c r="J34" s="68">
        <f>J31/J32</f>
        <v>6.1222780569514237</v>
      </c>
      <c r="K34" s="68">
        <f t="shared" ref="K34:M34" si="13">K31/K32</f>
        <v>4.4537691401648996</v>
      </c>
      <c r="L34" s="68">
        <f t="shared" si="13"/>
        <v>5.8519793459552494</v>
      </c>
      <c r="M34" s="68">
        <f t="shared" si="13"/>
        <v>4.9837644160788264</v>
      </c>
    </row>
    <row r="35" spans="8:13" x14ac:dyDescent="0.35">
      <c r="H35" s="61" t="s">
        <v>55</v>
      </c>
      <c r="I35" s="69">
        <f>I31/I33</f>
        <v>10.000000000000002</v>
      </c>
      <c r="J35" s="69">
        <f>J31/J33</f>
        <v>178.24358499999997</v>
      </c>
      <c r="K35" s="69">
        <f t="shared" ref="K35:M35" si="14">K31/K33</f>
        <v>13.82455</v>
      </c>
      <c r="L35" s="69">
        <f t="shared" si="14"/>
        <v>24.251804</v>
      </c>
      <c r="M35" s="69">
        <f t="shared" si="14"/>
        <v>2.5912540000000002</v>
      </c>
    </row>
    <row r="36" spans="8:13" x14ac:dyDescent="0.35">
      <c r="H36" s="61" t="s">
        <v>56</v>
      </c>
      <c r="I36" s="68">
        <f>I30/B12</f>
        <v>4.3767288202026995</v>
      </c>
      <c r="J36" s="68">
        <f>J30/C12</f>
        <v>4.2309950907288805</v>
      </c>
      <c r="K36" s="68">
        <f>K30/D12</f>
        <v>2.703592556150948</v>
      </c>
      <c r="L36" s="68">
        <f>L30/E12</f>
        <v>3.6648390780676263</v>
      </c>
      <c r="M36" s="68">
        <f>M30/F12</f>
        <v>2.4278561510007908</v>
      </c>
    </row>
    <row r="37" spans="8:13" x14ac:dyDescent="0.35">
      <c r="H37" s="61" t="s">
        <v>57</v>
      </c>
      <c r="I37" s="70">
        <f>B25/I5</f>
        <v>0.28536593295835094</v>
      </c>
      <c r="J37" s="70">
        <f>C25/J5</f>
        <v>0.20849811098572199</v>
      </c>
      <c r="K37" s="70">
        <f>D25/K5</f>
        <v>0.23685122564833927</v>
      </c>
      <c r="L37" s="70">
        <f>E25/L5</f>
        <v>0.16466808545469427</v>
      </c>
      <c r="M37" s="70">
        <f>F25/M5</f>
        <v>0.10165931800986198</v>
      </c>
    </row>
    <row r="38" spans="8:13" x14ac:dyDescent="0.35">
      <c r="H38" s="61" t="s">
        <v>58</v>
      </c>
      <c r="I38" s="70">
        <f>(B22+B17)/I9</f>
        <v>0.26002463935142867</v>
      </c>
      <c r="J38" s="70">
        <f t="shared" ref="J38:M38" si="15">(C22+C17)/J9</f>
        <v>0.21574145088609456</v>
      </c>
      <c r="K38" s="70">
        <f t="shared" si="15"/>
        <v>0.32216466429643714</v>
      </c>
      <c r="L38" s="70">
        <f t="shared" si="15"/>
        <v>0.27815793625749446</v>
      </c>
      <c r="M38" s="70">
        <f t="shared" si="15"/>
        <v>0.12836112570633187</v>
      </c>
    </row>
    <row r="39" spans="8:13" x14ac:dyDescent="0.35">
      <c r="H39" s="61" t="s">
        <v>59</v>
      </c>
      <c r="I39" s="67">
        <f>I8/I5</f>
        <v>0.51721559319829624</v>
      </c>
      <c r="J39" s="67">
        <f>J8/J5</f>
        <v>0.64048869044698487</v>
      </c>
      <c r="K39" s="67">
        <f t="shared" ref="K39:M39" si="16">K8/K5</f>
        <v>0.13827571298777103</v>
      </c>
      <c r="L39" s="67">
        <f t="shared" si="16"/>
        <v>0.24764672178112465</v>
      </c>
      <c r="M39" s="67">
        <f t="shared" si="16"/>
        <v>0.45580369954864458</v>
      </c>
    </row>
    <row r="40" spans="8:13" x14ac:dyDescent="0.35">
      <c r="H40" s="61" t="s">
        <v>60</v>
      </c>
      <c r="I40" s="67">
        <f>(I8-I16)/I5</f>
        <v>0.50417791071951101</v>
      </c>
      <c r="J40" s="67">
        <f>(J8-J16)/J5</f>
        <v>0.6273686276433933</v>
      </c>
      <c r="K40" s="67">
        <f t="shared" ref="K40:M40" si="17">(K8-K16)/K5</f>
        <v>0.1213339138164224</v>
      </c>
      <c r="L40" s="67">
        <f t="shared" si="17"/>
        <v>0.24162151100924939</v>
      </c>
      <c r="M40" s="67">
        <f t="shared" si="17"/>
        <v>0.37012444885073958</v>
      </c>
    </row>
    <row r="41" spans="8:13" x14ac:dyDescent="0.35">
      <c r="H41" s="61" t="s">
        <v>157</v>
      </c>
      <c r="I41" s="61">
        <v>2.5</v>
      </c>
      <c r="J41" s="61">
        <v>3.5</v>
      </c>
      <c r="K41" s="61">
        <v>5</v>
      </c>
      <c r="L41" s="61">
        <v>2.25</v>
      </c>
      <c r="M41" s="61">
        <v>5</v>
      </c>
    </row>
    <row r="42" spans="8:13" x14ac:dyDescent="0.35">
      <c r="H42" s="61" t="s">
        <v>61</v>
      </c>
      <c r="I42" s="70">
        <f>I41/I31</f>
        <v>3.9899771773305457E-3</v>
      </c>
      <c r="J42" s="70">
        <f>J41/J31</f>
        <v>2.3939808481532151E-2</v>
      </c>
      <c r="K42" s="70">
        <f>K41/K31</f>
        <v>3.3057851239669422E-2</v>
      </c>
      <c r="L42" s="70">
        <f>L41/L31</f>
        <v>2.2058823529411766E-2</v>
      </c>
      <c r="M42" s="70">
        <f>M41/M31</f>
        <v>1.1233430689732643E-2</v>
      </c>
    </row>
    <row r="43" spans="8:13" x14ac:dyDescent="0.35">
      <c r="H43" s="61" t="s">
        <v>62</v>
      </c>
      <c r="I43" s="71">
        <f>AVERAGE(I14:I15)/B5*365</f>
        <v>54.222753536561072</v>
      </c>
      <c r="J43" s="71">
        <f>AVERAGE(J14:J15)/C5*365</f>
        <v>10.079497446102016</v>
      </c>
      <c r="K43" s="71">
        <f>AVERAGE(K14:K15)/D5*365</f>
        <v>24.783795202538414</v>
      </c>
      <c r="L43" s="71">
        <f>AVERAGE(L14:L15)/E5*365</f>
        <v>40.741207550213758</v>
      </c>
      <c r="M43" s="71">
        <f>AVERAGE(M14:M15)/F5*365</f>
        <v>14.894616794007302</v>
      </c>
    </row>
    <row r="44" spans="8:13" x14ac:dyDescent="0.35">
      <c r="H44" s="61" t="s">
        <v>63</v>
      </c>
      <c r="I44" s="71">
        <f>AVERAGE(I18:I19)/B9*365</f>
        <v>57.848160264527927</v>
      </c>
      <c r="J44" s="71">
        <f>AVERAGE(J18:J19)/C9*365</f>
        <v>61.169918462434488</v>
      </c>
      <c r="K44" s="71">
        <f>AVERAGE(K18:K19)/D9*365</f>
        <v>60.053100017307223</v>
      </c>
      <c r="L44" s="71">
        <f>AVERAGE(L18:L19)/E9*365</f>
        <v>21.825086054367056</v>
      </c>
      <c r="M44" s="71">
        <f>AVERAGE(M18:M19)/F9*365</f>
        <v>42.001378334078382</v>
      </c>
    </row>
    <row r="45" spans="8:13" x14ac:dyDescent="0.35">
      <c r="H45" s="61" t="s">
        <v>64</v>
      </c>
      <c r="I45" s="71">
        <f>AVERAGE(I12:I13)/(B9+B10)*365</f>
        <v>72.153251318101908</v>
      </c>
      <c r="J45" s="71">
        <f>AVERAGE(J12:J13)/(C9+C10)*365</f>
        <v>83.036608519868025</v>
      </c>
      <c r="K45" s="71">
        <f>AVERAGE(K12:K13)/(D9+D10)*365</f>
        <v>51.059776846005882</v>
      </c>
      <c r="L45" s="71">
        <f>AVERAGE(L12:L13)/(E9+E10)*365</f>
        <v>92.717746779683651</v>
      </c>
      <c r="M45" s="71">
        <f>AVERAGE(M12:M13)/(F9+F10)*365</f>
        <v>94.505138977456042</v>
      </c>
    </row>
    <row r="46" spans="8:13" x14ac:dyDescent="0.35">
      <c r="H46" s="61" t="s">
        <v>82</v>
      </c>
      <c r="I46" s="71">
        <f>I43+I45-I44</f>
        <v>68.527844590135061</v>
      </c>
      <c r="J46" s="71">
        <f>J43+J45-J44</f>
        <v>31.946187503535548</v>
      </c>
      <c r="K46" s="71">
        <f>K43+K45-K44</f>
        <v>15.79047203123708</v>
      </c>
      <c r="L46" s="71">
        <f>L43+L45-L44</f>
        <v>111.63386827553035</v>
      </c>
      <c r="M46" s="71">
        <f>M43+M45-M44</f>
        <v>67.398377437384966</v>
      </c>
    </row>
    <row r="47" spans="8:13" x14ac:dyDescent="0.35">
      <c r="H47" s="61" t="s">
        <v>65</v>
      </c>
      <c r="I47" s="71">
        <f>I20/B5*365</f>
        <v>51.619246861924687</v>
      </c>
      <c r="J47" s="71">
        <f>J20/C5*365</f>
        <v>61.830263313081595</v>
      </c>
      <c r="K47" s="71">
        <f>K20/D5*365</f>
        <v>40.351039852385796</v>
      </c>
      <c r="L47" s="71">
        <f>L20/E5*365</f>
        <v>49.014580140356529</v>
      </c>
      <c r="M47" s="71">
        <f>M20/F5*365</f>
        <v>24.566564046316266</v>
      </c>
    </row>
    <row r="48" spans="8:13" x14ac:dyDescent="0.35">
      <c r="H48" s="61" t="s">
        <v>88</v>
      </c>
      <c r="I48" s="63">
        <f>B17/I8</f>
        <v>0.13062610007543377</v>
      </c>
      <c r="J48" s="63">
        <f>C17/J8</f>
        <v>9.5297920911918382E-2</v>
      </c>
      <c r="K48" s="63">
        <f>D17/K8</f>
        <v>0.23239498281636495</v>
      </c>
      <c r="L48" s="63">
        <f>E17/L8</f>
        <v>0.13385060320608164</v>
      </c>
      <c r="M48" s="63">
        <f>F17/M8</f>
        <v>8.119401276437424E-2</v>
      </c>
    </row>
    <row r="49" spans="8:13" x14ac:dyDescent="0.35">
      <c r="H49" s="61" t="s">
        <v>158</v>
      </c>
      <c r="I49" s="67">
        <f>I10/B5</f>
        <v>0.59833964269110707</v>
      </c>
      <c r="J49" s="67">
        <f>J10/C5</f>
        <v>0.94405617668316844</v>
      </c>
      <c r="K49" s="67">
        <f>K10/D5</f>
        <v>0.32322492196795943</v>
      </c>
      <c r="L49" s="67">
        <f>L10/E5</f>
        <v>0.47184802774864887</v>
      </c>
      <c r="M49" s="67">
        <f>M10/F5</f>
        <v>1.3460757063977766</v>
      </c>
    </row>
    <row r="50" spans="8:13" x14ac:dyDescent="0.35">
      <c r="H50" s="61" t="s">
        <v>159</v>
      </c>
      <c r="I50" s="67">
        <f>(B22+B17)/B17</f>
        <v>6.2974013474494708</v>
      </c>
      <c r="J50" s="67">
        <f>(C22+C17)/C17</f>
        <v>6.3540192926045007</v>
      </c>
      <c r="K50" s="67">
        <f>(D22+D17)/D17</f>
        <v>12.064537904833671</v>
      </c>
      <c r="L50" s="67">
        <f>(E22+E17)/E17</f>
        <v>8.7067524353956518</v>
      </c>
      <c r="M50" s="67">
        <f>(F22+F17)/F17</f>
        <v>4.9083538949594638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Summary Sheet</vt:lpstr>
      <vt:lpstr>Working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2025-02-24T08:47:49Z</cp:lastPrinted>
  <dcterms:created xsi:type="dcterms:W3CDTF">2017-09-19T08:05:47Z</dcterms:created>
  <dcterms:modified xsi:type="dcterms:W3CDTF">2025-06-05T12:45:36Z</dcterms:modified>
</cp:coreProperties>
</file>