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9735" tabRatio="769" firstSheet="1" activeTab="1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" i="1" l="1"/>
  <c r="R56" i="1"/>
  <c r="R17" i="1"/>
  <c r="R12" i="1"/>
  <c r="R4" i="1"/>
  <c r="R91" i="1"/>
  <c r="R87" i="1"/>
  <c r="R86" i="1"/>
  <c r="R85" i="1"/>
  <c r="R84" i="1"/>
  <c r="R79" i="1"/>
  <c r="R77" i="1"/>
  <c r="R76" i="1"/>
  <c r="I56" i="1"/>
  <c r="I51" i="1"/>
  <c r="I50" i="1"/>
  <c r="I49" i="1"/>
  <c r="I45" i="1"/>
  <c r="R88" i="1" l="1"/>
  <c r="I35" i="1"/>
  <c r="I34" i="1"/>
  <c r="I30" i="1"/>
  <c r="I29" i="1"/>
  <c r="I28" i="1"/>
  <c r="I25" i="1"/>
  <c r="I24" i="1"/>
  <c r="I23" i="1"/>
  <c r="I20" i="1"/>
  <c r="I14" i="1"/>
  <c r="I13" i="1"/>
  <c r="I11" i="1"/>
  <c r="I4" i="1"/>
  <c r="I5" i="1"/>
  <c r="R73" i="1" l="1"/>
  <c r="I54" i="1"/>
  <c r="I22" i="1"/>
  <c r="I21" i="1" l="1"/>
  <c r="I12" i="1"/>
  <c r="D34" i="1"/>
  <c r="H11" i="1" l="1"/>
  <c r="H19" i="1" s="1"/>
  <c r="N45" i="1" l="1"/>
  <c r="R5" i="1"/>
  <c r="R31" i="1"/>
  <c r="R45" i="1"/>
  <c r="R64" i="1"/>
  <c r="R14" i="1" s="1"/>
  <c r="I58" i="1"/>
  <c r="Q5" i="1"/>
  <c r="P5" i="1"/>
  <c r="H5" i="1"/>
  <c r="H4" i="1"/>
  <c r="I57" i="1" l="1"/>
  <c r="R90" i="1"/>
  <c r="R82" i="1"/>
  <c r="R80" i="1"/>
  <c r="R83" i="1"/>
  <c r="R89" i="1"/>
  <c r="R69" i="1"/>
  <c r="R68" i="1"/>
  <c r="Q12" i="1"/>
  <c r="Q64" i="1"/>
  <c r="Q14" i="1" s="1"/>
  <c r="Q31" i="1"/>
  <c r="Q17" i="1"/>
  <c r="P17" i="1"/>
  <c r="P12" i="1"/>
  <c r="R15" i="1" l="1"/>
  <c r="R81" i="1" s="1"/>
  <c r="R94" i="1"/>
  <c r="R95" i="1" l="1"/>
  <c r="D58" i="1"/>
  <c r="E58" i="1"/>
  <c r="F58" i="1"/>
  <c r="G58" i="1"/>
  <c r="H58" i="1"/>
  <c r="C58" i="1"/>
  <c r="M64" i="1"/>
  <c r="N64" i="1"/>
  <c r="O64" i="1"/>
  <c r="P64" i="1"/>
  <c r="H54" i="1"/>
  <c r="I59" i="1" l="1"/>
  <c r="R78" i="1" s="1"/>
  <c r="Q87" i="1"/>
  <c r="Q85" i="1"/>
  <c r="Q84" i="1"/>
  <c r="Q79" i="1"/>
  <c r="Q73" i="1"/>
  <c r="Q90" i="1" l="1"/>
  <c r="H49" i="1"/>
  <c r="H51" i="1" s="1"/>
  <c r="G49" i="1"/>
  <c r="H45" i="1"/>
  <c r="H46" i="1" s="1"/>
  <c r="I46" i="1" s="1"/>
  <c r="H20" i="1"/>
  <c r="H21" i="1" s="1"/>
  <c r="G20" i="1"/>
  <c r="P50" i="1"/>
  <c r="Q50" i="1"/>
  <c r="Q56" i="1" s="1"/>
  <c r="Q45" i="1"/>
  <c r="Q69" i="1" s="1"/>
  <c r="H56" i="1"/>
  <c r="H57" i="1"/>
  <c r="H35" i="1"/>
  <c r="H34" i="1"/>
  <c r="Q68" i="1" l="1"/>
  <c r="Q94" i="1" s="1"/>
  <c r="Q15" i="1"/>
  <c r="Q95" i="1" s="1"/>
  <c r="Q86" i="1"/>
  <c r="Q88" i="1" s="1"/>
  <c r="H59" i="1"/>
  <c r="Q74" i="1"/>
  <c r="Q77" i="1" s="1"/>
  <c r="Q82" i="1"/>
  <c r="H12" i="1"/>
  <c r="Q57" i="1"/>
  <c r="Q76" i="1"/>
  <c r="L86" i="1"/>
  <c r="P87" i="1"/>
  <c r="O87" i="1"/>
  <c r="N87" i="1"/>
  <c r="M87" i="1"/>
  <c r="L87" i="1"/>
  <c r="P86" i="1"/>
  <c r="O86" i="1"/>
  <c r="N86" i="1"/>
  <c r="M86" i="1"/>
  <c r="L85" i="1"/>
  <c r="P79" i="1"/>
  <c r="O79" i="1"/>
  <c r="N79" i="1"/>
  <c r="M79" i="1"/>
  <c r="L79" i="1"/>
  <c r="P73" i="1"/>
  <c r="M73" i="1"/>
  <c r="L73" i="1"/>
  <c r="P56" i="1"/>
  <c r="P68" i="1" s="1"/>
  <c r="O56" i="1"/>
  <c r="N5" i="1"/>
  <c r="N74" i="1" s="1"/>
  <c r="C11" i="1"/>
  <c r="Q91" i="1" l="1"/>
  <c r="Q81" i="1"/>
  <c r="H22" i="1"/>
  <c r="Q78" i="1"/>
  <c r="Q83" i="1"/>
  <c r="P85" i="1"/>
  <c r="P88" i="1" s="1"/>
  <c r="P84" i="1"/>
  <c r="L56" i="1"/>
  <c r="M56" i="1"/>
  <c r="M45" i="1"/>
  <c r="P74" i="1"/>
  <c r="O5" i="1"/>
  <c r="O74" i="1" s="1"/>
  <c r="M5" i="1"/>
  <c r="M74" i="1" s="1"/>
  <c r="L17" i="1"/>
  <c r="L45" i="1"/>
  <c r="M17" i="1"/>
  <c r="N17" i="1"/>
  <c r="O17" i="1"/>
  <c r="L5" i="1"/>
  <c r="D45" i="1"/>
  <c r="C45" i="1"/>
  <c r="C46" i="1" s="1"/>
  <c r="C19" i="1"/>
  <c r="L91" i="1" s="1"/>
  <c r="B11" i="1"/>
  <c r="B12" i="1" s="1"/>
  <c r="B13" i="1" s="1"/>
  <c r="B21" i="1"/>
  <c r="B22" i="1"/>
  <c r="B23" i="1" s="1"/>
  <c r="B24" i="1" s="1"/>
  <c r="B45" i="1"/>
  <c r="B46" i="1" s="1"/>
  <c r="B49" i="1"/>
  <c r="B51" i="1" s="1"/>
  <c r="B56" i="1"/>
  <c r="B58" i="1"/>
  <c r="O12" i="1"/>
  <c r="O90" i="1" s="1"/>
  <c r="O45" i="1"/>
  <c r="N56" i="1"/>
  <c r="G4" i="1"/>
  <c r="Q80" i="1" l="1"/>
  <c r="H28" i="1"/>
  <c r="H23" i="1"/>
  <c r="O83" i="1"/>
  <c r="O68" i="1"/>
  <c r="L74" i="1"/>
  <c r="L14" i="1"/>
  <c r="B28" i="1"/>
  <c r="B29" i="1" s="1"/>
  <c r="C22" i="1"/>
  <c r="C21" i="1"/>
  <c r="C12" i="1"/>
  <c r="C28" i="1" l="1"/>
  <c r="C23" i="1"/>
  <c r="O31" i="1"/>
  <c r="P31" i="1"/>
  <c r="P45" i="1"/>
  <c r="P90" i="1"/>
  <c r="N31" i="1"/>
  <c r="C56" i="1"/>
  <c r="P83" i="1" l="1"/>
  <c r="P82" i="1"/>
  <c r="P57" i="1"/>
  <c r="Q89" i="1" s="1"/>
  <c r="O57" i="1"/>
  <c r="P69" i="1"/>
  <c r="P94" i="1" s="1"/>
  <c r="O69" i="1"/>
  <c r="P14" i="1"/>
  <c r="O15" i="1" l="1"/>
  <c r="O94" i="1"/>
  <c r="P89" i="1"/>
  <c r="P15" i="1"/>
  <c r="P95" i="1" s="1"/>
  <c r="D4" i="1" l="1"/>
  <c r="E4" i="1"/>
  <c r="F4" i="1"/>
  <c r="E5" i="1"/>
  <c r="F5" i="1"/>
  <c r="G5" i="1"/>
  <c r="D11" i="1"/>
  <c r="D19" i="1" s="1"/>
  <c r="E11" i="1"/>
  <c r="F11" i="1"/>
  <c r="G11" i="1"/>
  <c r="E34" i="1"/>
  <c r="F34" i="1"/>
  <c r="G34" i="1"/>
  <c r="E35" i="1"/>
  <c r="F35" i="1"/>
  <c r="G35" i="1"/>
  <c r="F19" i="1" l="1"/>
  <c r="E19" i="1"/>
  <c r="E22" i="1" s="1"/>
  <c r="H25" i="1" s="1"/>
  <c r="H14" i="1"/>
  <c r="G12" i="1"/>
  <c r="H13" i="1"/>
  <c r="D21" i="1"/>
  <c r="D22" i="1"/>
  <c r="D12" i="1"/>
  <c r="D13" i="1"/>
  <c r="G13" i="1"/>
  <c r="G19" i="1"/>
  <c r="P91" i="1" s="1"/>
  <c r="F22" i="1"/>
  <c r="F13" i="1"/>
  <c r="F12" i="1"/>
  <c r="E12" i="1"/>
  <c r="E13" i="1"/>
  <c r="G14" i="1"/>
  <c r="G56" i="1"/>
  <c r="G45" i="1"/>
  <c r="G46" i="1" s="1"/>
  <c r="G51" i="1"/>
  <c r="F24" i="1" l="1"/>
  <c r="E28" i="1"/>
  <c r="H30" i="1" s="1"/>
  <c r="G22" i="1"/>
  <c r="H24" i="1" s="1"/>
  <c r="P81" i="1"/>
  <c r="E24" i="1"/>
  <c r="D24" i="1"/>
  <c r="D28" i="1"/>
  <c r="G21" i="1"/>
  <c r="F28" i="1"/>
  <c r="F23" i="1"/>
  <c r="F21" i="1"/>
  <c r="E21" i="1"/>
  <c r="G23" i="1" l="1"/>
  <c r="G28" i="1"/>
  <c r="P80" i="1"/>
  <c r="G24" i="1"/>
  <c r="E23" i="1"/>
  <c r="F29" i="1"/>
  <c r="G25" i="1"/>
  <c r="D23" i="1"/>
  <c r="P76" i="1"/>
  <c r="G29" i="1" l="1"/>
  <c r="H29" i="1"/>
  <c r="G30" i="1"/>
  <c r="E29" i="1"/>
  <c r="F45" i="1" l="1"/>
  <c r="G57" i="1" l="1"/>
  <c r="P77" i="1"/>
  <c r="G59" i="1" l="1"/>
  <c r="P78" i="1" s="1"/>
  <c r="O85" i="1"/>
  <c r="O84" i="1"/>
  <c r="O73" i="1"/>
  <c r="O76" i="1" s="1"/>
  <c r="O88" i="1" l="1"/>
  <c r="F56" i="1" l="1"/>
  <c r="F49" i="1"/>
  <c r="F51" i="1" s="1"/>
  <c r="F46" i="1"/>
  <c r="O91" i="1" l="1"/>
  <c r="O14" i="1" l="1"/>
  <c r="O95" i="1" s="1"/>
  <c r="O77" i="1"/>
  <c r="O80" i="1"/>
  <c r="O82" i="1"/>
  <c r="F57" i="1"/>
  <c r="F59" i="1" s="1"/>
  <c r="O78" i="1" s="1"/>
  <c r="O81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N85" i="1" l="1"/>
  <c r="N75" i="1"/>
  <c r="N84" i="1" l="1"/>
  <c r="N88" i="1"/>
  <c r="L75" i="1" l="1"/>
  <c r="M75" i="1"/>
  <c r="M84" i="1" s="1"/>
  <c r="L88" i="1"/>
  <c r="M85" i="1"/>
  <c r="M88" i="1" s="1"/>
  <c r="M76" i="1"/>
  <c r="L76" i="1"/>
  <c r="N73" i="1"/>
  <c r="N76" i="1" s="1"/>
  <c r="D56" i="1"/>
  <c r="D49" i="1"/>
  <c r="C49" i="1"/>
  <c r="E49" i="1"/>
  <c r="E56" i="1" l="1"/>
  <c r="L84" i="1"/>
  <c r="E45" i="1"/>
  <c r="E51" i="1" l="1"/>
  <c r="D51" i="1"/>
  <c r="C51" i="1"/>
  <c r="D46" i="1"/>
  <c r="E46" i="1"/>
  <c r="C34" i="1"/>
  <c r="C4" i="1"/>
  <c r="E14" i="1"/>
  <c r="F14" i="1" l="1"/>
  <c r="F25" i="1" l="1"/>
  <c r="E25" i="1"/>
  <c r="M91" i="1"/>
  <c r="B57" i="1" l="1"/>
  <c r="B59" i="1" s="1"/>
  <c r="N91" i="1" l="1"/>
  <c r="N69" i="1" l="1"/>
  <c r="N12" i="1"/>
  <c r="N83" i="1" l="1"/>
  <c r="N68" i="1"/>
  <c r="N94" i="1" s="1"/>
  <c r="N77" i="1"/>
  <c r="N14" i="1"/>
  <c r="N80" i="1"/>
  <c r="N15" i="1"/>
  <c r="N90" i="1"/>
  <c r="E57" i="1"/>
  <c r="E59" i="1" s="1"/>
  <c r="N78" i="1" s="1"/>
  <c r="N82" i="1"/>
  <c r="N57" i="1"/>
  <c r="L31" i="1"/>
  <c r="L69" i="1" s="1"/>
  <c r="L15" i="1" s="1"/>
  <c r="L95" i="1" s="1"/>
  <c r="M31" i="1"/>
  <c r="N81" i="1" l="1"/>
  <c r="N95" i="1"/>
  <c r="M69" i="1"/>
  <c r="M15" i="1" s="1"/>
  <c r="O89" i="1"/>
  <c r="M12" i="1"/>
  <c r="M68" i="1" s="1"/>
  <c r="L12" i="1"/>
  <c r="L90" i="1" s="1"/>
  <c r="M83" i="1" l="1"/>
  <c r="L83" i="1"/>
  <c r="L68" i="1"/>
  <c r="L94" i="1" s="1"/>
  <c r="F30" i="1"/>
  <c r="D29" i="1"/>
  <c r="E30" i="1"/>
  <c r="C57" i="1"/>
  <c r="C59" i="1" s="1"/>
  <c r="L78" i="1" s="1"/>
  <c r="D57" i="1"/>
  <c r="D59" i="1" s="1"/>
  <c r="M78" i="1" s="1"/>
  <c r="M90" i="1"/>
  <c r="L64" i="1"/>
  <c r="M14" i="1"/>
  <c r="M95" i="1" s="1"/>
  <c r="M94" i="1" l="1"/>
  <c r="M57" i="1"/>
  <c r="L80" i="1"/>
  <c r="M80" i="1"/>
  <c r="L82" i="1"/>
  <c r="M82" i="1"/>
  <c r="L77" i="1"/>
  <c r="M77" i="1"/>
  <c r="M81" i="1"/>
  <c r="N89" i="1"/>
  <c r="L81" i="1"/>
  <c r="L57" i="1"/>
  <c r="M89" i="1" l="1"/>
  <c r="L89" i="1"/>
</calcChain>
</file>

<file path=xl/comments1.xml><?xml version="1.0" encoding="utf-8"?>
<comments xmlns="http://schemas.openxmlformats.org/spreadsheetml/2006/main">
  <authors>
    <author>Admin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<sst xmlns="http://schemas.openxmlformats.org/spreadsheetml/2006/main" count="232" uniqueCount="161">
  <si>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</si>
  <si>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</si>
  <si>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</si>
  <si>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</si>
  <si>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</si>
  <si>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</si>
  <si>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</si>
  <si>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</si>
  <si>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</si>
  <si>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</si>
  <si>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</si>
  <si>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</si>
  <si>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CURRENT ASSETS, LOANS &amp; ADVANCES</t>
  </si>
  <si>
    <t>Inventories</t>
  </si>
  <si>
    <t>Trade Receivable</t>
  </si>
  <si>
    <t>Investments</t>
  </si>
  <si>
    <t>Cash and cash equivalents</t>
  </si>
  <si>
    <t>Other Current Assets</t>
  </si>
  <si>
    <t>CURRENT LIABILITIES &amp; PROVISIONS</t>
  </si>
  <si>
    <t>Trade Payables</t>
  </si>
  <si>
    <t>NET CURRENT ASSETS</t>
  </si>
  <si>
    <t>Deferred Tax Liability (Net)</t>
  </si>
  <si>
    <t>TOTAL ASSETS</t>
  </si>
  <si>
    <t>TOTAL LIABILITIES</t>
  </si>
  <si>
    <t>Total Loans</t>
  </si>
  <si>
    <t>Capital Employed (Asset)</t>
  </si>
  <si>
    <t>Capital Employed (Liabilities)</t>
  </si>
  <si>
    <t>Loans</t>
  </si>
  <si>
    <t>Provisions</t>
  </si>
  <si>
    <t>Other Financial Liabilities</t>
  </si>
  <si>
    <t>Other Current Liabilities</t>
  </si>
  <si>
    <t>Check I</t>
  </si>
  <si>
    <t>Check II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</si>
  <si>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</si>
  <si>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</si>
  <si>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</si>
  <si>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</si>
  <si>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</si>
  <si>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</si>
  <si>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</si>
  <si>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</si>
  <si>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</si>
  <si>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</si>
  <si>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</si>
  <si>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</si>
  <si>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</si>
  <si>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</si>
  <si>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</si>
  <si>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</si>
  <si>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</si>
  <si>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</si>
  <si>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</si>
  <si>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</si>
  <si>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</si>
  <si>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</si>
  <si>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</si>
  <si>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</si>
  <si>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</si>
  <si>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</si>
  <si>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</si>
  <si>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</si>
  <si>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</si>
  <si>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</si>
  <si>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</si>
  <si>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</si>
  <si>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</si>
  <si>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</si>
  <si>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</si>
  <si>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</si>
  <si>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</si>
  <si>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</si>
  <si>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</si>
  <si>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</si>
  <si>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</si>
  <si>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</si>
  <si>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</si>
  <si>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</si>
  <si>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</si>
  <si>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</si>
  <si>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</si>
  <si>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</si>
  <si>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</si>
  <si>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</si>
  <si>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</si>
  <si>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</si>
  <si>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</si>
  <si>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</si>
  <si>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</si>
  <si>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</si>
  <si>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</si>
  <si>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</si>
  <si>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</si>
  <si>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</si>
  <si>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</si>
  <si>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</si>
  <si>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</si>
  <si>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</si>
  <si>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</si>
  <si>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</si>
  <si>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</si>
  <si>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</si>
  <si>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</si>
  <si>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</si>
  <si>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</si>
  <si>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</si>
  <si>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</si>
  <si>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</si>
  <si>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</si>
  <si>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</si>
  <si>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</si>
  <si>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</si>
  <si>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</si>
  <si>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</si>
  <si>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</si>
  <si>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</si>
  <si>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</si>
  <si>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</si>
  <si>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</si>
  <si>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</si>
  <si>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</si>
  <si>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</si>
  <si>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</si>
  <si>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</si>
  <si>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</si>
  <si>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</si>
  <si>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</si>
  <si>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</si>
  <si>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</si>
  <si>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</si>
  <si>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</si>
  <si>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</si>
  <si>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</si>
  <si>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</si>
  <si>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</si>
  <si>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</si>
  <si>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FY23</t>
  </si>
  <si>
    <t>Expenses</t>
  </si>
  <si>
    <t>Depreciation and amortization expense</t>
  </si>
  <si>
    <t>Deferred Tax Assets (net)</t>
  </si>
  <si>
    <t>Arihant Superstructures Ltd.</t>
  </si>
  <si>
    <t>Cost of construction, land and development expenses</t>
  </si>
  <si>
    <t>Changes in inventories of finished goods, WIP, stock In trade</t>
  </si>
  <si>
    <t xml:space="preserve">Non Controlling interest </t>
  </si>
  <si>
    <t>-</t>
  </si>
  <si>
    <t>Reserves and surplus</t>
  </si>
  <si>
    <t>Non- Controlling interest</t>
  </si>
  <si>
    <t>Intangible Assets</t>
  </si>
  <si>
    <t>Investment in property</t>
  </si>
  <si>
    <t>Other Financial Assets</t>
  </si>
  <si>
    <t>Land</t>
  </si>
  <si>
    <t>Current Tax Assets (Net)</t>
  </si>
  <si>
    <t>Advance from customers</t>
  </si>
  <si>
    <t>Current tax liablities</t>
  </si>
  <si>
    <t xml:space="preserve"> FY 23</t>
  </si>
  <si>
    <t xml:space="preserve">Other Fianancial Liabilities </t>
  </si>
  <si>
    <t>FY24</t>
  </si>
  <si>
    <t>Provision</t>
  </si>
  <si>
    <t>NA</t>
  </si>
  <si>
    <t>TTM EPS</t>
  </si>
  <si>
    <t>TTB Based EPS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</si>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</sst>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00_ ;_ * \-#,##0.0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2" fillId="0" borderId="0" xfId="1" applyFont="1" applyFill="1" applyBorder="1"/>
    <xf numFmtId="43" fontId="0" fillId="0" borderId="0" xfId="1" applyFont="1" applyFill="1" applyBorder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9" xfId="0" applyFill="1" applyBorder="1"/>
    <xf numFmtId="43" fontId="0" fillId="6" borderId="10" xfId="1" applyFont="1" applyFill="1" applyBorder="1"/>
    <xf numFmtId="0" fontId="2" fillId="4" borderId="7" xfId="0" applyFont="1" applyFill="1" applyBorder="1"/>
    <xf numFmtId="0" fontId="2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2" fillId="4" borderId="9" xfId="0" applyFont="1" applyFill="1" applyBorder="1"/>
    <xf numFmtId="43" fontId="2" fillId="4" borderId="10" xfId="1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43" fontId="7" fillId="6" borderId="0" xfId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0" fillId="5" borderId="7" xfId="0" applyFill="1" applyBorder="1"/>
    <xf numFmtId="0" fontId="11" fillId="6" borderId="7" xfId="0" applyFont="1" applyFill="1" applyBorder="1"/>
    <xf numFmtId="43" fontId="11" fillId="6" borderId="0" xfId="1" applyFont="1" applyFill="1" applyBorder="1"/>
    <xf numFmtId="165" fontId="6" fillId="6" borderId="0" xfId="2" applyNumberFormat="1" applyFont="1" applyFill="1" applyBorder="1" applyAlignment="1">
      <alignment horizontal="center"/>
    </xf>
    <xf numFmtId="0" fontId="12" fillId="0" borderId="7" xfId="0" applyFont="1" applyBorder="1"/>
    <xf numFmtId="43" fontId="12" fillId="0" borderId="0" xfId="1" applyFont="1" applyFill="1" applyBorder="1"/>
    <xf numFmtId="2" fontId="12" fillId="0" borderId="0" xfId="2" applyNumberFormat="1" applyFont="1" applyFill="1" applyBorder="1"/>
    <xf numFmtId="43" fontId="15" fillId="0" borderId="0" xfId="1" applyFont="1" applyBorder="1"/>
    <xf numFmtId="43" fontId="5" fillId="0" borderId="0" xfId="1" applyFont="1" applyBorder="1"/>
    <xf numFmtId="165" fontId="17" fillId="6" borderId="0" xfId="2" applyNumberFormat="1" applyFont="1" applyFill="1" applyBorder="1"/>
    <xf numFmtId="43" fontId="18" fillId="4" borderId="0" xfId="1" applyFont="1" applyFill="1" applyBorder="1"/>
    <xf numFmtId="43" fontId="18" fillId="6" borderId="0" xfId="1" applyFont="1" applyFill="1" applyBorder="1"/>
    <xf numFmtId="2" fontId="17" fillId="0" borderId="0" xfId="2" applyNumberFormat="1" applyFont="1" applyFill="1" applyBorder="1"/>
    <xf numFmtId="43" fontId="18" fillId="0" borderId="1" xfId="1" applyFont="1" applyBorder="1"/>
    <xf numFmtId="43" fontId="5" fillId="0" borderId="0" xfId="1" applyFont="1" applyFill="1" applyBorder="1"/>
    <xf numFmtId="43" fontId="5" fillId="0" borderId="0" xfId="1" applyFont="1" applyBorder="1" applyAlignment="1">
      <alignment horizontal="right"/>
    </xf>
    <xf numFmtId="43" fontId="15" fillId="0" borderId="2" xfId="1" applyFont="1" applyBorder="1"/>
    <xf numFmtId="43" fontId="16" fillId="0" borderId="0" xfId="1" applyFont="1" applyFill="1" applyBorder="1"/>
    <xf numFmtId="43" fontId="16" fillId="0" borderId="0" xfId="1" applyFont="1" applyBorder="1"/>
    <xf numFmtId="43" fontId="5" fillId="0" borderId="2" xfId="1" applyFont="1" applyBorder="1"/>
    <xf numFmtId="43" fontId="1" fillId="0" borderId="0" xfId="1" applyFont="1" applyBorder="1"/>
    <xf numFmtId="43" fontId="18" fillId="0" borderId="0" xfId="1" applyFont="1" applyBorder="1"/>
    <xf numFmtId="43" fontId="18" fillId="4" borderId="10" xfId="1" applyFont="1" applyFill="1" applyBorder="1"/>
    <xf numFmtId="10" fontId="6" fillId="0" borderId="0" xfId="2" applyNumberFormat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43" fontId="5" fillId="6" borderId="0" xfId="1" applyFont="1" applyFill="1" applyBorder="1"/>
    <xf numFmtId="43" fontId="5" fillId="8" borderId="0" xfId="1" applyFont="1" applyFill="1" applyBorder="1"/>
    <xf numFmtId="165" fontId="6" fillId="9" borderId="0" xfId="2" applyNumberFormat="1" applyFont="1" applyFill="1" applyBorder="1"/>
    <xf numFmtId="43" fontId="0" fillId="6" borderId="8" xfId="1" applyFont="1" applyFill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0" fontId="2" fillId="4" borderId="4" xfId="0" applyFont="1" applyFill="1" applyBorder="1"/>
    <xf numFmtId="43" fontId="18" fillId="4" borderId="5" xfId="1" applyFont="1" applyFill="1" applyBorder="1"/>
    <xf numFmtId="43" fontId="2" fillId="4" borderId="5" xfId="1" applyFont="1" applyFill="1" applyBorder="1"/>
    <xf numFmtId="43" fontId="18" fillId="4" borderId="12" xfId="1" applyFont="1" applyFill="1" applyBorder="1"/>
    <xf numFmtId="0" fontId="2" fillId="4" borderId="13" xfId="0" applyFont="1" applyFill="1" applyBorder="1" applyAlignment="1">
      <alignment horizontal="left"/>
    </xf>
    <xf numFmtId="43" fontId="2" fillId="4" borderId="14" xfId="1" applyFont="1" applyFill="1" applyBorder="1"/>
    <xf numFmtId="43" fontId="18" fillId="4" borderId="14" xfId="1" applyFont="1" applyFill="1" applyBorder="1"/>
    <xf numFmtId="0" fontId="0" fillId="3" borderId="13" xfId="0" applyFill="1" applyBorder="1"/>
    <xf numFmtId="0" fontId="0" fillId="3" borderId="14" xfId="0" applyFill="1" applyBorder="1" applyAlignment="1">
      <alignment horizontal="center"/>
    </xf>
    <xf numFmtId="43" fontId="18" fillId="0" borderId="0" xfId="1" applyFont="1" applyFill="1" applyBorder="1"/>
    <xf numFmtId="0" fontId="0" fillId="5" borderId="13" xfId="0" applyFill="1" applyBorder="1"/>
    <xf numFmtId="43" fontId="1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18" fillId="9" borderId="0" xfId="1" applyFont="1" applyFill="1" applyBorder="1"/>
    <xf numFmtId="43" fontId="19" fillId="6" borderId="0" xfId="1" applyFont="1" applyFill="1" applyBorder="1"/>
    <xf numFmtId="2" fontId="2" fillId="0" borderId="0" xfId="0" applyNumberFormat="1" applyFont="1"/>
    <xf numFmtId="0" fontId="5" fillId="0" borderId="0" xfId="0" applyFont="1"/>
    <xf numFmtId="0" fontId="6" fillId="6" borderId="9" xfId="0" applyFont="1" applyFill="1" applyBorder="1"/>
    <xf numFmtId="43" fontId="6" fillId="6" borderId="10" xfId="1" applyFont="1" applyFill="1" applyBorder="1"/>
    <xf numFmtId="165" fontId="6" fillId="6" borderId="10" xfId="2" applyNumberFormat="1" applyFont="1" applyFill="1" applyBorder="1"/>
    <xf numFmtId="165" fontId="17" fillId="6" borderId="10" xfId="2" applyNumberFormat="1" applyFont="1" applyFill="1" applyBorder="1"/>
    <xf numFmtId="10" fontId="6" fillId="9" borderId="0" xfId="2" applyNumberFormat="1" applyFont="1" applyFill="1" applyBorder="1"/>
    <xf numFmtId="43" fontId="0" fillId="0" borderId="15" xfId="1" applyFont="1" applyFill="1" applyBorder="1"/>
    <xf numFmtId="43" fontId="1" fillId="0" borderId="15" xfId="1" applyFont="1" applyFill="1" applyBorder="1"/>
    <xf numFmtId="164" fontId="0" fillId="0" borderId="0" xfId="0" applyNumberFormat="1"/>
    <xf numFmtId="0" fontId="0" fillId="3" borderId="11" xfId="0" applyFill="1" applyBorder="1" applyAlignment="1">
      <alignment horizontal="center"/>
    </xf>
    <xf numFmtId="0" fontId="0" fillId="0" borderId="10" xfId="0" applyBorder="1"/>
    <xf numFmtId="43" fontId="18" fillId="0" borderId="16" xfId="1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165" fontId="6" fillId="0" borderId="15" xfId="2" applyNumberFormat="1" applyFont="1" applyFill="1" applyBorder="1"/>
    <xf numFmtId="43" fontId="0" fillId="0" borderId="15" xfId="1" applyFont="1" applyFill="1" applyBorder="1" applyAlignment="1">
      <alignment horizontal="center"/>
    </xf>
    <xf numFmtId="43" fontId="2" fillId="0" borderId="15" xfId="1" applyFont="1" applyFill="1" applyBorder="1"/>
    <xf numFmtId="10" fontId="6" fillId="0" borderId="15" xfId="2" applyNumberFormat="1" applyFont="1" applyFill="1" applyBorder="1"/>
    <xf numFmtId="43" fontId="2" fillId="0" borderId="15" xfId="1" applyFont="1" applyFill="1" applyBorder="1" applyAlignment="1">
      <alignment horizontal="center"/>
    </xf>
    <xf numFmtId="43" fontId="0" fillId="6" borderId="8" xfId="1" applyFont="1" applyFill="1" applyBorder="1"/>
    <xf numFmtId="43" fontId="0" fillId="0" borderId="8" xfId="1" applyFont="1" applyBorder="1" applyAlignment="1">
      <alignment horizontal="right"/>
    </xf>
    <xf numFmtId="0" fontId="0" fillId="3" borderId="17" xfId="0" applyFill="1" applyBorder="1" applyAlignment="1">
      <alignment horizontal="center"/>
    </xf>
    <xf numFmtId="43" fontId="0" fillId="0" borderId="8" xfId="1" applyFont="1" applyFill="1" applyBorder="1"/>
    <xf numFmtId="43" fontId="18" fillId="4" borderId="13" xfId="1" applyFont="1" applyFill="1" applyBorder="1"/>
    <xf numFmtId="43" fontId="18" fillId="4" borderId="17" xfId="1" applyFont="1" applyFill="1" applyBorder="1"/>
    <xf numFmtId="43" fontId="0" fillId="0" borderId="8" xfId="1" applyFont="1" applyBorder="1"/>
    <xf numFmtId="43" fontId="15" fillId="0" borderId="8" xfId="1" applyFont="1" applyBorder="1"/>
    <xf numFmtId="0" fontId="2" fillId="4" borderId="13" xfId="0" applyFont="1" applyFill="1" applyBorder="1"/>
    <xf numFmtId="43" fontId="18" fillId="4" borderId="18" xfId="1" applyFont="1" applyFill="1" applyBorder="1"/>
    <xf numFmtId="43" fontId="18" fillId="4" borderId="11" xfId="1" applyFont="1" applyFill="1" applyBorder="1"/>
    <xf numFmtId="0" fontId="4" fillId="0" borderId="7" xfId="0" applyFont="1" applyBorder="1"/>
    <xf numFmtId="0" fontId="0" fillId="0" borderId="0" xfId="0" applyBorder="1"/>
    <xf numFmtId="169" fontId="0" fillId="0" borderId="0" xfId="0" applyNumberFormat="1" applyBorder="1"/>
    <xf numFmtId="169" fontId="0" fillId="0" borderId="8" xfId="0" applyNumberFormat="1" applyBorder="1"/>
    <xf numFmtId="43" fontId="2" fillId="4" borderId="17" xfId="1" applyFont="1" applyFill="1" applyBorder="1"/>
    <xf numFmtId="43" fontId="16" fillId="0" borderId="8" xfId="1" applyFont="1" applyFill="1" applyBorder="1"/>
    <xf numFmtId="43" fontId="5" fillId="0" borderId="8" xfId="1" applyFont="1" applyBorder="1"/>
    <xf numFmtId="43" fontId="1" fillId="0" borderId="8" xfId="1" applyFont="1" applyFill="1" applyBorder="1"/>
    <xf numFmtId="43" fontId="18" fillId="4" borderId="19" xfId="1" applyFont="1" applyFill="1" applyBorder="1"/>
    <xf numFmtId="43" fontId="2" fillId="4" borderId="11" xfId="1" applyFont="1" applyFill="1" applyBorder="1"/>
    <xf numFmtId="43" fontId="1" fillId="0" borderId="8" xfId="1" applyFont="1" applyBorder="1"/>
    <xf numFmtId="43" fontId="16" fillId="0" borderId="8" xfId="1" applyFont="1" applyBorder="1"/>
    <xf numFmtId="43" fontId="2" fillId="4" borderId="18" xfId="1" applyFont="1" applyFill="1" applyBorder="1"/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3" fontId="5" fillId="0" borderId="8" xfId="1" applyFont="1" applyFill="1" applyBorder="1"/>
    <xf numFmtId="2" fontId="11" fillId="6" borderId="0" xfId="0" applyNumberFormat="1" applyFont="1" applyFill="1" applyBorder="1"/>
    <xf numFmtId="2" fontId="11" fillId="6" borderId="8" xfId="0" applyNumberFormat="1" applyFont="1" applyFill="1" applyBorder="1"/>
    <xf numFmtId="2" fontId="2" fillId="4" borderId="0" xfId="0" applyNumberFormat="1" applyFont="1" applyFill="1" applyBorder="1"/>
    <xf numFmtId="2" fontId="2" fillId="4" borderId="8" xfId="0" applyNumberFormat="1" applyFont="1" applyFill="1" applyBorder="1"/>
    <xf numFmtId="0" fontId="15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3" borderId="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3" fontId="5" fillId="12" borderId="8" xfId="1" applyFont="1" applyFill="1" applyBorder="1"/>
    <xf numFmtId="43" fontId="5" fillId="6" borderId="8" xfId="1" applyFont="1" applyFill="1" applyBorder="1"/>
    <xf numFmtId="43" fontId="0" fillId="0" borderId="0" xfId="1" applyFont="1" applyFill="1" applyBorder="1" applyAlignment="1">
      <alignment horizontal="right"/>
    </xf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0">
    <cellStyle name="Comma" xfId="1" builtinId="3"/>
    <cellStyle name="Comma 2" xfId="3"/>
    <cellStyle name="Comma 2 2" xfId="4"/>
    <cellStyle name="Comma 2 2 2" xfId="8"/>
    <cellStyle name="Comma 2 3" xfId="7"/>
    <cellStyle name="Comma 3" xfId="5"/>
    <cellStyle name="Comma 3 2" xfId="9"/>
    <cellStyle name="Comma 4" xf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40625" defaultRowHeight="15" x14ac:dyDescent="0.25"/>
  <cols>
    <col min="1" max="1" width="25.42578125" style="11" customWidth="1"/>
    <col min="2" max="3" width="14.7109375" style="11" customWidth="1"/>
    <col min="4" max="5" width="14.7109375" style="12" customWidth="1"/>
    <col min="6" max="7" width="14.7109375" style="11" customWidth="1"/>
    <col min="8" max="16384" width="9.140625" style="11"/>
  </cols>
  <sheetData>
    <row r="1" spans="1:7" s="5" customFormat="1" ht="18.75" x14ac:dyDescent="0.25">
      <c r="A1" s="182" t="s">
        <v>131</v>
      </c>
      <c r="B1" s="183"/>
      <c r="C1" s="183"/>
      <c r="D1" s="183"/>
      <c r="E1" s="183"/>
      <c r="F1" s="184"/>
      <c r="G1" s="48"/>
    </row>
    <row r="2" spans="1:7" s="46" customFormat="1" x14ac:dyDescent="0.25">
      <c r="A2" s="185" t="s">
        <v>130</v>
      </c>
      <c r="B2" s="49" t="s">
        <v>93</v>
      </c>
      <c r="C2" s="49" t="s">
        <v>94</v>
      </c>
      <c r="D2" s="49" t="s">
        <v>95</v>
      </c>
      <c r="E2" s="49" t="s">
        <v>96</v>
      </c>
      <c r="F2" s="49" t="s">
        <v>97</v>
      </c>
      <c r="G2" s="49" t="s">
        <v>98</v>
      </c>
    </row>
    <row r="3" spans="1:7" s="46" customFormat="1" ht="15.75" x14ac:dyDescent="0.25">
      <c r="A3" s="185"/>
      <c r="B3" s="47" t="s">
        <v>132</v>
      </c>
      <c r="C3" s="47" t="s">
        <v>132</v>
      </c>
      <c r="D3" s="47" t="s">
        <v>132</v>
      </c>
      <c r="E3" s="47" t="s">
        <v>132</v>
      </c>
      <c r="F3" s="47" t="s">
        <v>132</v>
      </c>
      <c r="G3" s="47" t="s">
        <v>132</v>
      </c>
    </row>
    <row r="4" spans="1:7" ht="15.75" x14ac:dyDescent="0.25">
      <c r="A4" s="19" t="s">
        <v>129</v>
      </c>
      <c r="B4" s="45"/>
      <c r="C4" s="44"/>
      <c r="D4" s="43"/>
      <c r="E4" s="43"/>
      <c r="F4" s="43"/>
      <c r="G4" s="43"/>
    </row>
    <row r="5" spans="1:7" x14ac:dyDescent="0.25">
      <c r="A5" s="19" t="s">
        <v>92</v>
      </c>
      <c r="B5" s="6"/>
      <c r="C5" s="14"/>
      <c r="D5" s="21"/>
      <c r="E5" s="21"/>
      <c r="F5" s="21"/>
      <c r="G5" s="21"/>
    </row>
    <row r="6" spans="1:7" x14ac:dyDescent="0.25">
      <c r="A6" s="14" t="s">
        <v>128</v>
      </c>
      <c r="B6" s="42" t="e">
        <f>#REF!*10</f>
        <v>#REF!</v>
      </c>
      <c r="C6" s="41">
        <f>'[1]Peer Analysis working '!C5*10</f>
        <v>49222</v>
      </c>
      <c r="D6" s="41">
        <f>'[1]Peer Analysis working '!D5*10</f>
        <v>67286</v>
      </c>
      <c r="E6" s="41">
        <f>'[1]Peer Analysis working '!E5*10</f>
        <v>56892</v>
      </c>
      <c r="F6" s="41">
        <f>'[1]Peer Analysis working '!F5*10</f>
        <v>442740</v>
      </c>
      <c r="G6" s="41"/>
    </row>
    <row r="7" spans="1:7" x14ac:dyDescent="0.25">
      <c r="A7" s="14" t="s">
        <v>125</v>
      </c>
      <c r="B7" s="37">
        <f>'[1]Peer Analysis working '!B7</f>
        <v>6.6957261377430521E-2</v>
      </c>
      <c r="C7" s="36">
        <f>'[1]Peer Analysis working '!C7</f>
        <v>1.7483450932637146E-2</v>
      </c>
      <c r="D7" s="36">
        <f>'[1]Peer Analysis working '!D7</f>
        <v>0.11395326030791875</v>
      </c>
      <c r="E7" s="36">
        <f>'[1]Peer Analysis working '!E7</f>
        <v>8.1957653928725893E-2</v>
      </c>
      <c r="F7" s="36">
        <f>'[1]Peer Analysis working '!F7</f>
        <v>7.2805272529955722E-2</v>
      </c>
      <c r="G7" s="36"/>
    </row>
    <row r="8" spans="1:7" s="24" customFormat="1" x14ac:dyDescent="0.25">
      <c r="A8" s="19" t="s">
        <v>39</v>
      </c>
      <c r="B8" s="40">
        <f>'[1]Peer Analysis working '!B12*10</f>
        <v>2337.6000000000022</v>
      </c>
      <c r="C8" s="39">
        <f>'[1]Peer Analysis working '!C12*10</f>
        <v>8747</v>
      </c>
      <c r="D8" s="39">
        <f>'[1]Peer Analysis working '!D12*10</f>
        <v>9330</v>
      </c>
      <c r="E8" s="39">
        <f>'[1]Peer Analysis working '!E12*10</f>
        <v>9779</v>
      </c>
      <c r="F8" s="39">
        <f>'[1]Peer Analysis working '!F12*10</f>
        <v>54890</v>
      </c>
      <c r="G8" s="39"/>
    </row>
    <row r="9" spans="1:7" x14ac:dyDescent="0.25">
      <c r="A9" s="14" t="s">
        <v>125</v>
      </c>
      <c r="B9" s="37">
        <f>'[1]Peer Analysis working '!B14</f>
        <v>0.27796799337795663</v>
      </c>
      <c r="C9" s="36">
        <f>'[1]Peer Analysis working '!C14</f>
        <v>0.20517447704828018</v>
      </c>
      <c r="D9" s="36">
        <f>'[1]Peer Analysis working '!D14</f>
        <v>0.33549630488669613</v>
      </c>
      <c r="E9" s="36">
        <f>'[1]Peer Analysis working '!E14</f>
        <v>-2.4487478418460316</v>
      </c>
      <c r="F9" s="36">
        <f>'[1]Peer Analysis working '!F14</f>
        <v>5.7989028682093879E-2</v>
      </c>
      <c r="G9" s="36"/>
    </row>
    <row r="10" spans="1:7" s="24" customFormat="1" x14ac:dyDescent="0.25">
      <c r="A10" s="19" t="s">
        <v>127</v>
      </c>
      <c r="B10" s="35" t="e">
        <f>+B8/B$6</f>
        <v>#REF!</v>
      </c>
      <c r="C10" s="35">
        <f>+C8/C$6</f>
        <v>0.17770509121937345</v>
      </c>
      <c r="D10" s="35">
        <f>+D8/D$6</f>
        <v>0.13866183158457926</v>
      </c>
      <c r="E10" s="35">
        <f>+E8/E$6</f>
        <v>0.17188708430007735</v>
      </c>
      <c r="F10" s="35">
        <f>+F8/F$6</f>
        <v>0.12397795545918598</v>
      </c>
      <c r="G10" s="35"/>
    </row>
    <row r="11" spans="1:7" s="24" customFormat="1" x14ac:dyDescent="0.25">
      <c r="A11" s="19" t="s">
        <v>126</v>
      </c>
      <c r="B11" s="33">
        <f>'[1]Peer Analysis working '!B25*10</f>
        <v>623.77000000000226</v>
      </c>
      <c r="C11" s="38">
        <f>'[1]Peer Analysis working '!C25*10</f>
        <v>7883</v>
      </c>
      <c r="D11" s="38">
        <f>'[1]Peer Analysis working '!D25*10</f>
        <v>2960</v>
      </c>
      <c r="E11" s="38">
        <f>'[1]Peer Analysis working '!E25*10</f>
        <v>997</v>
      </c>
      <c r="F11" s="38">
        <f>'[1]Peer Analysis working '!F25*10</f>
        <v>34510</v>
      </c>
      <c r="G11" s="38"/>
    </row>
    <row r="12" spans="1:7" x14ac:dyDescent="0.25">
      <c r="A12" s="14" t="s">
        <v>125</v>
      </c>
      <c r="B12" s="37">
        <f>'[1]Peer Analysis working '!B27</f>
        <v>0.15020466640116381</v>
      </c>
      <c r="C12" s="36">
        <f>'[1]Peer Analysis working '!C27</f>
        <v>-2.3617924740187757E-2</v>
      </c>
      <c r="D12" s="36">
        <f>'[1]Peer Analysis working '!D27</f>
        <v>0.2798301533370493</v>
      </c>
      <c r="E12" s="36">
        <f>'[1]Peer Analysis working '!E27</f>
        <v>-1.7739968460390942E-2</v>
      </c>
      <c r="F12" s="36">
        <f>'[1]Peer Analysis working '!F27</f>
        <v>1.3492351397157654E-2</v>
      </c>
      <c r="G12" s="36"/>
    </row>
    <row r="13" spans="1:7" x14ac:dyDescent="0.25">
      <c r="A13" s="19" t="s">
        <v>124</v>
      </c>
      <c r="B13" s="35" t="e">
        <f>+B11/B$6</f>
        <v>#REF!</v>
      </c>
      <c r="C13" s="34">
        <f>+C11/C$6</f>
        <v>0.1601519645686888</v>
      </c>
      <c r="D13" s="34">
        <f>+D11/D$6</f>
        <v>4.3991320631334901E-2</v>
      </c>
      <c r="E13" s="34">
        <f>+E11/E$6</f>
        <v>1.7524432257610911E-2</v>
      </c>
      <c r="F13" s="34">
        <f>+F11/F$6</f>
        <v>7.7946424538103631E-2</v>
      </c>
      <c r="G13" s="34"/>
    </row>
    <row r="14" spans="1:7" x14ac:dyDescent="0.25">
      <c r="A14" s="14" t="s">
        <v>47</v>
      </c>
      <c r="B14" s="15">
        <f>'[1]Peer Analysis working '!B29</f>
        <v>3.76</v>
      </c>
      <c r="C14" s="15">
        <f>'[1]Peer Analysis working '!C29</f>
        <v>52.21</v>
      </c>
      <c r="D14" s="15">
        <f>'[1]Peer Analysis working '!D29</f>
        <v>7.83</v>
      </c>
      <c r="E14" s="15">
        <f>'[1]Peer Analysis working '!E29</f>
        <v>3.26</v>
      </c>
      <c r="F14" s="15">
        <f>'[1]Peer Analysis working '!F29</f>
        <v>31.37</v>
      </c>
      <c r="G14" s="15"/>
    </row>
    <row r="15" spans="1:7" x14ac:dyDescent="0.25">
      <c r="A15" s="14"/>
      <c r="B15" s="6"/>
      <c r="C15" s="14"/>
      <c r="D15" s="21"/>
      <c r="E15" s="21"/>
      <c r="F15" s="14"/>
      <c r="G15" s="14"/>
    </row>
    <row r="16" spans="1:7" x14ac:dyDescent="0.25">
      <c r="A16" s="14"/>
      <c r="B16" s="6"/>
      <c r="C16" s="14"/>
      <c r="D16" s="21"/>
      <c r="E16" s="21"/>
      <c r="F16" s="14"/>
      <c r="G16" s="14"/>
    </row>
    <row r="17" spans="1:7" x14ac:dyDescent="0.25">
      <c r="A17" s="19" t="s">
        <v>123</v>
      </c>
      <c r="B17" s="20"/>
      <c r="C17" s="19"/>
      <c r="D17" s="19"/>
      <c r="E17" s="19"/>
      <c r="F17" s="19"/>
      <c r="G17" s="19"/>
    </row>
    <row r="18" spans="1:7" s="24" customFormat="1" x14ac:dyDescent="0.25">
      <c r="A18" s="19" t="s">
        <v>122</v>
      </c>
      <c r="B18" s="33">
        <f>'[1]Peer Analysis working '!I5*10</f>
        <v>6806.94</v>
      </c>
      <c r="C18" s="33">
        <f>'[1]Peer Analysis working '!J5*10</f>
        <v>47546</v>
      </c>
      <c r="D18" s="33">
        <f>'[1]Peer Analysis working '!K5*10</f>
        <v>31513</v>
      </c>
      <c r="E18" s="33">
        <f>'[1]Peer Analysis working '!L5*10</f>
        <v>60583</v>
      </c>
      <c r="F18" s="33">
        <f>'[1]Peer Analysis working '!M5*10</f>
        <v>256090</v>
      </c>
      <c r="G18" s="33"/>
    </row>
    <row r="19" spans="1:7" s="24" customFormat="1" x14ac:dyDescent="0.25">
      <c r="A19" s="19" t="s">
        <v>65</v>
      </c>
      <c r="B19" s="33">
        <f>SUM(B20:B21)</f>
        <v>1806.12</v>
      </c>
      <c r="C19" s="33">
        <f>SUM(C20:C21)</f>
        <v>0</v>
      </c>
      <c r="D19" s="33">
        <f>SUM(D20:D21)</f>
        <v>12219</v>
      </c>
      <c r="E19" s="33">
        <f>SUM(E20:E21)</f>
        <v>9292</v>
      </c>
      <c r="F19" s="33">
        <f>SUM(F20:F21)</f>
        <v>37380</v>
      </c>
      <c r="G19" s="33"/>
    </row>
    <row r="20" spans="1:7" x14ac:dyDescent="0.25">
      <c r="A20" s="32" t="s">
        <v>121</v>
      </c>
      <c r="B20" s="15">
        <f>'[1]Peer Analysis working '!I6*10</f>
        <v>0</v>
      </c>
      <c r="C20" s="15">
        <f>'[1]Peer Analysis working '!J6*10</f>
        <v>0</v>
      </c>
      <c r="D20" s="15">
        <f>'[1]Peer Analysis working '!K6*10</f>
        <v>3893</v>
      </c>
      <c r="E20" s="15">
        <f>'[1]Peer Analysis working '!L6*10</f>
        <v>667</v>
      </c>
      <c r="F20" s="15">
        <f>'[1]Peer Analysis working '!M6*10</f>
        <v>8590</v>
      </c>
      <c r="G20" s="15"/>
    </row>
    <row r="21" spans="1:7" x14ac:dyDescent="0.25">
      <c r="A21" s="32" t="s">
        <v>120</v>
      </c>
      <c r="B21" s="15">
        <f>'[1]Peer Analysis working '!I7*10</f>
        <v>1806.12</v>
      </c>
      <c r="C21" s="15">
        <f>'[1]Peer Analysis working '!J7*10</f>
        <v>0</v>
      </c>
      <c r="D21" s="15">
        <f>'[1]Peer Analysis working '!K7*10</f>
        <v>8326</v>
      </c>
      <c r="E21" s="15">
        <f>'[1]Peer Analysis working '!L7*10</f>
        <v>8625</v>
      </c>
      <c r="F21" s="15">
        <f>'[1]Peer Analysis working '!M7*10</f>
        <v>28790</v>
      </c>
      <c r="G21" s="15"/>
    </row>
    <row r="22" spans="1:7" x14ac:dyDescent="0.25">
      <c r="A22" s="14"/>
      <c r="B22" s="6"/>
      <c r="C22" s="14"/>
      <c r="D22" s="21"/>
      <c r="E22" s="21"/>
      <c r="F22" s="14"/>
      <c r="G22" s="14"/>
    </row>
    <row r="23" spans="1:7" x14ac:dyDescent="0.25">
      <c r="A23" s="19" t="s">
        <v>119</v>
      </c>
      <c r="B23" s="20"/>
      <c r="C23" s="19"/>
      <c r="D23" s="19"/>
      <c r="E23" s="19"/>
      <c r="F23" s="19"/>
      <c r="G23" s="19"/>
    </row>
    <row r="24" spans="1:7" x14ac:dyDescent="0.25">
      <c r="A24" s="30" t="s">
        <v>118</v>
      </c>
      <c r="B24" s="31"/>
      <c r="C24" s="14"/>
      <c r="D24" s="14"/>
      <c r="E24" s="14"/>
      <c r="F24" s="14"/>
      <c r="G24" s="14"/>
    </row>
    <row r="25" spans="1:7" x14ac:dyDescent="0.25">
      <c r="A25" s="30" t="s">
        <v>63</v>
      </c>
      <c r="B25" s="29"/>
      <c r="C25" s="14"/>
      <c r="D25" s="14"/>
      <c r="E25" s="14"/>
      <c r="F25" s="14"/>
      <c r="G25" s="14"/>
    </row>
    <row r="26" spans="1:7" s="5" customFormat="1" x14ac:dyDescent="0.25">
      <c r="A26" s="6"/>
      <c r="B26" s="6"/>
      <c r="C26" s="6"/>
      <c r="D26" s="28"/>
      <c r="E26" s="28"/>
      <c r="F26" s="28"/>
      <c r="G26" s="28"/>
    </row>
    <row r="27" spans="1:7" s="5" customFormat="1" x14ac:dyDescent="0.25">
      <c r="A27" s="6" t="s">
        <v>64</v>
      </c>
      <c r="B27" s="27">
        <f>'[1]Peer Analysis working '!I27</f>
        <v>16042570</v>
      </c>
      <c r="C27" s="27">
        <f>'[1]Peer Analysis working '!J27</f>
        <v>15050871</v>
      </c>
      <c r="D27" s="27">
        <f>'[1]Peer Analysis working '!K27</f>
        <v>37759530</v>
      </c>
      <c r="E27" s="27">
        <f>'[1]Peer Analysis working '!L27</f>
        <v>30603181</v>
      </c>
      <c r="F27" s="27">
        <f>'[1]Peer Analysis working '!M27</f>
        <v>109971221</v>
      </c>
      <c r="G27" s="27"/>
    </row>
    <row r="28" spans="1:7" s="24" customFormat="1" x14ac:dyDescent="0.25">
      <c r="A28" s="19" t="s">
        <v>99</v>
      </c>
      <c r="B28" s="26">
        <f>'[1]Peer Analysis working '!I28*10</f>
        <v>705.87307999999996</v>
      </c>
      <c r="C28" s="25">
        <f>'[1]Peer Analysis working '!J28*10</f>
        <v>5698.2597605999999</v>
      </c>
      <c r="D28" s="25">
        <f>'[1]Peer Analysis working '!K28*10</f>
        <v>1049.7149340000001</v>
      </c>
      <c r="E28" s="25">
        <f>'[1]Peer Analysis working '!L28*10</f>
        <v>2209.5496682000003</v>
      </c>
      <c r="F28" s="25">
        <f>'[1]Peer Analysis working '!M28*10</f>
        <v>25254.89090265</v>
      </c>
      <c r="G28" s="25"/>
    </row>
    <row r="29" spans="1:7" s="24" customFormat="1" x14ac:dyDescent="0.25">
      <c r="A29" s="19" t="s">
        <v>68</v>
      </c>
      <c r="B29" s="26">
        <f>'[1]Peer Analysis working '!I31*10</f>
        <v>297.57307999999966</v>
      </c>
      <c r="C29" s="25">
        <f>'[1]Peer Analysis working '!J31*10</f>
        <v>3873.2597605999999</v>
      </c>
      <c r="D29" s="25">
        <f>'[1]Peer Analysis working '!K31*10</f>
        <v>6252.7149340000014</v>
      </c>
      <c r="E29" s="25">
        <f>'[1]Peer Analysis working '!L31*10</f>
        <v>9985.5496681999994</v>
      </c>
      <c r="F29" s="25">
        <f>'[1]Peer Analysis working '!M31*10</f>
        <v>-32545.109097349996</v>
      </c>
      <c r="G29" s="25"/>
    </row>
    <row r="30" spans="1:7" x14ac:dyDescent="0.25">
      <c r="A30" s="14"/>
      <c r="B30" s="6"/>
      <c r="C30" s="14"/>
      <c r="D30" s="21"/>
      <c r="E30" s="14"/>
      <c r="F30" s="14"/>
      <c r="G30" s="14"/>
    </row>
    <row r="31" spans="1:7" x14ac:dyDescent="0.25">
      <c r="A31" s="14" t="s">
        <v>117</v>
      </c>
      <c r="B31" s="16">
        <f>'[1]Peer Analysis working '!I35</f>
        <v>11.702127659574469</v>
      </c>
      <c r="C31" s="16">
        <f>'[1]Peer Analysis working '!J35</f>
        <v>7.2514843899636086</v>
      </c>
      <c r="D31" s="16">
        <f>'[1]Peer Analysis working '!K35</f>
        <v>3.5504469987228608</v>
      </c>
      <c r="E31" s="16">
        <f>'[1]Peer Analysis working '!L35</f>
        <v>22.147239263803684</v>
      </c>
      <c r="F31" s="16">
        <f>'[1]Peer Analysis working '!M35</f>
        <v>7.3206885559451704</v>
      </c>
      <c r="G31" s="16"/>
    </row>
    <row r="32" spans="1:7" x14ac:dyDescent="0.25">
      <c r="A32" s="14" t="s">
        <v>80</v>
      </c>
      <c r="B32" s="23">
        <f>'[1]Peer Analysis working '!I44</f>
        <v>3.4090909090909088E-2</v>
      </c>
      <c r="C32" s="22">
        <f>'[1]Peer Analysis working '!J44</f>
        <v>0.10565240359218171</v>
      </c>
      <c r="D32" s="22">
        <f>'[1]Peer Analysis working '!K44</f>
        <v>0</v>
      </c>
      <c r="E32" s="22">
        <f>'[1]Peer Analysis working '!L44</f>
        <v>0</v>
      </c>
      <c r="F32" s="22">
        <f>'[1]Peer Analysis working '!M44</f>
        <v>6.531678641410843E-2</v>
      </c>
      <c r="G32" s="22"/>
    </row>
    <row r="33" spans="1:7" x14ac:dyDescent="0.25">
      <c r="A33" s="14" t="s">
        <v>116</v>
      </c>
      <c r="B33" s="16">
        <f>'[1]Peer Analysis working '!I36</f>
        <v>0.10369903069514348</v>
      </c>
      <c r="C33" s="16">
        <f>'[1]Peer Analysis working '!J36</f>
        <v>0.11984730073192279</v>
      </c>
      <c r="D33" s="16">
        <f>'[1]Peer Analysis working '!K36</f>
        <v>3.3310536413543618E-2</v>
      </c>
      <c r="E33" s="16">
        <f>'[1]Peer Analysis working '!L36</f>
        <v>3.6471446910849581E-2</v>
      </c>
      <c r="F33" s="16">
        <f>'[1]Peer Analysis working '!M36</f>
        <v>9.8617247462415569E-2</v>
      </c>
      <c r="G33" s="16"/>
    </row>
    <row r="34" spans="1:7" x14ac:dyDescent="0.25">
      <c r="A34" s="14" t="s">
        <v>115</v>
      </c>
      <c r="B34" s="16">
        <f>'[1]Peer Analysis working '!I37</f>
        <v>0.12729854551676908</v>
      </c>
      <c r="C34" s="16">
        <f>'[1]Peer Analysis working '!J37</f>
        <v>0.44281007895278379</v>
      </c>
      <c r="D34" s="16">
        <f>'[1]Peer Analysis working '!K37</f>
        <v>0.67017309046087903</v>
      </c>
      <c r="E34" s="16">
        <f>'[1]Peer Analysis working '!L37</f>
        <v>1.021121757664383</v>
      </c>
      <c r="F34" s="16">
        <f>'[1]Peer Analysis working '!M37</f>
        <v>-0.59291508648843139</v>
      </c>
      <c r="G34" s="16"/>
    </row>
    <row r="35" spans="1:7" x14ac:dyDescent="0.25">
      <c r="A35" s="14"/>
      <c r="B35" s="6"/>
      <c r="C35" s="14"/>
      <c r="D35" s="21"/>
      <c r="E35" s="21"/>
      <c r="F35" s="14"/>
      <c r="G35" s="14"/>
    </row>
    <row r="36" spans="1:7" x14ac:dyDescent="0.25">
      <c r="A36" s="19" t="s">
        <v>114</v>
      </c>
      <c r="B36" s="20"/>
      <c r="C36" s="19"/>
      <c r="D36" s="19"/>
      <c r="E36" s="19"/>
      <c r="F36" s="19"/>
      <c r="G36" s="19"/>
    </row>
    <row r="37" spans="1:7" x14ac:dyDescent="0.25">
      <c r="A37" s="19" t="s">
        <v>133</v>
      </c>
      <c r="B37" s="15" t="e">
        <f>#REF!</f>
        <v>#REF!</v>
      </c>
      <c r="C37" s="15">
        <f>'[1]Peer Analysis working '!J32</f>
        <v>378.6</v>
      </c>
      <c r="D37" s="15">
        <f>'[1]Peer Analysis working '!K32</f>
        <v>27.8</v>
      </c>
      <c r="E37" s="15">
        <f>'[1]Peer Analysis working '!L32</f>
        <v>72.2</v>
      </c>
      <c r="F37" s="15">
        <f>'[1]Peer Analysis working '!M32</f>
        <v>229.65</v>
      </c>
      <c r="G37" s="15"/>
    </row>
    <row r="38" spans="1:7" x14ac:dyDescent="0.25">
      <c r="A38" s="14" t="s">
        <v>113</v>
      </c>
      <c r="B38" s="15">
        <f>B18</f>
        <v>6806.94</v>
      </c>
      <c r="C38" s="15">
        <f>C18</f>
        <v>47546</v>
      </c>
      <c r="D38" s="15">
        <f>D18</f>
        <v>31513</v>
      </c>
      <c r="E38" s="15">
        <f>E18</f>
        <v>60583</v>
      </c>
      <c r="F38" s="15">
        <f>F18</f>
        <v>256090</v>
      </c>
      <c r="G38" s="15"/>
    </row>
    <row r="39" spans="1:7" x14ac:dyDescent="0.25">
      <c r="A39" s="14" t="s">
        <v>112</v>
      </c>
      <c r="B39" s="15">
        <f>'[1]Peer Analysis working '!I34</f>
        <v>424.30483395116869</v>
      </c>
      <c r="C39" s="15">
        <f>'[1]Peer Analysis working '!J34</f>
        <v>3159.0198334701026</v>
      </c>
      <c r="D39" s="15">
        <f>'[1]Peer Analysis working '!K34</f>
        <v>834.57076928658807</v>
      </c>
      <c r="E39" s="15">
        <f>'[1]Peer Analysis working '!L34</f>
        <v>1979.6308102742653</v>
      </c>
      <c r="F39" s="15">
        <f>'[1]Peer Analysis working '!M34</f>
        <v>2328.7001605629166</v>
      </c>
      <c r="G39" s="15"/>
    </row>
    <row r="40" spans="1:7" x14ac:dyDescent="0.25">
      <c r="A40" s="14" t="s">
        <v>111</v>
      </c>
      <c r="B40" s="13">
        <f>'[1]Peer Analysis working '!I38</f>
        <v>9.1637358343103104E-2</v>
      </c>
      <c r="C40" s="13">
        <f>'[1]Peer Analysis working '!J38</f>
        <v>0.16579733310898917</v>
      </c>
      <c r="D40" s="13">
        <f>'[1]Peer Analysis working '!K38</f>
        <v>9.392948941706597E-2</v>
      </c>
      <c r="E40" s="13">
        <f>'[1]Peer Analysis working '!L38</f>
        <v>1.6456761797864088E-2</v>
      </c>
      <c r="F40" s="13">
        <f>'[1]Peer Analysis working '!M38</f>
        <v>0.13475731188254128</v>
      </c>
      <c r="G40" s="13"/>
    </row>
    <row r="41" spans="1:7" x14ac:dyDescent="0.25">
      <c r="A41" s="14" t="s">
        <v>110</v>
      </c>
      <c r="B41" s="13">
        <f>'[1]Peer Analysis working '!I39</f>
        <v>0.15966919879744115</v>
      </c>
      <c r="C41" s="13">
        <f>'[1]Peer Analysis working '!J39</f>
        <v>0.23463756949794889</v>
      </c>
      <c r="D41" s="13">
        <f>'[1]Peer Analysis working '!K39</f>
        <v>0.16266310441067727</v>
      </c>
      <c r="E41" s="13">
        <f>'[1]Peer Analysis working '!L39</f>
        <v>7.0130917016226549E-2</v>
      </c>
      <c r="F41" s="13">
        <f>'[1]Peer Analysis working '!M39</f>
        <v>0.12677259525029899</v>
      </c>
      <c r="G41" s="13"/>
    </row>
    <row r="42" spans="1:7" x14ac:dyDescent="0.25">
      <c r="A42" s="14" t="s">
        <v>109</v>
      </c>
      <c r="B42" s="16">
        <f>'[1]Peer Analysis working '!I40</f>
        <v>0.19664505085895492</v>
      </c>
      <c r="C42" s="16">
        <f>'[1]Peer Analysis working '!J40</f>
        <v>0.68930559505911992</v>
      </c>
      <c r="D42" s="16">
        <f>'[1]Peer Analysis working '!K40</f>
        <v>0.63170644710638169</v>
      </c>
      <c r="E42" s="16">
        <f>'[1]Peer Analysis working '!L40</f>
        <v>0.8970505519229417</v>
      </c>
      <c r="F42" s="16">
        <f>'[1]Peer Analysis working '!M40</f>
        <v>0.46451642047251207</v>
      </c>
      <c r="G42" s="16"/>
    </row>
    <row r="43" spans="1:7" x14ac:dyDescent="0.25">
      <c r="A43" s="14" t="s">
        <v>108</v>
      </c>
      <c r="B43" s="17">
        <f>'[1]Peer Analysis working '!I45</f>
        <v>66.342013720741051</v>
      </c>
      <c r="C43" s="17">
        <f>'[1]Peer Analysis working '!J45</f>
        <v>65.062573645930684</v>
      </c>
      <c r="D43" s="17">
        <f>'[1]Peer Analysis working '!K45</f>
        <v>86.592976250631622</v>
      </c>
      <c r="E43" s="17">
        <f>'[1]Peer Analysis working '!L45</f>
        <v>107.90185790620825</v>
      </c>
      <c r="F43" s="17">
        <f>'[1]Peer Analysis working '!M45</f>
        <v>56.711275240547494</v>
      </c>
      <c r="G43" s="17"/>
    </row>
    <row r="44" spans="1:7" x14ac:dyDescent="0.25">
      <c r="A44" s="14" t="s">
        <v>83</v>
      </c>
      <c r="B44" s="17">
        <f>'[1]Peer Analysis working '!I47</f>
        <v>0</v>
      </c>
      <c r="C44" s="17">
        <f>'[1]Peer Analysis working '!J47</f>
        <v>0</v>
      </c>
      <c r="D44" s="17">
        <f>'[1]Peer Analysis working '!K47</f>
        <v>10.79</v>
      </c>
      <c r="E44" s="17">
        <f>'[1]Peer Analysis working '!L47</f>
        <v>0</v>
      </c>
      <c r="F44" s="17">
        <f>'[1]Peer Analysis working '!M47</f>
        <v>16.899999999999999</v>
      </c>
      <c r="G44" s="17"/>
    </row>
    <row r="45" spans="1:7" x14ac:dyDescent="0.25">
      <c r="A45" s="14" t="s">
        <v>107</v>
      </c>
      <c r="B45" s="18">
        <f>'[1]Peer Analysis working '!I46</f>
        <v>6242.8348665021331</v>
      </c>
      <c r="C45" s="17">
        <f>'[1]Peer Analysis working '!J46</f>
        <v>17.260000000000002</v>
      </c>
      <c r="D45" s="17">
        <f>'[1]Peer Analysis working '!K46</f>
        <v>29.69</v>
      </c>
      <c r="E45" s="17">
        <f>'[1]Peer Analysis working '!L46</f>
        <v>50.87</v>
      </c>
      <c r="F45" s="17">
        <f>'[1]Peer Analysis working '!M46</f>
        <v>51.52</v>
      </c>
      <c r="G45" s="17"/>
    </row>
    <row r="46" spans="1:7" x14ac:dyDescent="0.25">
      <c r="A46" s="14" t="s">
        <v>106</v>
      </c>
      <c r="B46" s="18">
        <f>'[1]Peer Analysis working '!I48</f>
        <v>-6176.4928527813918</v>
      </c>
      <c r="C46" s="17">
        <f>'[1]Peer Analysis working '!J48</f>
        <v>47.802573645930678</v>
      </c>
      <c r="D46" s="17">
        <f>'[1]Peer Analysis working '!K48</f>
        <v>67.692976250631631</v>
      </c>
      <c r="E46" s="17">
        <f>'[1]Peer Analysis working '!L48</f>
        <v>57.031857906208252</v>
      </c>
      <c r="F46" s="17">
        <f>'[1]Peer Analysis working '!M48</f>
        <v>22.091275240547482</v>
      </c>
      <c r="G46" s="17"/>
    </row>
    <row r="47" spans="1:7" x14ac:dyDescent="0.25">
      <c r="A47" s="14" t="s">
        <v>85</v>
      </c>
      <c r="B47" s="17">
        <f>'[1]Peer Analysis working '!I49</f>
        <v>38.568782865166789</v>
      </c>
      <c r="C47" s="17">
        <f>'[1]Peer Analysis working '!J49</f>
        <v>104.5124131485921</v>
      </c>
      <c r="D47" s="17">
        <f>'[1]Peer Analysis working '!K49</f>
        <v>-3.1679695627619462</v>
      </c>
      <c r="E47" s="17">
        <f>'[1]Peer Analysis working '!L49</f>
        <v>102.35551571398437</v>
      </c>
      <c r="F47" s="17">
        <f>'[1]Peer Analysis working '!M49</f>
        <v>168.22119076658987</v>
      </c>
      <c r="G47" s="17"/>
    </row>
    <row r="48" spans="1:7" x14ac:dyDescent="0.25">
      <c r="A48" s="14" t="s">
        <v>105</v>
      </c>
      <c r="B48" s="16">
        <f>'[1]Peer Analysis working '!I41</f>
        <v>0.2653350844873027</v>
      </c>
      <c r="C48" s="16">
        <f>'[1]Peer Analysis working '!J41</f>
        <v>0</v>
      </c>
      <c r="D48" s="16">
        <f>'[1]Peer Analysis working '!K41</f>
        <v>0.38774474026592198</v>
      </c>
      <c r="E48" s="16">
        <f>'[1]Peer Analysis working '!L41</f>
        <v>0.15337635970486771</v>
      </c>
      <c r="F48" s="16">
        <f>'[1]Peer Analysis working '!M41</f>
        <v>0.14596430942246866</v>
      </c>
      <c r="G48" s="16"/>
    </row>
    <row r="49" spans="1:7" x14ac:dyDescent="0.25">
      <c r="A49" s="14" t="s">
        <v>104</v>
      </c>
      <c r="B49" s="16">
        <f>'[1]Peer Analysis working '!I42</f>
        <v>-5.998289980519883E-2</v>
      </c>
      <c r="C49" s="16">
        <f>'[1]Peer Analysis working '!J42</f>
        <v>-3.8383880873259578E-2</v>
      </c>
      <c r="D49" s="16">
        <f>'[1]Peer Analysis working '!K42</f>
        <v>0.16510646399898457</v>
      </c>
      <c r="E49" s="16">
        <f>'[1]Peer Analysis working '!L42</f>
        <v>0.128352838254956</v>
      </c>
      <c r="F49" s="16">
        <f>'[1]Peer Analysis working '!M42</f>
        <v>-0.22570190167519233</v>
      </c>
      <c r="G49" s="16"/>
    </row>
    <row r="50" spans="1:7" x14ac:dyDescent="0.25">
      <c r="A50" s="14" t="s">
        <v>100</v>
      </c>
      <c r="B50" s="15">
        <f>'[1]Peer Analysis working '!I51</f>
        <v>3.7837018647884131</v>
      </c>
      <c r="C50" s="15">
        <f>'[1]Peer Analysis working '!J51</f>
        <v>158.70422535211267</v>
      </c>
      <c r="D50" s="15">
        <f>'[1]Peer Analysis working '!K51</f>
        <v>2.2760347129506009</v>
      </c>
      <c r="E50" s="15">
        <f>'[1]Peer Analysis working '!L51</f>
        <v>3.4877505567928733</v>
      </c>
      <c r="F50" s="15">
        <f>'[1]Peer Analysis working '!M51</f>
        <v>10.687242798353909</v>
      </c>
      <c r="G50" s="15"/>
    </row>
    <row r="51" spans="1:7" x14ac:dyDescent="0.25">
      <c r="A51" s="14" t="s">
        <v>103</v>
      </c>
      <c r="B51" s="13">
        <f>'[1]Peer Analysis working '!I50</f>
        <v>0.19180342391424715</v>
      </c>
      <c r="C51" s="13">
        <f>'[1]Peer Analysis working '!J50</f>
        <v>0</v>
      </c>
      <c r="D51" s="13">
        <f>'[1]Peer Analysis working '!K50</f>
        <v>0.24519191423193387</v>
      </c>
      <c r="E51" s="13">
        <f>'[1]Peer Analysis working '!L50</f>
        <v>0.14496340938441668</v>
      </c>
      <c r="F51" s="13">
        <f>'[1]Peer Analysis working '!M50</f>
        <v>0.13001605136436598</v>
      </c>
      <c r="G51" s="13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tabSelected="1" topLeftCell="D11" zoomScale="85" zoomScaleNormal="85" workbookViewId="0">
      <selection activeCell="R74" sqref="R74"/>
    </sheetView>
  </sheetViews>
  <sheetFormatPr defaultRowHeight="15" x14ac:dyDescent="0.25"/>
  <cols>
    <col min="1" max="1" width="60.140625" bestFit="1" customWidth="1"/>
    <col min="2" max="3" width="9.85546875" hidden="1" customWidth="1"/>
    <col min="4" max="4" width="9.85546875" bestFit="1" customWidth="1"/>
    <col min="5" max="5" width="9.85546875" customWidth="1"/>
    <col min="6" max="6" width="11.28515625" bestFit="1" customWidth="1"/>
    <col min="7" max="7" width="10.28515625" bestFit="1" customWidth="1"/>
    <col min="8" max="8" width="11.140625" customWidth="1"/>
    <col min="9" max="9" width="10.28515625" customWidth="1"/>
    <col min="10" max="10" width="9" bestFit="1" customWidth="1"/>
    <col min="11" max="11" width="44.28515625" bestFit="1" customWidth="1"/>
    <col min="12" max="12" width="9.85546875" hidden="1" customWidth="1"/>
    <col min="13" max="13" width="9.85546875" bestFit="1" customWidth="1"/>
    <col min="14" max="14" width="9.28515625" bestFit="1" customWidth="1"/>
    <col min="15" max="15" width="9.85546875" bestFit="1" customWidth="1"/>
    <col min="16" max="16" width="10.7109375" bestFit="1" customWidth="1"/>
    <col min="17" max="17" width="13.85546875" bestFit="1" customWidth="1"/>
    <col min="18" max="18" width="15.28515625" customWidth="1"/>
    <col min="19" max="19" width="13.5703125" customWidth="1"/>
    <col min="20" max="20" width="11.42578125" bestFit="1" customWidth="1"/>
  </cols>
  <sheetData>
    <row r="1" spans="1:18" ht="19.5" thickBot="1" x14ac:dyDescent="0.35">
      <c r="A1" s="186" t="s">
        <v>139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15.75" thickBot="1" x14ac:dyDescent="0.3">
      <c r="A2" s="115" t="s">
        <v>0</v>
      </c>
      <c r="B2" s="116" t="s">
        <v>33</v>
      </c>
      <c r="C2" s="116" t="s">
        <v>1</v>
      </c>
      <c r="D2" s="116" t="s">
        <v>2</v>
      </c>
      <c r="E2" s="116" t="s">
        <v>48</v>
      </c>
      <c r="F2" s="116" t="s">
        <v>134</v>
      </c>
      <c r="G2" s="116" t="s">
        <v>135</v>
      </c>
      <c r="H2" s="116" t="s">
        <v>155</v>
      </c>
      <c r="I2" s="116" t="s">
        <v>160</v>
      </c>
      <c r="J2" s="136"/>
      <c r="K2" s="115" t="s">
        <v>0</v>
      </c>
      <c r="L2" s="116" t="s">
        <v>1</v>
      </c>
      <c r="M2" s="116" t="s">
        <v>2</v>
      </c>
      <c r="N2" s="116" t="s">
        <v>48</v>
      </c>
      <c r="O2" s="116" t="s">
        <v>134</v>
      </c>
      <c r="P2" s="116" t="s">
        <v>135</v>
      </c>
      <c r="Q2" s="116" t="s">
        <v>155</v>
      </c>
      <c r="R2" s="145" t="s">
        <v>160</v>
      </c>
    </row>
    <row r="3" spans="1:18" x14ac:dyDescent="0.25">
      <c r="A3" s="57" t="s">
        <v>34</v>
      </c>
      <c r="B3" s="4">
        <v>1879.6410000000001</v>
      </c>
      <c r="C3" s="54">
        <v>2392.64</v>
      </c>
      <c r="D3" s="91">
        <v>2331.84</v>
      </c>
      <c r="E3" s="91">
        <v>2701.26</v>
      </c>
      <c r="F3" s="91">
        <v>3309.375</v>
      </c>
      <c r="G3" s="52">
        <v>3894.431</v>
      </c>
      <c r="H3" s="52">
        <v>5100.518</v>
      </c>
      <c r="I3" s="52">
        <v>4988.3050000000003</v>
      </c>
      <c r="J3" s="137"/>
      <c r="K3" s="57" t="s">
        <v>3</v>
      </c>
      <c r="L3" s="91">
        <v>411.6</v>
      </c>
      <c r="M3" s="91">
        <v>411.6</v>
      </c>
      <c r="N3" s="85">
        <v>411.6</v>
      </c>
      <c r="O3" s="4">
        <v>411.6</v>
      </c>
      <c r="P3" s="54">
        <v>411.6</v>
      </c>
      <c r="Q3" s="54">
        <v>505.68700000000001</v>
      </c>
      <c r="R3" s="146">
        <v>411.6</v>
      </c>
    </row>
    <row r="4" spans="1:18" ht="15.75" thickBot="1" x14ac:dyDescent="0.3">
      <c r="A4" s="72" t="s">
        <v>35</v>
      </c>
      <c r="B4" s="80"/>
      <c r="C4" s="105">
        <f t="shared" ref="C4:I4" si="0">C3/B3-1</f>
        <v>0.27292392536659915</v>
      </c>
      <c r="D4" s="105">
        <f t="shared" si="0"/>
        <v>-2.5411261201016333E-2</v>
      </c>
      <c r="E4" s="7">
        <f t="shared" si="0"/>
        <v>0.15842424866200089</v>
      </c>
      <c r="F4" s="7">
        <f t="shared" si="0"/>
        <v>0.22512272050820714</v>
      </c>
      <c r="G4" s="7">
        <f t="shared" si="0"/>
        <v>0.17678745986779987</v>
      </c>
      <c r="H4" s="7">
        <f t="shared" si="0"/>
        <v>0.30969530593814598</v>
      </c>
      <c r="I4" s="7">
        <f t="shared" si="0"/>
        <v>-2.200031447786277E-2</v>
      </c>
      <c r="J4" s="138"/>
      <c r="K4" s="57" t="s">
        <v>144</v>
      </c>
      <c r="L4" s="91">
        <v>800.4</v>
      </c>
      <c r="M4" s="91">
        <v>855.92700000000002</v>
      </c>
      <c r="N4" s="85">
        <v>975.42100000000005</v>
      </c>
      <c r="O4" s="4">
        <v>1372.6289999999999</v>
      </c>
      <c r="P4" s="54">
        <v>1686.0930000000001</v>
      </c>
      <c r="Q4" s="54">
        <v>2163.663</v>
      </c>
      <c r="R4">
        <f>2586.003+94.087</f>
        <v>2680.09</v>
      </c>
    </row>
    <row r="5" spans="1:18" ht="15.75" thickBot="1" x14ac:dyDescent="0.3">
      <c r="A5" s="72" t="s">
        <v>36</v>
      </c>
      <c r="B5" s="8"/>
      <c r="C5" s="7"/>
      <c r="D5" s="86"/>
      <c r="E5" s="7">
        <f>((E3/B3)^(1/3)-1)</f>
        <v>0.12848855625370259</v>
      </c>
      <c r="F5" s="7">
        <f>((F3/C3)^(1/3)-1)</f>
        <v>0.1141821785746171</v>
      </c>
      <c r="G5" s="7">
        <f>((G3/D3)^(1/3)-1)</f>
        <v>0.18644721685283039</v>
      </c>
      <c r="H5" s="7">
        <f>((H3/E3)^(1/3)-1)</f>
        <v>0.23599287047244699</v>
      </c>
      <c r="I5" s="7">
        <f>((I3/F3)^(1/3)-1)</f>
        <v>0.14657465981481788</v>
      </c>
      <c r="J5" s="138"/>
      <c r="K5" s="147" t="s">
        <v>4</v>
      </c>
      <c r="L5" s="114">
        <f>SUM(L3:L4)+L6</f>
        <v>1358.001</v>
      </c>
      <c r="M5" s="114">
        <f>SUM(M3:M4)+M6</f>
        <v>1467.8340000000001</v>
      </c>
      <c r="N5" s="114">
        <f>SUM(N3:N4)+N6</f>
        <v>1633.0190000000002</v>
      </c>
      <c r="O5" s="114">
        <f t="shared" ref="O5:Q5" si="1">SUM(O3:O4)+O6</f>
        <v>2030.0139999999999</v>
      </c>
      <c r="P5" s="114">
        <f t="shared" si="1"/>
        <v>2456.2080000000001</v>
      </c>
      <c r="Q5" s="114">
        <f t="shared" si="1"/>
        <v>3233.7919999999999</v>
      </c>
      <c r="R5" s="148">
        <f>SUM(R3:R4)+R6</f>
        <v>3777.9259999999999</v>
      </c>
    </row>
    <row r="6" spans="1:18" x14ac:dyDescent="0.25">
      <c r="A6" s="67" t="s">
        <v>136</v>
      </c>
      <c r="B6" s="4"/>
      <c r="C6" s="4"/>
      <c r="D6" s="85"/>
      <c r="E6" s="85"/>
      <c r="F6" s="85"/>
      <c r="G6" s="119"/>
      <c r="H6" s="119"/>
      <c r="I6" s="119"/>
      <c r="J6" s="130"/>
      <c r="K6" s="57" t="s">
        <v>145</v>
      </c>
      <c r="L6" s="91">
        <v>146.001</v>
      </c>
      <c r="M6" s="91">
        <v>200.30699999999999</v>
      </c>
      <c r="N6" s="85">
        <v>245.99799999999999</v>
      </c>
      <c r="O6" s="4">
        <v>245.785</v>
      </c>
      <c r="P6" s="4">
        <v>358.51499999999999</v>
      </c>
      <c r="Q6" s="4">
        <v>564.44200000000001</v>
      </c>
      <c r="R6" s="149">
        <v>686.23599999999999</v>
      </c>
    </row>
    <row r="7" spans="1:18" x14ac:dyDescent="0.25">
      <c r="A7" s="68" t="s">
        <v>140</v>
      </c>
      <c r="B7" s="4">
        <v>1284.81</v>
      </c>
      <c r="C7" s="54">
        <v>1954.72</v>
      </c>
      <c r="D7" s="91">
        <v>1211.5899999999999</v>
      </c>
      <c r="E7" s="91">
        <v>1492.38</v>
      </c>
      <c r="F7" s="85">
        <v>2890.9639999999999</v>
      </c>
      <c r="G7" s="52">
        <v>2816.3919999999998</v>
      </c>
      <c r="H7" s="52">
        <v>3796.4859999999999</v>
      </c>
      <c r="I7" s="52">
        <v>4506.326</v>
      </c>
      <c r="J7" s="130"/>
      <c r="K7" s="57" t="s">
        <v>5</v>
      </c>
      <c r="L7" s="91">
        <v>3005.6750000000002</v>
      </c>
      <c r="M7" s="91">
        <v>3156.47</v>
      </c>
      <c r="N7" s="85">
        <v>2498.9699999999998</v>
      </c>
      <c r="O7" s="85">
        <v>1752.037</v>
      </c>
      <c r="P7" s="4">
        <v>3142.0369999999998</v>
      </c>
      <c r="Q7" s="4">
        <v>4160.7979999999998</v>
      </c>
      <c r="R7" s="149">
        <v>7040.33</v>
      </c>
    </row>
    <row r="8" spans="1:18" x14ac:dyDescent="0.25">
      <c r="A8" s="68" t="s">
        <v>141</v>
      </c>
      <c r="B8" s="4">
        <v>-160.75</v>
      </c>
      <c r="C8" s="54">
        <v>-510.83</v>
      </c>
      <c r="D8" s="91">
        <v>336.24</v>
      </c>
      <c r="E8" s="91">
        <v>333.91</v>
      </c>
      <c r="F8" s="85">
        <v>-922.67399999999998</v>
      </c>
      <c r="G8" s="52">
        <v>-368.322</v>
      </c>
      <c r="H8" s="52">
        <v>-713.22400000000005</v>
      </c>
      <c r="I8" s="52">
        <v>-1663.5740000000001</v>
      </c>
      <c r="J8" s="130"/>
      <c r="K8" s="57"/>
      <c r="L8" s="85"/>
      <c r="M8" s="85"/>
      <c r="N8" s="85"/>
      <c r="O8" s="85"/>
      <c r="P8" s="4"/>
      <c r="Q8" s="4"/>
      <c r="R8" s="149"/>
    </row>
    <row r="9" spans="1:18" x14ac:dyDescent="0.25">
      <c r="A9" s="68" t="s">
        <v>37</v>
      </c>
      <c r="B9" s="4">
        <v>127.33</v>
      </c>
      <c r="C9" s="54">
        <v>138.12</v>
      </c>
      <c r="D9" s="91">
        <v>125.637</v>
      </c>
      <c r="E9" s="91">
        <v>118.05</v>
      </c>
      <c r="F9" s="85">
        <v>161.71</v>
      </c>
      <c r="G9" s="52">
        <v>193.6</v>
      </c>
      <c r="H9" s="52">
        <v>259.91000000000003</v>
      </c>
      <c r="I9" s="52">
        <v>317.50299999999999</v>
      </c>
      <c r="J9" s="131"/>
      <c r="K9" s="57" t="s">
        <v>6</v>
      </c>
      <c r="L9" s="91">
        <v>772.04399999999998</v>
      </c>
      <c r="M9" s="91">
        <v>710.41700000000003</v>
      </c>
      <c r="N9" s="85">
        <v>456.221</v>
      </c>
      <c r="O9" s="85">
        <v>1240.748</v>
      </c>
      <c r="P9" s="4">
        <v>176.58199999999999</v>
      </c>
      <c r="Q9" s="4">
        <v>613.14700000000005</v>
      </c>
      <c r="R9" s="149">
        <v>343.40100000000001</v>
      </c>
    </row>
    <row r="10" spans="1:18" x14ac:dyDescent="0.25">
      <c r="A10" s="68" t="s">
        <v>38</v>
      </c>
      <c r="B10" s="4">
        <v>256.22000000000003</v>
      </c>
      <c r="C10" s="54">
        <v>276.73</v>
      </c>
      <c r="D10" s="91">
        <v>228.48</v>
      </c>
      <c r="E10" s="91">
        <v>276.68</v>
      </c>
      <c r="F10" s="85">
        <v>482.78</v>
      </c>
      <c r="G10" s="52">
        <v>480.68599999999998</v>
      </c>
      <c r="H10" s="52">
        <v>625.93899999999996</v>
      </c>
      <c r="I10" s="52">
        <v>785.42600000000004</v>
      </c>
      <c r="J10" s="131"/>
      <c r="K10" s="57"/>
      <c r="L10" s="85"/>
      <c r="M10" s="85"/>
      <c r="N10" s="85"/>
      <c r="O10" s="84"/>
      <c r="P10" s="84"/>
      <c r="Q10" s="84"/>
      <c r="R10" s="150"/>
    </row>
    <row r="11" spans="1:18" ht="15.75" thickBot="1" x14ac:dyDescent="0.3">
      <c r="A11" s="65" t="s">
        <v>39</v>
      </c>
      <c r="B11" s="55">
        <f t="shared" ref="B11" si="2">B3-SUM(B7:B10)</f>
        <v>372.03100000000018</v>
      </c>
      <c r="C11" s="55">
        <f>C3-SUM(C7:C10)</f>
        <v>533.89999999999964</v>
      </c>
      <c r="D11" s="55">
        <f t="shared" ref="D11:G11" si="3">D3-SUM(D7:D10)</f>
        <v>429.89300000000026</v>
      </c>
      <c r="E11" s="87">
        <f t="shared" si="3"/>
        <v>480.24000000000024</v>
      </c>
      <c r="F11" s="87">
        <f t="shared" si="3"/>
        <v>696.59500000000025</v>
      </c>
      <c r="G11" s="87">
        <f t="shared" si="3"/>
        <v>772.07500000000027</v>
      </c>
      <c r="H11" s="87">
        <f>H3-SUM(H7:H10)</f>
        <v>1131.4070000000006</v>
      </c>
      <c r="I11" s="87">
        <f>I3-SUM(I7:I10)</f>
        <v>1042.6240000000003</v>
      </c>
      <c r="J11" s="131"/>
      <c r="K11" s="57"/>
      <c r="L11" s="85"/>
      <c r="M11" s="85"/>
      <c r="N11" s="85"/>
      <c r="O11" s="84"/>
      <c r="P11" s="84"/>
      <c r="Q11" s="84"/>
      <c r="R11" s="150"/>
    </row>
    <row r="12" spans="1:18" ht="15.75" thickBot="1" x14ac:dyDescent="0.3">
      <c r="A12" s="72" t="s">
        <v>40</v>
      </c>
      <c r="B12" s="73">
        <f t="shared" ref="B12:C12" si="4">B11/B3</f>
        <v>0.19792662535026645</v>
      </c>
      <c r="C12" s="73">
        <f t="shared" si="4"/>
        <v>0.22314263742142557</v>
      </c>
      <c r="D12" s="73">
        <f t="shared" ref="D12:G12" si="5">D11/D3</f>
        <v>0.18435784616440246</v>
      </c>
      <c r="E12" s="73">
        <f t="shared" si="5"/>
        <v>0.17778370093956161</v>
      </c>
      <c r="F12" s="73">
        <f t="shared" si="5"/>
        <v>0.21049140698772434</v>
      </c>
      <c r="G12" s="73">
        <f t="shared" si="5"/>
        <v>0.19825104103783076</v>
      </c>
      <c r="H12" s="73">
        <f>H11/H3</f>
        <v>0.22182197964991018</v>
      </c>
      <c r="I12" s="73">
        <f>I11/I3</f>
        <v>0.20901368300454767</v>
      </c>
      <c r="J12" s="139"/>
      <c r="K12" s="151" t="s">
        <v>24</v>
      </c>
      <c r="L12" s="114">
        <f t="shared" ref="L12:N12" si="6">SUM(L7:L9)</f>
        <v>3777.7190000000001</v>
      </c>
      <c r="M12" s="114">
        <f t="shared" si="6"/>
        <v>3866.8869999999997</v>
      </c>
      <c r="N12" s="114">
        <f t="shared" si="6"/>
        <v>2955.1909999999998</v>
      </c>
      <c r="O12" s="114">
        <f>SUM(O7:O9)</f>
        <v>2992.7849999999999</v>
      </c>
      <c r="P12" s="114">
        <f>SUM(P7:P9)</f>
        <v>3318.6189999999997</v>
      </c>
      <c r="Q12" s="114">
        <f>SUM(Q7:Q9)</f>
        <v>4773.9449999999997</v>
      </c>
      <c r="R12" s="148">
        <f>SUM(R7:R9)</f>
        <v>7383.7309999999998</v>
      </c>
    </row>
    <row r="13" spans="1:18" ht="15.75" thickBot="1" x14ac:dyDescent="0.3">
      <c r="A13" s="72" t="s">
        <v>35</v>
      </c>
      <c r="B13" s="7" t="e">
        <f t="shared" ref="B13" si="7">B12/A12-1</f>
        <v>#VALUE!</v>
      </c>
      <c r="C13" s="7"/>
      <c r="D13" s="73">
        <f t="shared" ref="D13:I13" si="8">D11/C11-1</f>
        <v>-0.19480614347255942</v>
      </c>
      <c r="E13" s="73">
        <f t="shared" si="8"/>
        <v>0.11711518912845742</v>
      </c>
      <c r="F13" s="73">
        <f t="shared" si="8"/>
        <v>0.450514326170248</v>
      </c>
      <c r="G13" s="73">
        <f t="shared" si="8"/>
        <v>0.10835564424091482</v>
      </c>
      <c r="H13" s="73">
        <f t="shared" si="8"/>
        <v>0.46541074377489267</v>
      </c>
      <c r="I13" s="73">
        <f t="shared" si="8"/>
        <v>-7.8471319339548318E-2</v>
      </c>
      <c r="J13" s="131"/>
      <c r="K13" s="66"/>
      <c r="L13" s="98"/>
      <c r="M13" s="98"/>
      <c r="N13" s="85"/>
      <c r="O13" s="84"/>
      <c r="P13" s="84"/>
      <c r="Q13" s="84"/>
      <c r="R13" s="150"/>
    </row>
    <row r="14" spans="1:18" x14ac:dyDescent="0.25">
      <c r="A14" s="72" t="s">
        <v>36</v>
      </c>
      <c r="B14" s="7"/>
      <c r="C14" s="74"/>
      <c r="D14" s="73"/>
      <c r="E14" s="73">
        <f>((E11/B11)^(1/3)-1)</f>
        <v>8.8829135858967456E-2</v>
      </c>
      <c r="F14" s="73">
        <f>((F11/C11)^(1/3)-1)</f>
        <v>9.2714763167300651E-2</v>
      </c>
      <c r="G14" s="73">
        <f>((G11/D11)^(1/3)-1)</f>
        <v>0.21553193190009745</v>
      </c>
      <c r="H14" s="73">
        <f>((H11/E11)^(1/3)-1)</f>
        <v>0.33061835619462099</v>
      </c>
      <c r="I14" s="73">
        <f>((I11/F11)^(1/3)-1)</f>
        <v>0.1438852367729504</v>
      </c>
      <c r="J14" s="130"/>
      <c r="K14" s="108" t="s">
        <v>25</v>
      </c>
      <c r="L14" s="109">
        <f>L5+L7+L61</f>
        <v>4364.4660000000003</v>
      </c>
      <c r="M14" s="109">
        <f>M5+M7+M64</f>
        <v>4624.3040000000001</v>
      </c>
      <c r="N14" s="109">
        <f t="shared" ref="N14:P14" si="9">N5+N7+N64</f>
        <v>4131.9889999999996</v>
      </c>
      <c r="O14" s="109">
        <f t="shared" si="9"/>
        <v>3782.0509999999999</v>
      </c>
      <c r="P14" s="109">
        <f t="shared" si="9"/>
        <v>5604.9759999999997</v>
      </c>
      <c r="Q14" s="109">
        <f>Q5+Q7+Q64</f>
        <v>7408.3710000000001</v>
      </c>
      <c r="R14" s="152">
        <f>R5+R7+R64</f>
        <v>10820.376</v>
      </c>
    </row>
    <row r="15" spans="1:18" ht="15.75" thickBot="1" x14ac:dyDescent="0.3">
      <c r="A15" s="57" t="s">
        <v>41</v>
      </c>
      <c r="B15" s="4">
        <v>12.87</v>
      </c>
      <c r="C15" s="54">
        <v>35.6</v>
      </c>
      <c r="D15" s="91">
        <v>46.67</v>
      </c>
      <c r="E15" s="91">
        <v>21.4</v>
      </c>
      <c r="F15" s="85">
        <v>16.02</v>
      </c>
      <c r="G15" s="91">
        <v>22.841000000000001</v>
      </c>
      <c r="H15" s="91">
        <v>12.343</v>
      </c>
      <c r="I15" s="91">
        <v>47.747</v>
      </c>
      <c r="J15" s="140"/>
      <c r="K15" s="70" t="s">
        <v>26</v>
      </c>
      <c r="L15" s="99">
        <f>L69-L56-L9</f>
        <v>4364.4649999999983</v>
      </c>
      <c r="M15" s="99">
        <f>M69-M56-M9</f>
        <v>4624.3030000000008</v>
      </c>
      <c r="N15" s="99">
        <f>N69-N56-N9-N66</f>
        <v>4131.9879999999994</v>
      </c>
      <c r="O15" s="99">
        <f>O69-O56-O9-O66</f>
        <v>3782.052000000001</v>
      </c>
      <c r="P15" s="99">
        <f>P69-P56-P9-P66</f>
        <v>5604.9759999999997</v>
      </c>
      <c r="Q15" s="99">
        <f>Q69-Q56-Q9-Q66</f>
        <v>7408.3710000000001</v>
      </c>
      <c r="R15" s="153">
        <f>R69-R56-R9-R66</f>
        <v>10852.998999999998</v>
      </c>
    </row>
    <row r="16" spans="1:18" ht="15.75" thickBot="1" x14ac:dyDescent="0.3">
      <c r="A16" s="68" t="s">
        <v>137</v>
      </c>
      <c r="B16" s="4">
        <v>13.36</v>
      </c>
      <c r="C16" s="54">
        <v>18.600000000000001</v>
      </c>
      <c r="D16" s="91">
        <v>20.37</v>
      </c>
      <c r="E16" s="91">
        <v>20.39</v>
      </c>
      <c r="F16" s="85">
        <v>17.34</v>
      </c>
      <c r="G16" s="91">
        <v>19.536999999999999</v>
      </c>
      <c r="H16" s="91">
        <v>21.876999999999999</v>
      </c>
      <c r="I16" s="91">
        <v>23.693000000000001</v>
      </c>
      <c r="J16" s="141"/>
      <c r="K16" s="57"/>
      <c r="L16" s="85"/>
      <c r="M16" s="85"/>
      <c r="N16" s="85"/>
      <c r="O16" s="84"/>
      <c r="P16" s="84"/>
      <c r="Q16" s="84"/>
      <c r="R16" s="150"/>
    </row>
    <row r="17" spans="1:19" ht="15.75" thickBot="1" x14ac:dyDescent="0.3">
      <c r="A17" s="68" t="s">
        <v>49</v>
      </c>
      <c r="B17" s="4">
        <v>150.1</v>
      </c>
      <c r="C17" s="54">
        <v>323.64999999999998</v>
      </c>
      <c r="D17" s="91">
        <v>301.06</v>
      </c>
      <c r="E17" s="91">
        <v>280.95</v>
      </c>
      <c r="F17" s="85">
        <v>210.309</v>
      </c>
      <c r="G17" s="91">
        <v>253.06100000000001</v>
      </c>
      <c r="H17" s="91">
        <v>259.846</v>
      </c>
      <c r="I17" s="91">
        <v>404.81</v>
      </c>
      <c r="J17" s="138"/>
      <c r="K17" s="147" t="s">
        <v>7</v>
      </c>
      <c r="L17" s="114">
        <f t="shared" ref="L17:R17" si="10">L19+C16</f>
        <v>123.78399999999999</v>
      </c>
      <c r="M17" s="114">
        <f t="shared" si="10"/>
        <v>115.27600000000001</v>
      </c>
      <c r="N17" s="114">
        <f t="shared" si="10"/>
        <v>109.398</v>
      </c>
      <c r="O17" s="114">
        <f t="shared" si="10"/>
        <v>108.95</v>
      </c>
      <c r="P17" s="114">
        <f t="shared" si="10"/>
        <v>122.852</v>
      </c>
      <c r="Q17" s="114">
        <f t="shared" si="10"/>
        <v>115.57299999999999</v>
      </c>
      <c r="R17" s="148">
        <f>R19+I16</f>
        <v>819.12900000000002</v>
      </c>
    </row>
    <row r="18" spans="1:19" x14ac:dyDescent="0.25">
      <c r="A18" s="75" t="s">
        <v>88</v>
      </c>
      <c r="B18" s="4">
        <v>0</v>
      </c>
      <c r="C18" s="4">
        <v>0</v>
      </c>
      <c r="D18" s="85"/>
      <c r="E18" s="85">
        <v>0</v>
      </c>
      <c r="F18" s="85"/>
      <c r="G18" s="120"/>
      <c r="H18" s="120" t="s">
        <v>143</v>
      </c>
      <c r="I18" s="120">
        <v>0</v>
      </c>
      <c r="J18" s="138"/>
      <c r="K18" s="154" t="s">
        <v>8</v>
      </c>
      <c r="L18" s="85"/>
      <c r="M18" s="85"/>
      <c r="N18" s="85"/>
      <c r="O18" s="4"/>
      <c r="P18" s="4"/>
      <c r="Q18" s="4"/>
      <c r="R18" s="149"/>
      <c r="S18" s="2"/>
    </row>
    <row r="19" spans="1:19" x14ac:dyDescent="0.25">
      <c r="A19" s="76" t="s">
        <v>42</v>
      </c>
      <c r="B19" s="9">
        <v>221.44</v>
      </c>
      <c r="C19" s="88">
        <f>C11+C15-SUM(C16:C18)</f>
        <v>227.24999999999966</v>
      </c>
      <c r="D19" s="88">
        <f>D11+D15-SUM(D16:D18)</f>
        <v>155.13300000000027</v>
      </c>
      <c r="E19" s="88">
        <f>E11+E15-SUM(E16:E18)</f>
        <v>200.30000000000024</v>
      </c>
      <c r="F19" s="88">
        <f>F11+F15-SUM(F16:F18)</f>
        <v>484.96600000000024</v>
      </c>
      <c r="G19" s="121">
        <f t="shared" ref="G19" si="11">G11+G15-SUM(G16:G18)</f>
        <v>522.31800000000021</v>
      </c>
      <c r="H19" s="121">
        <f>H11+H15-SUM(H16:H18)</f>
        <v>862.02700000000073</v>
      </c>
      <c r="I19" s="88">
        <v>661.86800000000005</v>
      </c>
      <c r="J19" s="130"/>
      <c r="K19" s="57" t="s">
        <v>9</v>
      </c>
      <c r="L19" s="91">
        <v>105.184</v>
      </c>
      <c r="M19" s="91">
        <v>94.906000000000006</v>
      </c>
      <c r="N19" s="85">
        <v>89.007999999999996</v>
      </c>
      <c r="O19" s="4">
        <v>91.61</v>
      </c>
      <c r="P19" s="4">
        <v>103.315</v>
      </c>
      <c r="Q19" s="4">
        <v>93.695999999999998</v>
      </c>
      <c r="R19" s="149">
        <v>795.43600000000004</v>
      </c>
    </row>
    <row r="20" spans="1:19" x14ac:dyDescent="0.25">
      <c r="A20" s="57" t="s">
        <v>43</v>
      </c>
      <c r="B20" s="4">
        <v>74.966999999999999</v>
      </c>
      <c r="C20" s="54">
        <v>43.96</v>
      </c>
      <c r="D20" s="91">
        <v>45.27</v>
      </c>
      <c r="E20" s="91">
        <v>42.88</v>
      </c>
      <c r="F20" s="85">
        <v>71.19</v>
      </c>
      <c r="G20" s="91">
        <f>126.993-32.226+0.807</f>
        <v>95.573999999999998</v>
      </c>
      <c r="H20" s="91">
        <f>198.018-28.435+0.198</f>
        <v>169.78100000000001</v>
      </c>
      <c r="I20" s="91">
        <f>149.687+-30.972-3.609</f>
        <v>115.10600000000001</v>
      </c>
      <c r="J20" s="130"/>
      <c r="K20" s="57" t="s">
        <v>146</v>
      </c>
      <c r="L20" s="91">
        <v>0.875</v>
      </c>
      <c r="M20" s="91">
        <v>0.41599999999999998</v>
      </c>
      <c r="N20" s="85">
        <v>0.80300000000000005</v>
      </c>
      <c r="O20" s="4">
        <v>0.59</v>
      </c>
      <c r="P20" s="4">
        <v>0.44800000000000001</v>
      </c>
      <c r="Q20" s="4">
        <v>0.316</v>
      </c>
      <c r="R20" s="149">
        <v>0.66900000000000004</v>
      </c>
    </row>
    <row r="21" spans="1:19" x14ac:dyDescent="0.25">
      <c r="A21" s="72" t="s">
        <v>44</v>
      </c>
      <c r="B21" s="7">
        <f t="shared" ref="B21:C21" si="12">B20/B19</f>
        <v>0.33854317196531791</v>
      </c>
      <c r="C21" s="7">
        <f t="shared" si="12"/>
        <v>0.19344334433443375</v>
      </c>
      <c r="D21" s="7">
        <f t="shared" ref="D21:G21" si="13">D20/D19</f>
        <v>0.29181412078667934</v>
      </c>
      <c r="E21" s="7">
        <f t="shared" si="13"/>
        <v>0.21407888167748354</v>
      </c>
      <c r="F21" s="7">
        <f t="shared" si="13"/>
        <v>0.14679379585372987</v>
      </c>
      <c r="G21" s="105">
        <f t="shared" si="13"/>
        <v>0.18298048315394064</v>
      </c>
      <c r="H21" s="105">
        <f>H20/H19</f>
        <v>0.19695554779606655</v>
      </c>
      <c r="I21" s="105">
        <f>I20/I19</f>
        <v>0.17391081001045525</v>
      </c>
      <c r="J21" s="130"/>
      <c r="K21" s="57" t="s">
        <v>147</v>
      </c>
      <c r="L21" s="91">
        <v>0</v>
      </c>
      <c r="M21" s="91">
        <v>102.90600000000001</v>
      </c>
      <c r="N21" s="85">
        <v>114.16500000000001</v>
      </c>
      <c r="O21" s="4">
        <v>114.16500000000001</v>
      </c>
      <c r="P21" s="4">
        <v>116.465</v>
      </c>
      <c r="Q21" s="4">
        <v>116.465</v>
      </c>
      <c r="R21" s="149">
        <v>146.02000000000001</v>
      </c>
    </row>
    <row r="22" spans="1:19" x14ac:dyDescent="0.25">
      <c r="A22" s="65" t="s">
        <v>90</v>
      </c>
      <c r="B22" s="55">
        <f t="shared" ref="B22" si="14">B19-B20</f>
        <v>146.47300000000001</v>
      </c>
      <c r="C22" s="87">
        <f>C19-C20</f>
        <v>183.28999999999965</v>
      </c>
      <c r="D22" s="87">
        <f>D19-D20</f>
        <v>109.86300000000026</v>
      </c>
      <c r="E22" s="87">
        <f>E19-E20</f>
        <v>157.42000000000024</v>
      </c>
      <c r="F22" s="87">
        <f>F19-F20</f>
        <v>413.77600000000024</v>
      </c>
      <c r="G22" s="87">
        <f t="shared" ref="G22" si="15">G19-G20</f>
        <v>426.7440000000002</v>
      </c>
      <c r="H22" s="87">
        <f>H19-H20</f>
        <v>692.24600000000078</v>
      </c>
      <c r="I22" s="87">
        <f>I19-I20</f>
        <v>546.76200000000006</v>
      </c>
      <c r="J22" s="130"/>
      <c r="K22" s="57"/>
      <c r="L22" s="91"/>
      <c r="M22" s="91"/>
      <c r="N22" s="85"/>
      <c r="O22" s="4"/>
      <c r="P22" s="4"/>
      <c r="Q22" s="4"/>
      <c r="R22" s="149"/>
    </row>
    <row r="23" spans="1:19" x14ac:dyDescent="0.25">
      <c r="A23" s="72" t="s">
        <v>45</v>
      </c>
      <c r="B23" s="73">
        <f t="shared" ref="B23:C23" si="16">B22/B3</f>
        <v>7.7926050772461342E-2</v>
      </c>
      <c r="C23" s="7">
        <f t="shared" si="16"/>
        <v>7.6605757656814086E-2</v>
      </c>
      <c r="D23" s="7">
        <f t="shared" ref="D23:G23" si="17">D22/D3</f>
        <v>4.7114296006587182E-2</v>
      </c>
      <c r="E23" s="7">
        <f t="shared" si="17"/>
        <v>5.8276507999970473E-2</v>
      </c>
      <c r="F23" s="7">
        <f t="shared" si="17"/>
        <v>0.12503146364494813</v>
      </c>
      <c r="G23" s="105">
        <f t="shared" si="17"/>
        <v>0.10957801024077721</v>
      </c>
      <c r="H23" s="105">
        <f>H22/H3</f>
        <v>0.13572072483618347</v>
      </c>
      <c r="I23" s="105">
        <f>I22/I3</f>
        <v>0.10960877492454853</v>
      </c>
      <c r="J23" s="140"/>
      <c r="K23" s="67" t="s">
        <v>10</v>
      </c>
      <c r="L23" s="91"/>
      <c r="M23" s="91"/>
      <c r="N23" s="85"/>
      <c r="O23" s="4"/>
      <c r="P23" s="4"/>
      <c r="Q23" s="4"/>
      <c r="R23" s="149"/>
    </row>
    <row r="24" spans="1:19" x14ac:dyDescent="0.25">
      <c r="A24" s="72" t="s">
        <v>35</v>
      </c>
      <c r="B24" s="7" t="e">
        <f>B23/A23-1</f>
        <v>#VALUE!</v>
      </c>
      <c r="C24" s="7"/>
      <c r="D24" s="7">
        <f>D22/C22-1</f>
        <v>-0.40060559768672344</v>
      </c>
      <c r="E24" s="7">
        <f>E22/D22-1</f>
        <v>0.43287549038347639</v>
      </c>
      <c r="F24" s="7">
        <f t="shared" ref="F24" si="18">F22/E22-1</f>
        <v>1.6284843094905321</v>
      </c>
      <c r="G24" s="105">
        <f>G22/F22-1</f>
        <v>3.1340628745988086E-2</v>
      </c>
      <c r="H24" s="105">
        <f>H22/G22-1</f>
        <v>0.622157546444708</v>
      </c>
      <c r="I24" s="105">
        <f>I22/H22-1</f>
        <v>-0.21016228335013931</v>
      </c>
      <c r="J24" s="138"/>
      <c r="K24" s="68" t="s">
        <v>15</v>
      </c>
      <c r="L24" s="91">
        <v>1.6E-2</v>
      </c>
      <c r="M24" s="91">
        <v>1.6E-2</v>
      </c>
      <c r="N24" s="85">
        <v>1.6E-2</v>
      </c>
      <c r="O24" s="4">
        <v>0</v>
      </c>
      <c r="P24" s="4">
        <v>1.6E-2</v>
      </c>
      <c r="Q24" s="4">
        <v>1.6E-2</v>
      </c>
      <c r="R24" s="149">
        <v>1.6E-2</v>
      </c>
    </row>
    <row r="25" spans="1:19" x14ac:dyDescent="0.25">
      <c r="A25" s="72" t="s">
        <v>36</v>
      </c>
      <c r="B25" s="7"/>
      <c r="C25" s="8"/>
      <c r="D25" s="86"/>
      <c r="E25" s="105">
        <f>((E22/B22)^(1/3)-1)</f>
        <v>2.4316363051013479E-2</v>
      </c>
      <c r="F25" s="105">
        <f t="shared" ref="F25" si="19">((F22/C22)^(1/3)-1)</f>
        <v>0.31182380806542853</v>
      </c>
      <c r="G25" s="105">
        <f>((G22/D22)^(1/3)-1)</f>
        <v>0.57194974122649245</v>
      </c>
      <c r="H25" s="105">
        <f>((H22/E22)^(1/3)-1)</f>
        <v>0.63832546731397311</v>
      </c>
      <c r="I25" s="105">
        <f>((I22/F22)^(1/3)-1)</f>
        <v>9.7347913388599494E-2</v>
      </c>
      <c r="J25" s="138"/>
      <c r="K25" s="68" t="s">
        <v>27</v>
      </c>
      <c r="L25" s="91">
        <v>47.5</v>
      </c>
      <c r="M25" s="91">
        <v>42.929000000000002</v>
      </c>
      <c r="N25" s="85">
        <v>0</v>
      </c>
      <c r="O25" s="4">
        <v>10.029999999999999</v>
      </c>
      <c r="P25" s="4" t="s">
        <v>143</v>
      </c>
      <c r="Q25" s="4">
        <v>0</v>
      </c>
      <c r="R25" s="149">
        <v>0.83</v>
      </c>
    </row>
    <row r="26" spans="1:19" x14ac:dyDescent="0.25">
      <c r="A26" s="81" t="s">
        <v>142</v>
      </c>
      <c r="B26" s="83">
        <v>20.82</v>
      </c>
      <c r="C26" s="82">
        <v>53.45</v>
      </c>
      <c r="D26" s="89">
        <v>55.01</v>
      </c>
      <c r="E26" s="89">
        <v>45.69</v>
      </c>
      <c r="F26" s="89">
        <v>0.34</v>
      </c>
      <c r="G26" s="89">
        <v>112.83</v>
      </c>
      <c r="H26" s="89">
        <v>205.92699999999999</v>
      </c>
      <c r="I26" s="89">
        <v>144.22800000000001</v>
      </c>
      <c r="J26" s="138"/>
      <c r="K26" s="68" t="s">
        <v>11</v>
      </c>
      <c r="L26" s="91">
        <v>403.53300000000002</v>
      </c>
      <c r="M26" s="91">
        <v>320.35000000000002</v>
      </c>
      <c r="N26" s="85">
        <v>316.75799999999998</v>
      </c>
      <c r="O26" s="4">
        <v>377.3</v>
      </c>
      <c r="P26" s="4">
        <v>399.25200000000001</v>
      </c>
      <c r="Q26" s="4">
        <v>438.98399999999998</v>
      </c>
      <c r="R26" s="149">
        <v>467.22</v>
      </c>
    </row>
    <row r="27" spans="1:19" x14ac:dyDescent="0.25">
      <c r="A27" s="57" t="s">
        <v>46</v>
      </c>
      <c r="B27" s="4"/>
      <c r="C27" s="4"/>
      <c r="D27" s="85"/>
      <c r="E27" s="85"/>
      <c r="F27" s="85">
        <v>-1.17</v>
      </c>
      <c r="G27" s="91">
        <v>-0.29699999999999999</v>
      </c>
      <c r="H27" s="91">
        <v>-3.544</v>
      </c>
      <c r="I27" s="91">
        <v>9.8620000000000001</v>
      </c>
      <c r="J27" s="138"/>
      <c r="K27" s="68"/>
      <c r="L27" s="91"/>
      <c r="M27" s="91"/>
      <c r="N27" s="85"/>
      <c r="O27" s="4"/>
      <c r="P27" s="4"/>
      <c r="Q27" s="4"/>
      <c r="R27" s="149"/>
    </row>
    <row r="28" spans="1:19" x14ac:dyDescent="0.25">
      <c r="A28" s="66" t="s">
        <v>50</v>
      </c>
      <c r="B28" s="3">
        <f>B22+B27-B26</f>
        <v>125.65300000000002</v>
      </c>
      <c r="C28" s="53">
        <f>C22+C27-C26</f>
        <v>129.83999999999963</v>
      </c>
      <c r="D28" s="117">
        <f t="shared" ref="D28:G28" si="20">D22+D27-D26</f>
        <v>54.853000000000257</v>
      </c>
      <c r="E28" s="98">
        <f>E22+E27-E26</f>
        <v>111.73000000000025</v>
      </c>
      <c r="F28" s="98">
        <f t="shared" si="20"/>
        <v>412.26600000000025</v>
      </c>
      <c r="G28" s="117">
        <f t="shared" si="20"/>
        <v>313.61700000000019</v>
      </c>
      <c r="H28" s="123">
        <f>H22+H27-H26</f>
        <v>482.77500000000077</v>
      </c>
      <c r="I28" s="123">
        <f>I22+I27-I26</f>
        <v>412.39600000000002</v>
      </c>
      <c r="J28" s="140"/>
      <c r="K28" s="68"/>
      <c r="L28" s="91"/>
      <c r="M28" s="91"/>
      <c r="N28" s="85"/>
      <c r="O28" s="4"/>
      <c r="P28" s="4"/>
      <c r="Q28" s="4"/>
      <c r="R28" s="149"/>
    </row>
    <row r="29" spans="1:19" x14ac:dyDescent="0.25">
      <c r="A29" s="72" t="s">
        <v>35</v>
      </c>
      <c r="B29" s="7" t="e">
        <f t="shared" ref="B29" si="21">B28/A28-1</f>
        <v>#VALUE!</v>
      </c>
      <c r="C29" s="7"/>
      <c r="D29" s="129">
        <f t="shared" ref="D29:I29" si="22">D28/C28-1</f>
        <v>-0.57753388786198079</v>
      </c>
      <c r="E29" s="129">
        <f t="shared" si="22"/>
        <v>1.0368986199478556</v>
      </c>
      <c r="F29" s="129">
        <f t="shared" si="22"/>
        <v>2.6898415823861033</v>
      </c>
      <c r="G29" s="129">
        <f t="shared" si="22"/>
        <v>-0.23928483066757866</v>
      </c>
      <c r="H29" s="129">
        <f t="shared" si="22"/>
        <v>0.53937764853308479</v>
      </c>
      <c r="I29" s="129">
        <f t="shared" si="22"/>
        <v>-0.1457801253171781</v>
      </c>
      <c r="J29" s="142"/>
      <c r="K29" s="57" t="s">
        <v>138</v>
      </c>
      <c r="L29" s="91">
        <v>1.01</v>
      </c>
      <c r="M29" s="91">
        <v>0.68200000000000005</v>
      </c>
      <c r="N29" s="85">
        <v>1.569</v>
      </c>
      <c r="O29" s="4">
        <v>2.1</v>
      </c>
      <c r="P29" s="4">
        <v>1.298</v>
      </c>
      <c r="Q29" s="4">
        <v>2.238</v>
      </c>
      <c r="R29" s="149">
        <v>2.44</v>
      </c>
    </row>
    <row r="30" spans="1:19" ht="15.75" thickBot="1" x14ac:dyDescent="0.3">
      <c r="A30" s="72" t="s">
        <v>36</v>
      </c>
      <c r="B30" s="7"/>
      <c r="C30" s="8"/>
      <c r="D30" s="129"/>
      <c r="E30" s="129">
        <f>((E28/B28)^(1/3)-1)</f>
        <v>-3.8389982443712944E-2</v>
      </c>
      <c r="F30" s="129">
        <f>((F28/C28)^(1/3)-1)</f>
        <v>0.46979355128780242</v>
      </c>
      <c r="G30" s="129">
        <f>((G28/D28)^(1/3)-1)</f>
        <v>0.78813266623086187</v>
      </c>
      <c r="H30" s="129">
        <f>((H28/E28)^(1/3)-1)</f>
        <v>0.62876461086339019</v>
      </c>
      <c r="I30" s="129">
        <f>((I28/F28)^(1/3)-1)</f>
        <v>1.0509908495648368E-4</v>
      </c>
      <c r="J30" s="139"/>
      <c r="K30" s="57"/>
      <c r="L30" s="85">
        <v>0</v>
      </c>
      <c r="M30" s="85"/>
      <c r="N30" s="85"/>
      <c r="O30" s="155"/>
      <c r="P30" s="155"/>
      <c r="Q30" s="156"/>
      <c r="R30" s="157"/>
    </row>
    <row r="31" spans="1:19" ht="15.75" thickBot="1" x14ac:dyDescent="0.3">
      <c r="A31" s="57" t="s">
        <v>47</v>
      </c>
      <c r="B31" s="54"/>
      <c r="C31" s="54"/>
      <c r="D31" s="91"/>
      <c r="E31" s="91"/>
      <c r="F31" s="124"/>
      <c r="G31" s="124"/>
      <c r="H31" s="124"/>
      <c r="I31" s="124"/>
      <c r="J31" s="140"/>
      <c r="K31" s="112" t="s">
        <v>8</v>
      </c>
      <c r="L31" s="114">
        <f>SUM(L19:L30)</f>
        <v>558.11799999999994</v>
      </c>
      <c r="M31" s="114">
        <f>SUM(M19:M30)</f>
        <v>562.20500000000004</v>
      </c>
      <c r="N31" s="114">
        <f>SUM(N19:N30)</f>
        <v>522.31899999999996</v>
      </c>
      <c r="O31" s="114">
        <f t="shared" ref="O31:P31" si="23">SUM(O19:O30)</f>
        <v>595.79500000000007</v>
      </c>
      <c r="P31" s="114">
        <f t="shared" si="23"/>
        <v>620.79399999999998</v>
      </c>
      <c r="Q31" s="114">
        <f>SUM(Q19:Q30)</f>
        <v>651.71500000000003</v>
      </c>
      <c r="R31" s="148">
        <f>SUM(R19:R30)</f>
        <v>1412.6310000000001</v>
      </c>
    </row>
    <row r="32" spans="1:19" x14ac:dyDescent="0.25">
      <c r="A32" s="68" t="s">
        <v>51</v>
      </c>
      <c r="B32" s="4">
        <v>3.05</v>
      </c>
      <c r="C32" s="4">
        <v>3.32</v>
      </c>
      <c r="D32" s="91">
        <v>1.33</v>
      </c>
      <c r="E32" s="92">
        <v>2.71</v>
      </c>
      <c r="F32" s="85">
        <v>10.039999999999999</v>
      </c>
      <c r="G32" s="91">
        <v>7.62</v>
      </c>
      <c r="H32" s="91">
        <v>10.91</v>
      </c>
      <c r="I32" s="91">
        <v>10.02</v>
      </c>
      <c r="J32" s="140"/>
      <c r="K32" s="57"/>
      <c r="L32" s="3"/>
      <c r="M32" s="3"/>
      <c r="N32" s="4"/>
      <c r="O32" s="4"/>
      <c r="P32" s="4"/>
      <c r="Q32" s="4"/>
      <c r="R32" s="149"/>
    </row>
    <row r="33" spans="1:18" x14ac:dyDescent="0.25">
      <c r="A33" s="68" t="s">
        <v>52</v>
      </c>
      <c r="B33" s="4">
        <v>3.05</v>
      </c>
      <c r="C33" s="4">
        <v>3.32</v>
      </c>
      <c r="D33" s="91">
        <v>1.33</v>
      </c>
      <c r="E33" s="92">
        <v>2.71</v>
      </c>
      <c r="F33" s="85">
        <v>10.039999999999999</v>
      </c>
      <c r="G33" s="91">
        <v>7.25</v>
      </c>
      <c r="H33" s="91">
        <v>10.38</v>
      </c>
      <c r="I33" s="91">
        <v>9.5399999999999991</v>
      </c>
      <c r="J33" s="140"/>
      <c r="K33" s="154" t="s">
        <v>12</v>
      </c>
      <c r="L33" s="4"/>
      <c r="M33" s="4"/>
      <c r="N33" s="4"/>
      <c r="O33" s="4"/>
      <c r="P33" s="4"/>
      <c r="Q33" s="4"/>
      <c r="R33" s="149"/>
    </row>
    <row r="34" spans="1:18" x14ac:dyDescent="0.25">
      <c r="A34" s="72" t="s">
        <v>35</v>
      </c>
      <c r="B34" s="86"/>
      <c r="C34" s="129">
        <f t="shared" ref="C34:G34" si="24">C33/B33-1</f>
        <v>8.8524590163934436E-2</v>
      </c>
      <c r="D34" s="129">
        <f>(D33/C33)-1</f>
        <v>-0.59939759036144569</v>
      </c>
      <c r="E34" s="129">
        <f t="shared" si="24"/>
        <v>1.0375939849624061</v>
      </c>
      <c r="F34" s="129">
        <f t="shared" si="24"/>
        <v>2.7047970479704793</v>
      </c>
      <c r="G34" s="129">
        <f t="shared" si="24"/>
        <v>-0.27788844621513942</v>
      </c>
      <c r="H34" s="129">
        <f>H33/G33-1</f>
        <v>0.43172413793103459</v>
      </c>
      <c r="I34" s="129">
        <f>I33/H33-1</f>
        <v>-8.0924855491329661E-2</v>
      </c>
      <c r="J34" s="141"/>
      <c r="K34" s="154"/>
      <c r="L34" s="4"/>
      <c r="M34" s="4"/>
      <c r="N34" s="4"/>
      <c r="O34" s="4"/>
      <c r="P34" s="54"/>
      <c r="Q34" s="54"/>
      <c r="R34" s="146"/>
    </row>
    <row r="35" spans="1:18" x14ac:dyDescent="0.25">
      <c r="A35" s="72" t="s">
        <v>36</v>
      </c>
      <c r="B35" s="8"/>
      <c r="C35" s="129"/>
      <c r="D35" s="129"/>
      <c r="E35" s="129">
        <f>((E33/B33)^(1/3)-1)</f>
        <v>-3.8631656830016459E-2</v>
      </c>
      <c r="F35" s="129">
        <f>((F33/C33)^(1/3)-1)</f>
        <v>0.44610072228825803</v>
      </c>
      <c r="G35" s="129">
        <f>((G33/D33)^(1/3)-1)</f>
        <v>0.75993024641217266</v>
      </c>
      <c r="H35" s="129">
        <f>((H33/E33)^(1/3)-1)</f>
        <v>0.56462171786245019</v>
      </c>
      <c r="I35" s="129">
        <f>((I33/F33)^(1/3)-1)</f>
        <v>-1.6883721359734927E-2</v>
      </c>
      <c r="J35" s="138"/>
      <c r="K35" s="57" t="s">
        <v>13</v>
      </c>
      <c r="L35" s="54">
        <v>4217.2969999999996</v>
      </c>
      <c r="M35" s="54">
        <v>3881.049</v>
      </c>
      <c r="N35" s="4">
        <v>3547.1329999999998</v>
      </c>
      <c r="O35" s="4">
        <v>4469.8069999999998</v>
      </c>
      <c r="P35" s="4">
        <v>4838.1289999999999</v>
      </c>
      <c r="Q35" s="4">
        <v>5551.3530000000001</v>
      </c>
      <c r="R35" s="149">
        <v>7284.73</v>
      </c>
    </row>
    <row r="36" spans="1:18" ht="15.75" thickBot="1" x14ac:dyDescent="0.3">
      <c r="A36" s="125"/>
      <c r="B36" s="126"/>
      <c r="C36" s="127"/>
      <c r="D36" s="128"/>
      <c r="E36" s="128"/>
      <c r="F36" s="128"/>
      <c r="G36" s="128"/>
      <c r="H36" s="128"/>
      <c r="I36" s="128"/>
      <c r="J36" s="140"/>
      <c r="K36" s="67" t="s">
        <v>10</v>
      </c>
      <c r="L36" s="54"/>
      <c r="M36" s="54"/>
      <c r="N36" s="4"/>
      <c r="O36" s="4"/>
      <c r="P36" s="4"/>
      <c r="Q36" s="4"/>
      <c r="R36" s="149"/>
    </row>
    <row r="37" spans="1:18" x14ac:dyDescent="0.25">
      <c r="A37" s="57"/>
      <c r="G37" s="124"/>
      <c r="H37" s="124"/>
      <c r="I37" s="91"/>
      <c r="J37" s="51"/>
      <c r="K37" s="57" t="s">
        <v>15</v>
      </c>
      <c r="L37" s="54">
        <v>1.7130000000000001</v>
      </c>
      <c r="M37" s="54">
        <v>1.6990000000000001</v>
      </c>
      <c r="N37" s="4">
        <v>0.255</v>
      </c>
      <c r="O37" s="4">
        <v>0.26100000000000001</v>
      </c>
      <c r="P37" s="4">
        <v>0.26800000000000002</v>
      </c>
      <c r="Q37" s="4">
        <v>0.26600000000000001</v>
      </c>
      <c r="R37" s="149">
        <v>0.26600000000000001</v>
      </c>
    </row>
    <row r="38" spans="1:18" x14ac:dyDescent="0.25">
      <c r="A38" s="77" t="s">
        <v>53</v>
      </c>
      <c r="B38" s="167" t="s">
        <v>33</v>
      </c>
      <c r="C38" s="167" t="s">
        <v>1</v>
      </c>
      <c r="D38" s="167" t="s">
        <v>2</v>
      </c>
      <c r="E38" s="167" t="s">
        <v>48</v>
      </c>
      <c r="F38" s="167" t="s">
        <v>134</v>
      </c>
      <c r="G38" s="167" t="s">
        <v>135</v>
      </c>
      <c r="H38" s="167" t="s">
        <v>155</v>
      </c>
      <c r="I38" s="168" t="s">
        <v>160</v>
      </c>
      <c r="J38" s="50"/>
      <c r="K38" s="68" t="s">
        <v>14</v>
      </c>
      <c r="L38" s="54">
        <v>283.392</v>
      </c>
      <c r="M38" s="52">
        <v>351.41800000000001</v>
      </c>
      <c r="N38" s="97">
        <v>259.87700000000001</v>
      </c>
      <c r="O38" s="85">
        <v>598.54</v>
      </c>
      <c r="P38" s="4">
        <v>851.72299999999996</v>
      </c>
      <c r="Q38" s="4">
        <v>1038.6289999999999</v>
      </c>
      <c r="R38" s="149">
        <v>1138.03</v>
      </c>
    </row>
    <row r="39" spans="1:18" x14ac:dyDescent="0.25">
      <c r="A39" s="57" t="s">
        <v>54</v>
      </c>
      <c r="B39" s="4">
        <v>223.11</v>
      </c>
      <c r="C39" s="104">
        <v>122.71</v>
      </c>
      <c r="D39" s="91">
        <v>149.40199999999999</v>
      </c>
      <c r="E39" s="4">
        <v>114.908</v>
      </c>
      <c r="F39" s="4">
        <v>120.054</v>
      </c>
      <c r="G39" s="91">
        <v>146.30600000000001</v>
      </c>
      <c r="H39" s="91">
        <v>79.611000000000004</v>
      </c>
      <c r="I39" s="169">
        <v>150.46899999999999</v>
      </c>
      <c r="J39" s="53"/>
      <c r="K39" s="68" t="s">
        <v>16</v>
      </c>
      <c r="L39" s="54">
        <v>149.40199999999999</v>
      </c>
      <c r="M39" s="52">
        <v>114.908</v>
      </c>
      <c r="N39" s="97">
        <v>120.054</v>
      </c>
      <c r="O39" s="85">
        <v>146.30000000000001</v>
      </c>
      <c r="P39" s="4">
        <v>79.619</v>
      </c>
      <c r="Q39" s="4">
        <v>150.46899999999999</v>
      </c>
      <c r="R39" s="149">
        <v>181.82</v>
      </c>
    </row>
    <row r="40" spans="1:18" x14ac:dyDescent="0.25">
      <c r="A40" s="57"/>
      <c r="B40" s="4"/>
      <c r="C40" s="85"/>
      <c r="D40" s="85"/>
      <c r="E40" s="4"/>
      <c r="F40" s="4"/>
      <c r="G40" s="91"/>
      <c r="H40" s="91"/>
      <c r="I40" s="169"/>
      <c r="J40" s="53"/>
      <c r="K40" s="68" t="s">
        <v>148</v>
      </c>
      <c r="L40" s="54">
        <v>0</v>
      </c>
      <c r="M40" s="52">
        <v>101.19</v>
      </c>
      <c r="N40" s="97">
        <v>25.452999999999999</v>
      </c>
      <c r="O40" s="85">
        <v>22.3</v>
      </c>
      <c r="P40" s="4">
        <v>56.414999999999999</v>
      </c>
      <c r="Q40" s="4">
        <v>86.944000000000003</v>
      </c>
      <c r="R40" s="149">
        <v>282.41899999999998</v>
      </c>
    </row>
    <row r="41" spans="1:18" x14ac:dyDescent="0.25">
      <c r="A41" s="57"/>
      <c r="B41" s="4"/>
      <c r="C41" s="85"/>
      <c r="D41" s="85"/>
      <c r="E41" s="4"/>
      <c r="F41" s="4"/>
      <c r="G41" s="91"/>
      <c r="H41" s="91"/>
      <c r="I41" s="169"/>
      <c r="J41" s="53"/>
      <c r="K41" s="68" t="s">
        <v>149</v>
      </c>
      <c r="L41" s="54">
        <v>1551.7</v>
      </c>
      <c r="M41" s="52">
        <v>1925.0419999999999</v>
      </c>
      <c r="N41" s="97">
        <v>1997.9670000000001</v>
      </c>
      <c r="O41" s="85">
        <v>2221.88</v>
      </c>
      <c r="P41" s="4">
        <v>2932.348</v>
      </c>
      <c r="Q41" s="4">
        <v>3967.078</v>
      </c>
      <c r="R41" s="149">
        <v>4754.848</v>
      </c>
    </row>
    <row r="42" spans="1:18" x14ac:dyDescent="0.25">
      <c r="A42" s="68" t="s">
        <v>55</v>
      </c>
      <c r="B42" s="4">
        <v>301.91000000000003</v>
      </c>
      <c r="C42" s="91">
        <v>-811.37</v>
      </c>
      <c r="D42" s="91">
        <v>254.10400000000001</v>
      </c>
      <c r="E42" s="4">
        <v>1205.222</v>
      </c>
      <c r="F42" s="4">
        <v>206.84</v>
      </c>
      <c r="G42" s="91">
        <v>-118.004</v>
      </c>
      <c r="H42" s="91">
        <v>-1206.8900000000001</v>
      </c>
      <c r="I42" s="169">
        <v>-1778.4069999999999</v>
      </c>
      <c r="J42" s="51"/>
      <c r="K42" s="68" t="s">
        <v>150</v>
      </c>
      <c r="L42" s="54">
        <v>17.399999999999999</v>
      </c>
      <c r="M42" s="52">
        <v>3.05</v>
      </c>
      <c r="N42" s="97">
        <v>48.423000000000002</v>
      </c>
      <c r="O42" s="85">
        <v>32.090000000000003</v>
      </c>
      <c r="P42" s="4">
        <v>17.579000000000001</v>
      </c>
      <c r="Q42" s="4">
        <v>34.155999999999999</v>
      </c>
      <c r="R42" s="150">
        <v>0</v>
      </c>
    </row>
    <row r="43" spans="1:18" x14ac:dyDescent="0.25">
      <c r="A43" s="68" t="s">
        <v>56</v>
      </c>
      <c r="B43" s="4">
        <v>-144.41999999999999</v>
      </c>
      <c r="C43" s="91">
        <v>175.72</v>
      </c>
      <c r="D43" s="91">
        <v>-76.7</v>
      </c>
      <c r="E43" s="4">
        <v>-7.4240000000000004</v>
      </c>
      <c r="F43" s="4">
        <v>-7.8929999999999998</v>
      </c>
      <c r="G43" s="91">
        <v>-18.093</v>
      </c>
      <c r="H43" s="91">
        <v>-6.6139999999999999</v>
      </c>
      <c r="I43" s="169">
        <v>-796.70399999999995</v>
      </c>
      <c r="J43" s="51"/>
      <c r="K43" s="68" t="s">
        <v>27</v>
      </c>
      <c r="L43" s="54">
        <v>156.46600000000001</v>
      </c>
      <c r="M43" s="52">
        <v>210.798</v>
      </c>
      <c r="N43" s="97">
        <v>48.716000000000001</v>
      </c>
      <c r="O43" s="85">
        <v>113.87</v>
      </c>
      <c r="P43" s="4">
        <v>0.58399999999999996</v>
      </c>
      <c r="Q43" s="4">
        <v>0.70399999999999996</v>
      </c>
      <c r="R43" s="149">
        <v>0.82699999999999996</v>
      </c>
    </row>
    <row r="44" spans="1:18" ht="15.75" thickBot="1" x14ac:dyDescent="0.3">
      <c r="A44" s="68" t="s">
        <v>57</v>
      </c>
      <c r="B44" s="4">
        <v>-80.400000000000006</v>
      </c>
      <c r="C44" s="91">
        <v>662.33100000000002</v>
      </c>
      <c r="D44" s="91">
        <v>-211.9</v>
      </c>
      <c r="E44" s="4">
        <v>-1192.652</v>
      </c>
      <c r="F44" s="4">
        <v>-172.714</v>
      </c>
      <c r="G44" s="91">
        <v>69.402000000000001</v>
      </c>
      <c r="H44" s="91">
        <v>1284.3620000000001</v>
      </c>
      <c r="I44" s="169">
        <v>2606.4580000000001</v>
      </c>
      <c r="K44" s="57" t="s">
        <v>17</v>
      </c>
      <c r="L44" s="54">
        <v>336.54</v>
      </c>
      <c r="M44" s="52">
        <v>324.71499999999997</v>
      </c>
      <c r="N44" s="97">
        <v>318.32499999999999</v>
      </c>
      <c r="O44" s="85">
        <v>342.09</v>
      </c>
      <c r="P44" s="4">
        <v>414.58600000000001</v>
      </c>
      <c r="Q44" s="4">
        <v>484.83</v>
      </c>
      <c r="R44" s="149">
        <v>762.84</v>
      </c>
    </row>
    <row r="45" spans="1:18" ht="15.75" thickBot="1" x14ac:dyDescent="0.3">
      <c r="A45" s="78" t="s">
        <v>58</v>
      </c>
      <c r="B45" s="79">
        <f t="shared" ref="B45" si="25">SUM(B42:B44)</f>
        <v>77.090000000000032</v>
      </c>
      <c r="C45" s="79">
        <f>SUM(C42:C44)</f>
        <v>26.68100000000004</v>
      </c>
      <c r="D45" s="79">
        <f>SUM(D42:D44)</f>
        <v>-34.496000000000009</v>
      </c>
      <c r="E45" s="79">
        <f t="shared" ref="E45:G45" si="26">SUM(E42:E44)</f>
        <v>5.1459999999999582</v>
      </c>
      <c r="F45" s="79">
        <f t="shared" si="26"/>
        <v>26.233000000000004</v>
      </c>
      <c r="G45" s="122">
        <f t="shared" si="26"/>
        <v>-66.695000000000007</v>
      </c>
      <c r="H45" s="170">
        <f>SUM(H42:H44)</f>
        <v>70.857999999999947</v>
      </c>
      <c r="I45" s="171">
        <f>SUM(I42:I44)</f>
        <v>31.347000000000207</v>
      </c>
      <c r="K45" s="112" t="s">
        <v>12</v>
      </c>
      <c r="L45" s="113">
        <f>SUM(L35:L44)</f>
        <v>6713.9099999999989</v>
      </c>
      <c r="M45" s="113">
        <f>SUM(M35:M44)</f>
        <v>6913.8690000000006</v>
      </c>
      <c r="N45" s="113">
        <f>SUM(N35:N44)</f>
        <v>6366.2029999999995</v>
      </c>
      <c r="O45" s="113">
        <f>SUM(O35:O44)</f>
        <v>7947.1380000000008</v>
      </c>
      <c r="P45" s="113">
        <f t="shared" ref="P45:Q45" si="27">SUM(P35:P44)</f>
        <v>9191.2510000000002</v>
      </c>
      <c r="Q45" s="113">
        <f t="shared" si="27"/>
        <v>11314.429</v>
      </c>
      <c r="R45" s="158">
        <f t="shared" ref="R45" si="28">SUM(R35:R44)</f>
        <v>14405.779999999999</v>
      </c>
    </row>
    <row r="46" spans="1:18" x14ac:dyDescent="0.25">
      <c r="A46" s="65" t="s">
        <v>59</v>
      </c>
      <c r="B46" s="55">
        <f t="shared" ref="B46:D46" si="29">B39+B45</f>
        <v>300.20000000000005</v>
      </c>
      <c r="C46" s="55">
        <f t="shared" si="29"/>
        <v>149.39100000000002</v>
      </c>
      <c r="D46" s="55">
        <f t="shared" si="29"/>
        <v>114.90599999999998</v>
      </c>
      <c r="E46" s="55">
        <f>E39+E45</f>
        <v>120.05399999999996</v>
      </c>
      <c r="F46" s="55">
        <f>F39+F45</f>
        <v>146.28700000000001</v>
      </c>
      <c r="G46" s="87">
        <f>G39+G45</f>
        <v>79.611000000000004</v>
      </c>
      <c r="H46" s="172">
        <f>H39+H45</f>
        <v>150.46899999999994</v>
      </c>
      <c r="I46" s="173">
        <f>I39+I45</f>
        <v>181.8160000000002</v>
      </c>
      <c r="K46" s="57"/>
      <c r="L46" s="4"/>
      <c r="M46" s="84"/>
      <c r="N46" s="84"/>
      <c r="O46" s="84"/>
      <c r="P46" s="84"/>
      <c r="Q46" s="84"/>
      <c r="R46" s="150"/>
    </row>
    <row r="47" spans="1:18" x14ac:dyDescent="0.25">
      <c r="A47" s="57"/>
      <c r="B47" s="155"/>
      <c r="C47" s="174"/>
      <c r="D47" s="174"/>
      <c r="E47" s="155"/>
      <c r="F47" s="155"/>
      <c r="G47" s="175"/>
      <c r="H47" s="175"/>
      <c r="I47" s="176"/>
      <c r="J47" s="51"/>
      <c r="K47" s="66" t="s">
        <v>91</v>
      </c>
      <c r="L47" s="53">
        <v>0</v>
      </c>
      <c r="M47" s="94">
        <v>0</v>
      </c>
      <c r="N47" s="94">
        <v>0</v>
      </c>
      <c r="O47" s="94"/>
      <c r="P47" s="94"/>
      <c r="Q47" s="94"/>
      <c r="R47" s="159"/>
    </row>
    <row r="48" spans="1:18" x14ac:dyDescent="0.25">
      <c r="A48" s="77" t="s">
        <v>60</v>
      </c>
      <c r="B48" s="167" t="s">
        <v>33</v>
      </c>
      <c r="C48" s="177" t="s">
        <v>1</v>
      </c>
      <c r="D48" s="177" t="s">
        <v>2</v>
      </c>
      <c r="E48" s="177" t="s">
        <v>48</v>
      </c>
      <c r="F48" s="177" t="s">
        <v>134</v>
      </c>
      <c r="G48" s="177" t="s">
        <v>135</v>
      </c>
      <c r="H48" s="177" t="s">
        <v>155</v>
      </c>
      <c r="I48" s="178" t="s">
        <v>160</v>
      </c>
      <c r="J48" s="51"/>
      <c r="K48" s="57"/>
      <c r="L48" s="4"/>
      <c r="M48" s="84"/>
      <c r="N48" s="84"/>
      <c r="O48" s="84"/>
      <c r="P48" s="84"/>
      <c r="Q48" s="84"/>
      <c r="R48" s="150"/>
    </row>
    <row r="49" spans="1:22" x14ac:dyDescent="0.25">
      <c r="A49" s="57" t="s">
        <v>61</v>
      </c>
      <c r="B49" s="4">
        <f t="shared" ref="B49:D49" si="30">B42</f>
        <v>301.91000000000003</v>
      </c>
      <c r="C49" s="85">
        <f t="shared" si="30"/>
        <v>-811.37</v>
      </c>
      <c r="D49" s="91">
        <f t="shared" si="30"/>
        <v>254.10400000000001</v>
      </c>
      <c r="E49" s="85">
        <f>E42</f>
        <v>1205.222</v>
      </c>
      <c r="F49" s="85">
        <f>F42</f>
        <v>206.84</v>
      </c>
      <c r="G49" s="91">
        <f>G42</f>
        <v>-118.004</v>
      </c>
      <c r="H49" s="91">
        <f>H42</f>
        <v>-1206.8900000000001</v>
      </c>
      <c r="I49" s="169">
        <f>I42</f>
        <v>-1778.4069999999999</v>
      </c>
      <c r="K49" s="67" t="s">
        <v>18</v>
      </c>
      <c r="L49" s="4"/>
      <c r="M49" s="84"/>
      <c r="N49" s="84"/>
      <c r="O49" s="84"/>
      <c r="P49" s="84"/>
      <c r="Q49" s="84"/>
      <c r="R49" s="150"/>
    </row>
    <row r="50" spans="1:22" x14ac:dyDescent="0.25">
      <c r="A50" s="58" t="s">
        <v>62</v>
      </c>
      <c r="B50" s="59">
        <v>-71.043999999999997</v>
      </c>
      <c r="C50" s="103">
        <v>-26.64</v>
      </c>
      <c r="D50" s="103">
        <v>-10.496</v>
      </c>
      <c r="E50" s="103">
        <v>-14.882999999999999</v>
      </c>
      <c r="F50" s="103">
        <v>-19.736000000000001</v>
      </c>
      <c r="G50" s="103">
        <v>-31.09</v>
      </c>
      <c r="H50" s="103">
        <v>-12.125999999999999</v>
      </c>
      <c r="I50" s="179">
        <f>I44+820.419</f>
        <v>3426.877</v>
      </c>
      <c r="K50" s="57" t="s">
        <v>19</v>
      </c>
      <c r="L50" s="91">
        <v>404.85899999999998</v>
      </c>
      <c r="M50" s="52">
        <v>630.71</v>
      </c>
      <c r="N50" s="97">
        <v>527.97299999999996</v>
      </c>
      <c r="O50" s="85">
        <v>617.99300000000005</v>
      </c>
      <c r="P50" s="85">
        <f>23.194+722.535</f>
        <v>745.72899999999993</v>
      </c>
      <c r="Q50" s="85">
        <f>5.795+632.907</f>
        <v>638.702</v>
      </c>
      <c r="R50" s="160">
        <v>763.29</v>
      </c>
      <c r="U50" s="2"/>
    </row>
    <row r="51" spans="1:22" x14ac:dyDescent="0.25">
      <c r="A51" s="65" t="s">
        <v>63</v>
      </c>
      <c r="B51" s="55">
        <f t="shared" ref="B51:E51" si="31">SUM(B49:B50)</f>
        <v>230.86600000000004</v>
      </c>
      <c r="C51" s="87">
        <f t="shared" si="31"/>
        <v>-838.01</v>
      </c>
      <c r="D51" s="87">
        <f t="shared" si="31"/>
        <v>243.608</v>
      </c>
      <c r="E51" s="87">
        <f t="shared" si="31"/>
        <v>1190.3389999999999</v>
      </c>
      <c r="F51" s="87">
        <f>SUM(F49:F50)</f>
        <v>187.10400000000001</v>
      </c>
      <c r="G51" s="87">
        <f>SUM(G49:G50)</f>
        <v>-149.09399999999999</v>
      </c>
      <c r="H51" s="172">
        <f>SUM(H49:H50)</f>
        <v>-1219.0160000000001</v>
      </c>
      <c r="I51" s="173">
        <f>SUM(I49:I50)</f>
        <v>1648.47</v>
      </c>
      <c r="K51" s="57" t="s">
        <v>29</v>
      </c>
      <c r="L51" s="91">
        <v>173.22800000000001</v>
      </c>
      <c r="M51" s="52">
        <v>25.193000000000001</v>
      </c>
      <c r="N51" s="97">
        <v>31.035</v>
      </c>
      <c r="O51" s="85">
        <v>77.099999999999994</v>
      </c>
      <c r="P51" s="85">
        <v>51.716000000000001</v>
      </c>
      <c r="Q51" s="85">
        <v>86.965999999999994</v>
      </c>
      <c r="R51" s="160">
        <v>279.61900000000003</v>
      </c>
    </row>
    <row r="52" spans="1:22" x14ac:dyDescent="0.25">
      <c r="A52" s="57"/>
      <c r="B52" s="155"/>
      <c r="C52" s="174"/>
      <c r="D52" s="174"/>
      <c r="E52" s="174"/>
      <c r="F52" s="174"/>
      <c r="G52" s="155"/>
      <c r="H52" s="155"/>
      <c r="I52" s="169"/>
      <c r="K52" s="57" t="s">
        <v>30</v>
      </c>
      <c r="L52" s="91">
        <v>22.677</v>
      </c>
      <c r="M52" s="52">
        <v>34.71</v>
      </c>
      <c r="N52" s="97">
        <v>34.079000000000001</v>
      </c>
      <c r="O52" s="85">
        <v>48.49</v>
      </c>
      <c r="P52" s="85">
        <v>108.658</v>
      </c>
      <c r="Q52" s="85">
        <v>139.67400000000001</v>
      </c>
      <c r="R52" s="160">
        <v>121.31</v>
      </c>
    </row>
    <row r="53" spans="1:22" x14ac:dyDescent="0.25">
      <c r="A53" s="77" t="s">
        <v>60</v>
      </c>
      <c r="B53" s="177" t="s">
        <v>33</v>
      </c>
      <c r="C53" s="177" t="s">
        <v>1</v>
      </c>
      <c r="D53" s="177" t="s">
        <v>2</v>
      </c>
      <c r="E53" s="177" t="s">
        <v>48</v>
      </c>
      <c r="F53" s="177" t="s">
        <v>134</v>
      </c>
      <c r="G53" s="177" t="s">
        <v>135</v>
      </c>
      <c r="H53" s="177" t="s">
        <v>155</v>
      </c>
      <c r="I53" s="178" t="s">
        <v>160</v>
      </c>
      <c r="K53" s="57" t="s">
        <v>28</v>
      </c>
      <c r="L53" s="91">
        <v>72.656999999999996</v>
      </c>
      <c r="M53" s="52">
        <v>6.6609999999999996</v>
      </c>
      <c r="N53" s="97">
        <v>6.9589999999999996</v>
      </c>
      <c r="O53" s="85">
        <v>6.37</v>
      </c>
      <c r="P53" s="52">
        <v>10.759</v>
      </c>
      <c r="Q53" s="52">
        <v>44.048999999999999</v>
      </c>
      <c r="R53" s="161">
        <v>37.414999999999999</v>
      </c>
      <c r="S53" s="132"/>
    </row>
    <row r="54" spans="1:22" x14ac:dyDescent="0.25">
      <c r="A54" s="57" t="s">
        <v>101</v>
      </c>
      <c r="B54" s="4">
        <v>41.16</v>
      </c>
      <c r="C54" s="4">
        <v>41.16</v>
      </c>
      <c r="D54" s="4">
        <v>41.16</v>
      </c>
      <c r="E54" s="4">
        <v>41.16</v>
      </c>
      <c r="F54" s="4">
        <v>41.16</v>
      </c>
      <c r="G54" s="4">
        <v>41.16</v>
      </c>
      <c r="H54" s="4">
        <f>41159991/10^6</f>
        <v>41.159990999999998</v>
      </c>
      <c r="I54" s="149">
        <f>41159991/10^6</f>
        <v>41.159990999999998</v>
      </c>
      <c r="K54" s="57" t="s">
        <v>152</v>
      </c>
      <c r="L54" s="91">
        <v>26.3</v>
      </c>
      <c r="M54" s="52"/>
      <c r="N54" s="97"/>
      <c r="O54" s="85">
        <v>0</v>
      </c>
      <c r="P54" s="52"/>
      <c r="Q54" s="52"/>
      <c r="R54" s="161"/>
    </row>
    <row r="55" spans="1:22" ht="15.75" thickBot="1" x14ac:dyDescent="0.3">
      <c r="A55" s="57" t="s">
        <v>102</v>
      </c>
      <c r="B55" s="4">
        <v>10</v>
      </c>
      <c r="C55" s="85">
        <v>10</v>
      </c>
      <c r="D55" s="85">
        <v>10</v>
      </c>
      <c r="E55" s="85">
        <v>10</v>
      </c>
      <c r="F55" s="85">
        <v>10</v>
      </c>
      <c r="G55" s="85">
        <v>10</v>
      </c>
      <c r="H55" s="85">
        <v>10</v>
      </c>
      <c r="I55" s="160">
        <v>10</v>
      </c>
      <c r="K55" s="57" t="s">
        <v>151</v>
      </c>
      <c r="L55" s="91">
        <v>1435.798</v>
      </c>
      <c r="M55" s="52">
        <v>1444.08</v>
      </c>
      <c r="N55" s="97">
        <v>1700.2670000000001</v>
      </c>
      <c r="O55" s="85">
        <v>2770.18</v>
      </c>
      <c r="P55" s="52">
        <v>3113.625</v>
      </c>
      <c r="Q55" s="52">
        <v>3035.2350000000001</v>
      </c>
      <c r="R55" s="161">
        <v>3420.377</v>
      </c>
    </row>
    <row r="56" spans="1:22" x14ac:dyDescent="0.25">
      <c r="A56" s="58" t="s">
        <v>67</v>
      </c>
      <c r="B56" s="59" t="e">
        <f>B54*#REF!</f>
        <v>#REF!</v>
      </c>
      <c r="C56" s="103">
        <f t="shared" ref="C56:I56" si="32">C54*L72</f>
        <v>2226.7559999999999</v>
      </c>
      <c r="D56" s="103">
        <f t="shared" si="32"/>
        <v>882.88199999999995</v>
      </c>
      <c r="E56" s="103">
        <f t="shared" si="32"/>
        <v>1455.0059999999999</v>
      </c>
      <c r="F56" s="103">
        <f t="shared" si="32"/>
        <v>5394.018</v>
      </c>
      <c r="G56" s="59">
        <f t="shared" si="32"/>
        <v>8184.6659999999993</v>
      </c>
      <c r="H56" s="59">
        <f t="shared" si="32"/>
        <v>13533.4050408</v>
      </c>
      <c r="I56" s="143">
        <f>I54*R72</f>
        <v>16612.1723676</v>
      </c>
      <c r="K56" s="108" t="s">
        <v>18</v>
      </c>
      <c r="L56" s="111">
        <f t="shared" ref="L56:Q56" si="33">SUM(L50:L55)</f>
        <v>2135.5190000000002</v>
      </c>
      <c r="M56" s="111">
        <f t="shared" si="33"/>
        <v>2141.3539999999998</v>
      </c>
      <c r="N56" s="111">
        <f t="shared" si="33"/>
        <v>2300.3130000000001</v>
      </c>
      <c r="O56" s="111">
        <f t="shared" si="33"/>
        <v>3520.1329999999998</v>
      </c>
      <c r="P56" s="111">
        <f t="shared" si="33"/>
        <v>4030.4870000000001</v>
      </c>
      <c r="Q56" s="111">
        <f t="shared" si="33"/>
        <v>3944.6260000000002</v>
      </c>
      <c r="R56" s="162">
        <f>SUM(R50:R55)</f>
        <v>4622.0110000000004</v>
      </c>
    </row>
    <row r="57" spans="1:22" ht="15.75" thickBot="1" x14ac:dyDescent="0.3">
      <c r="A57" s="58" t="s">
        <v>65</v>
      </c>
      <c r="B57" s="59" t="e">
        <f>#REF!</f>
        <v>#REF!</v>
      </c>
      <c r="C57" s="103">
        <f t="shared" ref="C57:H57" si="34">L12</f>
        <v>3777.7190000000001</v>
      </c>
      <c r="D57" s="103">
        <f t="shared" si="34"/>
        <v>3866.8869999999997</v>
      </c>
      <c r="E57" s="103">
        <f t="shared" si="34"/>
        <v>2955.1909999999998</v>
      </c>
      <c r="F57" s="103">
        <f t="shared" si="34"/>
        <v>2992.7849999999999</v>
      </c>
      <c r="G57" s="59">
        <f t="shared" si="34"/>
        <v>3318.6189999999997</v>
      </c>
      <c r="H57" s="59">
        <f t="shared" si="34"/>
        <v>4773.9449999999997</v>
      </c>
      <c r="I57" s="143">
        <f>R12</f>
        <v>7383.7309999999998</v>
      </c>
      <c r="K57" s="70" t="s">
        <v>20</v>
      </c>
      <c r="L57" s="99">
        <f t="shared" ref="L57:Q57" si="35">L45-L56</f>
        <v>4578.3909999999987</v>
      </c>
      <c r="M57" s="71">
        <f t="shared" si="35"/>
        <v>4772.5150000000012</v>
      </c>
      <c r="N57" s="71">
        <f t="shared" si="35"/>
        <v>4065.8899999999994</v>
      </c>
      <c r="O57" s="71">
        <f t="shared" si="35"/>
        <v>4427.005000000001</v>
      </c>
      <c r="P57" s="71">
        <f t="shared" si="35"/>
        <v>5160.7640000000001</v>
      </c>
      <c r="Q57" s="71">
        <f t="shared" si="35"/>
        <v>7369.8029999999999</v>
      </c>
      <c r="R57" s="163">
        <f>R45-R56</f>
        <v>9783.7689999999984</v>
      </c>
    </row>
    <row r="58" spans="1:22" x14ac:dyDescent="0.25">
      <c r="A58" s="58" t="s">
        <v>66</v>
      </c>
      <c r="B58" s="59" t="e">
        <f>#REF!+#REF!</f>
        <v>#REF!</v>
      </c>
      <c r="C58" s="103">
        <f t="shared" ref="C58:H58" si="36">L39</f>
        <v>149.40199999999999</v>
      </c>
      <c r="D58" s="103">
        <f t="shared" si="36"/>
        <v>114.908</v>
      </c>
      <c r="E58" s="103">
        <f t="shared" si="36"/>
        <v>120.054</v>
      </c>
      <c r="F58" s="103">
        <f t="shared" si="36"/>
        <v>146.30000000000001</v>
      </c>
      <c r="G58" s="103">
        <f t="shared" si="36"/>
        <v>79.619</v>
      </c>
      <c r="H58" s="103">
        <f t="shared" si="36"/>
        <v>150.46899999999999</v>
      </c>
      <c r="I58" s="180">
        <f t="shared" ref="I58" si="37">R39</f>
        <v>181.82</v>
      </c>
      <c r="J58" s="69"/>
      <c r="K58" s="57"/>
      <c r="L58" s="84"/>
      <c r="M58" s="84"/>
      <c r="N58" s="84"/>
      <c r="O58" s="84"/>
      <c r="P58" s="84"/>
      <c r="Q58" s="84"/>
      <c r="R58" s="150"/>
    </row>
    <row r="59" spans="1:22" ht="15.75" thickBot="1" x14ac:dyDescent="0.3">
      <c r="A59" s="70" t="s">
        <v>68</v>
      </c>
      <c r="B59" s="71" t="e">
        <f t="shared" ref="B59:D59" si="38">SUM(B56:B57)-B58</f>
        <v>#REF!</v>
      </c>
      <c r="C59" s="99">
        <f t="shared" si="38"/>
        <v>5855.0730000000003</v>
      </c>
      <c r="D59" s="99">
        <f t="shared" si="38"/>
        <v>4634.860999999999</v>
      </c>
      <c r="E59" s="99">
        <f t="shared" ref="E59" si="39">SUM(E56:E57)-E58</f>
        <v>4290.143</v>
      </c>
      <c r="F59" s="99">
        <f t="shared" ref="F59" si="40">SUM(F56:F57)-F58</f>
        <v>8240.5030000000006</v>
      </c>
      <c r="G59" s="71">
        <f>SUM(G56:G57)-G58</f>
        <v>11423.665999999999</v>
      </c>
      <c r="H59" s="71">
        <f>SUM(H56:H57)-H58</f>
        <v>18156.881040799999</v>
      </c>
      <c r="I59" s="163">
        <f>SUM(I56:I57)-I58</f>
        <v>23814.0833676</v>
      </c>
      <c r="K59" s="57" t="s">
        <v>154</v>
      </c>
      <c r="L59" s="84"/>
      <c r="M59" s="84"/>
      <c r="N59" s="84"/>
      <c r="O59" s="85"/>
      <c r="P59" s="84"/>
      <c r="Q59" s="97"/>
    </row>
    <row r="60" spans="1:22" x14ac:dyDescent="0.25">
      <c r="K60" s="57"/>
      <c r="L60" s="84"/>
      <c r="M60" s="84"/>
      <c r="N60" s="84"/>
      <c r="O60" s="85"/>
      <c r="P60" s="84"/>
      <c r="Q60" s="84"/>
      <c r="R60" s="160">
        <v>7040.33</v>
      </c>
    </row>
    <row r="61" spans="1:22" x14ac:dyDescent="0.25">
      <c r="A61" s="10"/>
      <c r="K61" s="57" t="s">
        <v>21</v>
      </c>
      <c r="L61" s="85">
        <v>0.79</v>
      </c>
      <c r="M61" s="85">
        <v>0</v>
      </c>
      <c r="N61" s="85">
        <v>0</v>
      </c>
      <c r="O61" s="85"/>
      <c r="P61" s="84"/>
      <c r="Q61" s="84"/>
      <c r="R61" s="150"/>
    </row>
    <row r="62" spans="1:22" x14ac:dyDescent="0.25">
      <c r="K62" s="57" t="s">
        <v>156</v>
      </c>
      <c r="L62" s="85"/>
      <c r="M62" s="85"/>
      <c r="N62" s="85"/>
      <c r="O62" s="155"/>
      <c r="P62" s="85">
        <v>6.7309999999999999</v>
      </c>
      <c r="Q62" s="85">
        <v>13.781000000000001</v>
      </c>
      <c r="R62" s="164">
        <v>2.12</v>
      </c>
      <c r="S62" s="2"/>
      <c r="V62" s="2"/>
    </row>
    <row r="63" spans="1:22" x14ac:dyDescent="0.25">
      <c r="K63" s="68"/>
      <c r="L63" s="96"/>
      <c r="M63" s="96"/>
      <c r="N63" s="96"/>
      <c r="O63" s="93"/>
      <c r="P63" s="84"/>
      <c r="Q63" s="84"/>
      <c r="R63" s="150"/>
    </row>
    <row r="64" spans="1:22" x14ac:dyDescent="0.25">
      <c r="K64" s="57"/>
      <c r="L64" s="90">
        <f>SUM(L61:L63)</f>
        <v>0.79</v>
      </c>
      <c r="M64" s="90">
        <f t="shared" ref="M64:P64" si="41">SUM(M61:M63)</f>
        <v>0</v>
      </c>
      <c r="N64" s="90">
        <f t="shared" si="41"/>
        <v>0</v>
      </c>
      <c r="O64" s="90">
        <f t="shared" si="41"/>
        <v>0</v>
      </c>
      <c r="P64" s="90">
        <f t="shared" si="41"/>
        <v>6.7309999999999999</v>
      </c>
      <c r="Q64" s="135">
        <f>SUM(Q61:Q63)</f>
        <v>13.781000000000001</v>
      </c>
      <c r="R64" s="135">
        <f>SUM(R61:R63)</f>
        <v>2.12</v>
      </c>
    </row>
    <row r="65" spans="3:20" x14ac:dyDescent="0.25">
      <c r="D65" s="2"/>
      <c r="K65" s="57"/>
      <c r="L65" s="98"/>
      <c r="M65" s="98"/>
      <c r="N65" s="98"/>
      <c r="O65" s="95"/>
      <c r="P65" s="95"/>
      <c r="Q65" s="95"/>
      <c r="R65" s="165"/>
    </row>
    <row r="66" spans="3:20" x14ac:dyDescent="0.25">
      <c r="K66" s="57"/>
      <c r="L66" s="85"/>
      <c r="M66" s="85"/>
      <c r="N66" s="85"/>
      <c r="O66" s="84"/>
      <c r="P66" s="84"/>
      <c r="Q66" s="84"/>
      <c r="R66" s="150"/>
    </row>
    <row r="67" spans="3:20" ht="15.75" thickBot="1" x14ac:dyDescent="0.3">
      <c r="C67" s="54"/>
      <c r="K67" s="57"/>
      <c r="L67" s="84"/>
      <c r="M67" s="84"/>
      <c r="N67" s="84"/>
      <c r="O67" s="84"/>
      <c r="P67" s="84"/>
      <c r="Q67" s="84"/>
      <c r="R67" s="150"/>
    </row>
    <row r="68" spans="3:20" x14ac:dyDescent="0.25">
      <c r="C68" s="54"/>
      <c r="K68" s="108" t="s">
        <v>23</v>
      </c>
      <c r="L68" s="109">
        <f>L5+L12+L56+L61</f>
        <v>7272.0290000000005</v>
      </c>
      <c r="M68" s="109">
        <f t="shared" ref="M68:R68" si="42">M5+M12+M56+M64+M66</f>
        <v>7476.0749999999989</v>
      </c>
      <c r="N68" s="109">
        <f t="shared" si="42"/>
        <v>6888.5230000000001</v>
      </c>
      <c r="O68" s="109">
        <f t="shared" si="42"/>
        <v>8542.9320000000007</v>
      </c>
      <c r="P68" s="110">
        <f t="shared" si="42"/>
        <v>9812.0449999999983</v>
      </c>
      <c r="Q68" s="110">
        <f t="shared" si="42"/>
        <v>11966.144</v>
      </c>
      <c r="R68" s="166">
        <f t="shared" si="42"/>
        <v>15785.788</v>
      </c>
    </row>
    <row r="69" spans="3:20" ht="15.75" thickBot="1" x14ac:dyDescent="0.3">
      <c r="C69" s="54"/>
      <c r="K69" s="70" t="s">
        <v>22</v>
      </c>
      <c r="L69" s="99">
        <f>L31+L45+L47</f>
        <v>7272.0279999999984</v>
      </c>
      <c r="M69" s="99">
        <f>M31+M45+M47</f>
        <v>7476.0740000000005</v>
      </c>
      <c r="N69" s="99">
        <f t="shared" ref="N69:P69" si="43">N31+N45+N47</f>
        <v>6888.521999999999</v>
      </c>
      <c r="O69" s="99">
        <f t="shared" si="43"/>
        <v>8542.9330000000009</v>
      </c>
      <c r="P69" s="71">
        <f t="shared" si="43"/>
        <v>9812.0450000000001</v>
      </c>
      <c r="Q69" s="71">
        <f>Q31+Q45+Q47</f>
        <v>11966.144</v>
      </c>
      <c r="R69" s="163">
        <f>R31+R45+R47</f>
        <v>15818.410999999998</v>
      </c>
    </row>
    <row r="70" spans="3:20" ht="15.75" thickBot="1" x14ac:dyDescent="0.3">
      <c r="C70" s="54"/>
      <c r="N70" s="1"/>
      <c r="O70" s="1"/>
      <c r="P70" s="1"/>
      <c r="R70" s="134"/>
    </row>
    <row r="71" spans="3:20" ht="15.75" thickBot="1" x14ac:dyDescent="0.3">
      <c r="C71" s="53"/>
      <c r="K71" s="118" t="s">
        <v>60</v>
      </c>
      <c r="L71" s="116" t="s">
        <v>1</v>
      </c>
      <c r="M71" s="116" t="s">
        <v>2</v>
      </c>
      <c r="N71" s="116" t="s">
        <v>48</v>
      </c>
      <c r="O71" s="116" t="s">
        <v>134</v>
      </c>
      <c r="P71" s="116" t="s">
        <v>153</v>
      </c>
      <c r="Q71" s="116" t="s">
        <v>155</v>
      </c>
      <c r="R71" s="133" t="s">
        <v>160</v>
      </c>
    </row>
    <row r="72" spans="3:20" x14ac:dyDescent="0.25">
      <c r="C72" s="100"/>
      <c r="K72" s="57" t="s">
        <v>69</v>
      </c>
      <c r="L72" s="4">
        <v>54.1</v>
      </c>
      <c r="M72" s="4">
        <v>21.45</v>
      </c>
      <c r="N72" s="4">
        <v>35.35</v>
      </c>
      <c r="O72" s="4">
        <v>131.05000000000001</v>
      </c>
      <c r="P72" s="54">
        <v>198.85</v>
      </c>
      <c r="Q72" s="54">
        <v>328.8</v>
      </c>
      <c r="R72" s="107">
        <v>403.6</v>
      </c>
    </row>
    <row r="73" spans="3:20" x14ac:dyDescent="0.25">
      <c r="C73" s="51"/>
      <c r="K73" s="58" t="s">
        <v>70</v>
      </c>
      <c r="L73" s="59">
        <f t="shared" ref="L73:Q73" si="44">C33</f>
        <v>3.32</v>
      </c>
      <c r="M73" s="59">
        <f t="shared" si="44"/>
        <v>1.33</v>
      </c>
      <c r="N73" s="60">
        <f t="shared" si="44"/>
        <v>2.71</v>
      </c>
      <c r="O73" s="60">
        <f t="shared" si="44"/>
        <v>10.039999999999999</v>
      </c>
      <c r="P73" s="60">
        <f t="shared" si="44"/>
        <v>7.25</v>
      </c>
      <c r="Q73" s="60">
        <f t="shared" si="44"/>
        <v>10.38</v>
      </c>
      <c r="R73" s="106">
        <f>10.38+7.74-8.26</f>
        <v>9.8600000000000012</v>
      </c>
      <c r="S73" s="181" t="s">
        <v>158</v>
      </c>
    </row>
    <row r="74" spans="3:20" x14ac:dyDescent="0.25">
      <c r="C74" s="101"/>
      <c r="K74" s="58" t="s">
        <v>71</v>
      </c>
      <c r="L74" s="59">
        <f t="shared" ref="L74:Q74" si="45">L5/C54</f>
        <v>32.993221574344027</v>
      </c>
      <c r="M74" s="59">
        <f t="shared" si="45"/>
        <v>35.661661807580181</v>
      </c>
      <c r="N74" s="59">
        <f t="shared" si="45"/>
        <v>39.674902818270176</v>
      </c>
      <c r="O74" s="59">
        <f t="shared" si="45"/>
        <v>49.320068027210887</v>
      </c>
      <c r="P74" s="59">
        <f t="shared" si="45"/>
        <v>59.674635568513125</v>
      </c>
      <c r="Q74" s="59">
        <f t="shared" si="45"/>
        <v>78.566392300717467</v>
      </c>
      <c r="R74" s="106" t="s">
        <v>157</v>
      </c>
    </row>
    <row r="75" spans="3:20" x14ac:dyDescent="0.25">
      <c r="C75" s="54"/>
      <c r="K75" s="57" t="s">
        <v>72</v>
      </c>
      <c r="L75" s="4">
        <f>15%*C55</f>
        <v>1.5</v>
      </c>
      <c r="M75" s="4">
        <f>15%*D55</f>
        <v>1.5</v>
      </c>
      <c r="N75" s="4">
        <f>20%*E55</f>
        <v>2</v>
      </c>
      <c r="O75" s="4">
        <v>0.2</v>
      </c>
      <c r="P75" s="4">
        <v>0.5</v>
      </c>
      <c r="Q75" s="4">
        <v>0.5</v>
      </c>
      <c r="R75" s="144" t="s">
        <v>157</v>
      </c>
    </row>
    <row r="76" spans="3:20" x14ac:dyDescent="0.25">
      <c r="C76" s="54"/>
      <c r="K76" s="58" t="s">
        <v>73</v>
      </c>
      <c r="L76" s="59">
        <f t="shared" ref="L76:O76" si="46">L72/L73</f>
        <v>16.295180722891569</v>
      </c>
      <c r="M76" s="59">
        <f t="shared" si="46"/>
        <v>16.127819548872179</v>
      </c>
      <c r="N76" s="59">
        <f t="shared" si="46"/>
        <v>13.044280442804428</v>
      </c>
      <c r="O76" s="59">
        <f t="shared" si="46"/>
        <v>13.052788844621515</v>
      </c>
      <c r="P76" s="59">
        <f t="shared" ref="P76" si="47">P72/P73</f>
        <v>27.427586206896549</v>
      </c>
      <c r="Q76" s="59">
        <f t="shared" ref="Q76:R76" si="48">Q72/Q73</f>
        <v>31.676300578034681</v>
      </c>
      <c r="R76" s="59">
        <f t="shared" si="48"/>
        <v>40.933062880324542</v>
      </c>
      <c r="S76" t="s">
        <v>159</v>
      </c>
    </row>
    <row r="77" spans="3:20" x14ac:dyDescent="0.25">
      <c r="C77" s="54"/>
      <c r="K77" s="58" t="s">
        <v>74</v>
      </c>
      <c r="L77" s="59">
        <f t="shared" ref="L77:M77" si="49">L72/L74</f>
        <v>1.6397307513028341</v>
      </c>
      <c r="M77" s="59">
        <f t="shared" si="49"/>
        <v>0.60148627160836976</v>
      </c>
      <c r="N77" s="59">
        <f t="shared" ref="N77:O77" si="50">N72/N74</f>
        <v>0.89099147039930315</v>
      </c>
      <c r="O77" s="59">
        <f t="shared" si="50"/>
        <v>2.6571333990800063</v>
      </c>
      <c r="P77" s="59">
        <f t="shared" ref="P77:Q77" si="51">P72/P74</f>
        <v>3.332236520685544</v>
      </c>
      <c r="Q77" s="59">
        <f t="shared" si="51"/>
        <v>4.184995522532061</v>
      </c>
      <c r="R77" s="59" t="e">
        <f t="shared" ref="R77" si="52">R72/R74</f>
        <v>#VALUE!</v>
      </c>
      <c r="S77" s="56"/>
      <c r="T77" s="56"/>
    </row>
    <row r="78" spans="3:20" x14ac:dyDescent="0.25">
      <c r="C78" s="54"/>
      <c r="K78" s="58" t="s">
        <v>75</v>
      </c>
      <c r="L78" s="59">
        <f t="shared" ref="L78:R78" si="53">C59/C11</f>
        <v>10.966609852032224</v>
      </c>
      <c r="M78" s="59">
        <f t="shared" si="53"/>
        <v>10.781429332415266</v>
      </c>
      <c r="N78" s="59">
        <f t="shared" si="53"/>
        <v>8.9333312510411425</v>
      </c>
      <c r="O78" s="59">
        <f t="shared" si="53"/>
        <v>11.829690135588107</v>
      </c>
      <c r="P78" s="59">
        <f t="shared" si="53"/>
        <v>14.796057377845411</v>
      </c>
      <c r="Q78" s="59">
        <f t="shared" si="53"/>
        <v>16.048054361339457</v>
      </c>
      <c r="R78" s="59">
        <f t="shared" si="53"/>
        <v>22.840528673423972</v>
      </c>
      <c r="S78" s="56"/>
      <c r="T78" s="56"/>
    </row>
    <row r="79" spans="3:20" x14ac:dyDescent="0.25">
      <c r="C79" s="53"/>
      <c r="K79" s="58" t="s">
        <v>89</v>
      </c>
      <c r="L79" s="59">
        <f t="shared" ref="L79:R79" si="54">C3/SUM(L19)</f>
        <v>22.747185883784606</v>
      </c>
      <c r="M79" s="59">
        <f t="shared" si="54"/>
        <v>24.569995574568519</v>
      </c>
      <c r="N79" s="59">
        <f t="shared" si="54"/>
        <v>30.348507999280969</v>
      </c>
      <c r="O79" s="59">
        <f t="shared" si="54"/>
        <v>36.124604300840517</v>
      </c>
      <c r="P79" s="59">
        <f t="shared" si="54"/>
        <v>37.694729710109861</v>
      </c>
      <c r="Q79" s="59">
        <f t="shared" si="54"/>
        <v>54.43688097677596</v>
      </c>
      <c r="R79" s="59">
        <f t="shared" si="54"/>
        <v>6.2711582075742109</v>
      </c>
      <c r="S79" s="56"/>
      <c r="T79" s="56"/>
    </row>
    <row r="80" spans="3:20" x14ac:dyDescent="0.25">
      <c r="C80" s="54"/>
      <c r="K80" s="58" t="s">
        <v>76</v>
      </c>
      <c r="L80" s="61">
        <f t="shared" ref="L80:R80" si="55">C22/L5</f>
        <v>0.13497044552986312</v>
      </c>
      <c r="M80" s="61">
        <f t="shared" si="55"/>
        <v>7.4847019485854843E-2</v>
      </c>
      <c r="N80" s="61">
        <f t="shared" si="55"/>
        <v>9.6398143561097716E-2</v>
      </c>
      <c r="O80" s="61">
        <f t="shared" si="55"/>
        <v>0.20382913615374093</v>
      </c>
      <c r="P80" s="61">
        <f t="shared" si="55"/>
        <v>0.17374098610541133</v>
      </c>
      <c r="Q80" s="61">
        <f t="shared" si="55"/>
        <v>0.21406633450759999</v>
      </c>
      <c r="R80" s="61">
        <f t="shared" si="55"/>
        <v>0.14472543930188153</v>
      </c>
      <c r="S80" s="56"/>
      <c r="T80" s="56"/>
    </row>
    <row r="81" spans="3:18" x14ac:dyDescent="0.25">
      <c r="C81" s="51"/>
      <c r="K81" s="58" t="s">
        <v>77</v>
      </c>
      <c r="L81" s="61">
        <f t="shared" ref="L81:R81" si="56">(C19+C17)/L15</f>
        <v>0.12622394726501412</v>
      </c>
      <c r="M81" s="61">
        <f t="shared" si="56"/>
        <v>9.865119132548196E-2</v>
      </c>
      <c r="N81" s="61">
        <f t="shared" si="56"/>
        <v>0.11646936051121162</v>
      </c>
      <c r="O81" s="61">
        <f t="shared" si="56"/>
        <v>0.18383538883124823</v>
      </c>
      <c r="P81" s="61">
        <f t="shared" si="56"/>
        <v>0.13833761286399804</v>
      </c>
      <c r="Q81" s="61">
        <f t="shared" si="56"/>
        <v>0.15143315581792552</v>
      </c>
      <c r="R81" s="61">
        <f t="shared" si="56"/>
        <v>9.8284170117402606E-2</v>
      </c>
    </row>
    <row r="82" spans="3:18" x14ac:dyDescent="0.25">
      <c r="C82" s="53"/>
      <c r="K82" s="58" t="s">
        <v>78</v>
      </c>
      <c r="L82" s="59">
        <f t="shared" ref="L82:R82" si="57">L12/L5</f>
        <v>2.7818234301742049</v>
      </c>
      <c r="M82" s="59">
        <f t="shared" si="57"/>
        <v>2.6344171071115667</v>
      </c>
      <c r="N82" s="59">
        <f t="shared" si="57"/>
        <v>1.8096488773247583</v>
      </c>
      <c r="O82" s="59">
        <f t="shared" si="57"/>
        <v>1.4742681577565475</v>
      </c>
      <c r="P82" s="59">
        <f t="shared" si="57"/>
        <v>1.3511148078664346</v>
      </c>
      <c r="Q82" s="59">
        <f t="shared" si="57"/>
        <v>1.4762684180058581</v>
      </c>
      <c r="R82" s="59">
        <f t="shared" ref="R82" si="58">R12/R5</f>
        <v>1.9544403463699394</v>
      </c>
    </row>
    <row r="83" spans="3:18" x14ac:dyDescent="0.25">
      <c r="C83" s="100"/>
      <c r="K83" s="58" t="s">
        <v>79</v>
      </c>
      <c r="L83" s="59">
        <f>(L12-L39)/L5</f>
        <v>2.6718073108929965</v>
      </c>
      <c r="M83" s="59">
        <f t="shared" ref="M83:P83" si="59">(M12-M39)/M5</f>
        <v>2.5561330504675595</v>
      </c>
      <c r="N83" s="59">
        <f t="shared" si="59"/>
        <v>1.7361322801510572</v>
      </c>
      <c r="O83" s="59">
        <f t="shared" si="59"/>
        <v>1.4021996892632267</v>
      </c>
      <c r="P83" s="59">
        <f t="shared" si="59"/>
        <v>1.3186993935367035</v>
      </c>
      <c r="Q83" s="59">
        <f t="shared" ref="Q83:R83" si="60">(Q12-Q39)/Q5</f>
        <v>1.4297382144553514</v>
      </c>
      <c r="R83" s="59">
        <f t="shared" ref="R83" si="61">(R12-R39)/R5</f>
        <v>1.9063134111149875</v>
      </c>
    </row>
    <row r="84" spans="3:18" x14ac:dyDescent="0.25">
      <c r="C84" s="51"/>
      <c r="K84" s="58" t="s">
        <v>80</v>
      </c>
      <c r="L84" s="62">
        <f t="shared" ref="L84:O84" si="62">L75/L72</f>
        <v>2.7726432532347505E-2</v>
      </c>
      <c r="M84" s="62">
        <f t="shared" si="62"/>
        <v>6.9930069930069935E-2</v>
      </c>
      <c r="N84" s="62">
        <f t="shared" si="62"/>
        <v>5.6577086280056574E-2</v>
      </c>
      <c r="O84" s="62">
        <f t="shared" si="62"/>
        <v>1.5261350629530712E-3</v>
      </c>
      <c r="P84" s="62">
        <f t="shared" ref="P84:Q84" si="63">P75/P72</f>
        <v>2.5144581342720646E-3</v>
      </c>
      <c r="Q84" s="62">
        <f t="shared" si="63"/>
        <v>1.5206812652068125E-3</v>
      </c>
      <c r="R84" s="62" t="e">
        <f t="shared" ref="R84" si="64">R75/R72</f>
        <v>#VALUE!</v>
      </c>
    </row>
    <row r="85" spans="3:18" x14ac:dyDescent="0.25">
      <c r="C85" s="102"/>
      <c r="K85" s="58" t="s">
        <v>81</v>
      </c>
      <c r="L85" s="59">
        <f>AVERAGE(L38)/C3*365</f>
        <v>43.231777450849272</v>
      </c>
      <c r="M85" s="59">
        <f>AVERAGE(L38:M38)/D3*365</f>
        <v>49.683007839302867</v>
      </c>
      <c r="N85" s="59">
        <f>AVERAGE(M38:N38)/E3*365</f>
        <v>41.299740676573151</v>
      </c>
      <c r="O85" s="59">
        <f>AVERAGE(N38:O38)/F3*365</f>
        <v>47.338576770538239</v>
      </c>
      <c r="P85" s="59">
        <f>AVERAGE(O38:P38)/G3*365</f>
        <v>67.961917286504757</v>
      </c>
      <c r="Q85" s="59">
        <f>AVERAGE(P38:Q38)/H3*365</f>
        <v>67.638079112748926</v>
      </c>
      <c r="R85" s="59">
        <f>AVERAGE(Q38:R38)/I3*365</f>
        <v>79.634318170200075</v>
      </c>
    </row>
    <row r="86" spans="3:18" x14ac:dyDescent="0.25">
      <c r="C86" s="82"/>
      <c r="K86" s="58" t="s">
        <v>82</v>
      </c>
      <c r="L86" s="59">
        <f>AVERAGE(L50)/(SUM(C7:C8))*365</f>
        <v>102.34403936587965</v>
      </c>
      <c r="M86" s="59">
        <f>AVERAGE(L50:M50)/(SUM(D7:D8))*365</f>
        <v>122.10083956248425</v>
      </c>
      <c r="N86" s="59">
        <f>AVERAGE(M50:N50)/(SUM(E7:E8))*365</f>
        <v>115.78645642258348</v>
      </c>
      <c r="O86" s="59">
        <f>AVERAGE(N50:O50)/(SUM(F7:F8))*365</f>
        <v>106.25405555075726</v>
      </c>
      <c r="P86" s="59">
        <f>AVERAGE(O50:P50)/(SUM(G7:G8))*365</f>
        <v>101.66345937820407</v>
      </c>
      <c r="Q86" s="59">
        <f>AVERAGE(P50:Q50)/(SUM(H7:H8))*365</f>
        <v>81.945244192676469</v>
      </c>
      <c r="R86" s="59">
        <f>AVERAGE(Q50:R50)/(SUM(I7:I8))*365</f>
        <v>90.005579100814984</v>
      </c>
    </row>
    <row r="87" spans="3:18" x14ac:dyDescent="0.25">
      <c r="C87" s="54"/>
      <c r="K87" s="58" t="s">
        <v>83</v>
      </c>
      <c r="L87" s="59">
        <f>AVERAGE(L35)/(SUM(C7:C8))*365</f>
        <v>1066.0877248266831</v>
      </c>
      <c r="M87" s="59">
        <f>AVERAGE(L35:M35)/(SUM(D7:D8))*365</f>
        <v>954.85172467260611</v>
      </c>
      <c r="N87" s="59">
        <f>AVERAGE(M35:N35)/(SUM(E7:E8))*365</f>
        <v>742.29351034063586</v>
      </c>
      <c r="O87" s="59">
        <f>AVERAGE(N35:O35)/(SUM(F7:F8))*365</f>
        <v>743.33129264488468</v>
      </c>
      <c r="P87" s="59">
        <f>AVERAGE(O35:P35)/(SUM(G7:G8))*365</f>
        <v>693.89287071039644</v>
      </c>
      <c r="Q87" s="59">
        <f>AVERAGE(P35:Q35)/(SUM(H7:H8))*365</f>
        <v>614.95924284086141</v>
      </c>
      <c r="R87" s="59">
        <f>AVERAGE(Q35:R35)/(SUM(I7:I8))*365</f>
        <v>824.05540388327915</v>
      </c>
    </row>
    <row r="88" spans="3:18" x14ac:dyDescent="0.25">
      <c r="C88" s="53"/>
      <c r="K88" s="58" t="s">
        <v>84</v>
      </c>
      <c r="L88" s="59">
        <f t="shared" ref="L88:M88" si="65">L85+L87-L86</f>
        <v>1006.9754629116527</v>
      </c>
      <c r="M88" s="59">
        <f t="shared" si="65"/>
        <v>882.43389294942472</v>
      </c>
      <c r="N88" s="59">
        <f t="shared" ref="N88:O88" si="66">N85+N87-N86</f>
        <v>667.80679459462556</v>
      </c>
      <c r="O88" s="59">
        <f t="shared" si="66"/>
        <v>684.41581386466567</v>
      </c>
      <c r="P88" s="59">
        <f t="shared" ref="P88:Q88" si="67">P85+P87-P86</f>
        <v>660.19132861869718</v>
      </c>
      <c r="Q88" s="59">
        <f t="shared" si="67"/>
        <v>600.65207776093393</v>
      </c>
      <c r="R88" s="59">
        <f t="shared" ref="R88" si="68">R85+R87-R86</f>
        <v>813.68414295266427</v>
      </c>
    </row>
    <row r="89" spans="3:18" x14ac:dyDescent="0.25">
      <c r="C89" s="51"/>
      <c r="K89" s="58" t="s">
        <v>85</v>
      </c>
      <c r="L89" s="59">
        <f>AVERAGE(L57:L57)/C3*365</f>
        <v>698.43884370402554</v>
      </c>
      <c r="M89" s="59">
        <f>AVERAGE(L57:M57)/D3*365</f>
        <v>731.84281297173027</v>
      </c>
      <c r="N89" s="59">
        <f>AVERAGE(M57:N57)/E3*365</f>
        <v>597.1320467115346</v>
      </c>
      <c r="O89" s="59">
        <f>AVERAGE(N57:O57)/F3*365</f>
        <v>468.35228328611896</v>
      </c>
      <c r="P89" s="59">
        <f>AVERAGE(O57:P57)/G3*365</f>
        <v>449.29999851069385</v>
      </c>
      <c r="Q89" s="59">
        <f>AVERAGE(P57:Q57)/H3*365</f>
        <v>448.35220216848563</v>
      </c>
      <c r="R89" s="59">
        <f>AVERAGE(Q57:R57)/I3*365</f>
        <v>627.57327188293414</v>
      </c>
    </row>
    <row r="90" spans="3:18" x14ac:dyDescent="0.25">
      <c r="C90" s="102"/>
      <c r="K90" s="58" t="s">
        <v>86</v>
      </c>
      <c r="L90" s="61">
        <f t="shared" ref="L90:R90" si="69">C17/L12</f>
        <v>8.5673391800713594E-2</v>
      </c>
      <c r="M90" s="61">
        <f t="shared" si="69"/>
        <v>7.7855908383151623E-2</v>
      </c>
      <c r="N90" s="61">
        <f t="shared" si="69"/>
        <v>9.5069997167695763E-2</v>
      </c>
      <c r="O90" s="61">
        <f t="shared" si="69"/>
        <v>7.0272004170028921E-2</v>
      </c>
      <c r="P90" s="61">
        <f t="shared" si="69"/>
        <v>7.6254912058298957E-2</v>
      </c>
      <c r="Q90" s="61">
        <f t="shared" si="69"/>
        <v>5.4430036374528826E-2</v>
      </c>
      <c r="R90" s="61">
        <f t="shared" si="69"/>
        <v>5.4824586648673956E-2</v>
      </c>
    </row>
    <row r="91" spans="3:18" ht="15.75" thickBot="1" x14ac:dyDescent="0.3">
      <c r="C91" s="54"/>
      <c r="K91" s="63" t="s">
        <v>87</v>
      </c>
      <c r="L91" s="64">
        <f t="shared" ref="L91:R91" si="70">(C19+C17)/C17</f>
        <v>1.7021473814305568</v>
      </c>
      <c r="M91" s="64">
        <f t="shared" si="70"/>
        <v>1.5152893111007781</v>
      </c>
      <c r="N91" s="64">
        <f t="shared" si="70"/>
        <v>1.7129382452393673</v>
      </c>
      <c r="O91" s="64">
        <f t="shared" si="70"/>
        <v>3.3059688363313038</v>
      </c>
      <c r="P91" s="64">
        <f t="shared" si="70"/>
        <v>3.0640003793551762</v>
      </c>
      <c r="Q91" s="64">
        <f t="shared" si="70"/>
        <v>4.3174534147148727</v>
      </c>
      <c r="R91" s="64">
        <f t="shared" si="70"/>
        <v>2.6350090165756779</v>
      </c>
    </row>
    <row r="92" spans="3:18" x14ac:dyDescent="0.25">
      <c r="C92" s="54"/>
    </row>
    <row r="93" spans="3:18" x14ac:dyDescent="0.25">
      <c r="C93" s="54"/>
    </row>
    <row r="94" spans="3:18" x14ac:dyDescent="0.25">
      <c r="C94" s="7"/>
      <c r="K94" t="s">
        <v>31</v>
      </c>
      <c r="L94" s="2">
        <f>L68-L69</f>
        <v>1.0000000020227162E-3</v>
      </c>
      <c r="M94" s="2">
        <f>M68-M69</f>
        <v>9.9999999838473741E-4</v>
      </c>
      <c r="N94" s="2">
        <f t="shared" ref="N94:R94" si="71">N68-N69</f>
        <v>1.0000000011132215E-3</v>
      </c>
      <c r="O94" s="2">
        <f t="shared" si="71"/>
        <v>-1.0000000002037268E-3</v>
      </c>
      <c r="P94" s="2">
        <f t="shared" si="71"/>
        <v>0</v>
      </c>
      <c r="Q94" s="2">
        <f t="shared" si="71"/>
        <v>0</v>
      </c>
      <c r="R94" s="2">
        <f t="shared" si="71"/>
        <v>-32.622999999997774</v>
      </c>
    </row>
    <row r="95" spans="3:18" x14ac:dyDescent="0.25">
      <c r="K95" t="s">
        <v>32</v>
      </c>
      <c r="L95" s="2">
        <f>L14-L15</f>
        <v>1.0000000020227162E-3</v>
      </c>
      <c r="M95" s="2">
        <f t="shared" ref="M95:R95" si="72">M14-M15</f>
        <v>9.9999999929423211E-4</v>
      </c>
      <c r="N95" s="2">
        <f t="shared" si="72"/>
        <v>1.0000000002037268E-3</v>
      </c>
      <c r="O95" s="2">
        <f t="shared" si="72"/>
        <v>-1.0000000011132215E-3</v>
      </c>
      <c r="P95" s="2">
        <f t="shared" si="72"/>
        <v>0</v>
      </c>
      <c r="Q95" s="2">
        <f t="shared" si="72"/>
        <v>0</v>
      </c>
      <c r="R95" s="2">
        <f t="shared" si="72"/>
        <v>-32.622999999997774</v>
      </c>
    </row>
  </sheetData>
  <mergeCells count="2">
    <mergeCell ref="A1:I1"/>
    <mergeCell ref="J1:R1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5 F45 E45 M85 N85:O85 L86:Q87 L85 P85:Q8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2021-05-19T08:13:17Z</cp:lastPrinted>
  <dcterms:created xsi:type="dcterms:W3CDTF">2021-01-27T07:46:46Z</dcterms:created>
  <dcterms:modified xsi:type="dcterms:W3CDTF">2025-05-30T11:02:49Z</dcterms:modified>
</cp:coreProperties>
</file>