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Harshit\OAL\Summary Sheet\Q4-FY25\"/>
    </mc:Choice>
  </mc:AlternateContent>
  <bookViews>
    <workbookView xWindow="0" yWindow="0" windowWidth="20490" windowHeight="7020"/>
  </bookViews>
  <sheets>
    <sheet name="Summary sheet- CONSOLIDATED" sheetId="1" r:id="rId1"/>
    <sheet name="ES" sheetId="2" state="hidden" r:id="rId2"/>
    <sheet name="Forex Gain Loss" sheetId="3" state="hidden" r:id="rId3"/>
    <sheet name="Import Export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8" i="1" l="1"/>
  <c r="Y61" i="1" s="1"/>
  <c r="Y60" i="1"/>
  <c r="Y62" i="1"/>
  <c r="Y63" i="1"/>
  <c r="Y64" i="1"/>
  <c r="Y65" i="1"/>
  <c r="Y66" i="1"/>
  <c r="Y67" i="1"/>
  <c r="Y68" i="1"/>
  <c r="Y69" i="1"/>
  <c r="Y70" i="1"/>
  <c r="Y71" i="1" s="1"/>
  <c r="Y72" i="1"/>
  <c r="Y73" i="1"/>
  <c r="Y74" i="1"/>
  <c r="Y75" i="1"/>
  <c r="Y57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8" i="1"/>
  <c r="X57" i="1"/>
  <c r="Y46" i="1"/>
  <c r="Y43" i="1"/>
  <c r="Y42" i="1"/>
  <c r="X46" i="1"/>
  <c r="Y39" i="1"/>
  <c r="X39" i="1"/>
  <c r="Y29" i="1"/>
  <c r="X29" i="1"/>
  <c r="Y13" i="1"/>
  <c r="X13" i="1"/>
  <c r="Y12" i="1"/>
  <c r="X12" i="1"/>
  <c r="Y7" i="1"/>
  <c r="X7" i="1"/>
  <c r="M56" i="1"/>
  <c r="N55" i="1"/>
  <c r="N56" i="1" s="1"/>
  <c r="M55" i="1"/>
  <c r="N54" i="1"/>
  <c r="M54" i="1"/>
  <c r="N53" i="1"/>
  <c r="M53" i="1"/>
  <c r="N47" i="1"/>
  <c r="M47" i="1"/>
  <c r="N46" i="1"/>
  <c r="M46" i="1"/>
  <c r="N42" i="1"/>
  <c r="M42" i="1"/>
  <c r="N38" i="1"/>
  <c r="M43" i="1"/>
  <c r="M38" i="1"/>
  <c r="N33" i="1"/>
  <c r="M33" i="1"/>
  <c r="N31" i="1"/>
  <c r="N30" i="1"/>
  <c r="M31" i="1"/>
  <c r="M30" i="1"/>
  <c r="N29" i="1"/>
  <c r="N28" i="1"/>
  <c r="N25" i="1"/>
  <c r="N22" i="1"/>
  <c r="M25" i="1"/>
  <c r="N23" i="1"/>
  <c r="N21" i="1"/>
  <c r="N16" i="1"/>
  <c r="N13" i="1"/>
  <c r="N5" i="1"/>
  <c r="N6" i="1"/>
  <c r="N7" i="1"/>
  <c r="M7" i="1"/>
  <c r="M13" i="1" s="1"/>
  <c r="M6" i="1"/>
  <c r="M21" i="1" l="1"/>
  <c r="M16" i="1"/>
  <c r="M14" i="1"/>
  <c r="N14" i="1"/>
  <c r="Y52" i="1"/>
  <c r="Y37" i="1"/>
  <c r="W13" i="1"/>
  <c r="W52" i="1"/>
  <c r="Y53" i="1" l="1"/>
  <c r="Y14" i="1"/>
  <c r="M24" i="1"/>
  <c r="M23" i="1"/>
  <c r="N8" i="1" l="1"/>
  <c r="N24" i="1" l="1"/>
  <c r="P36" i="4"/>
  <c r="O36" i="4"/>
  <c r="N36" i="4"/>
  <c r="M36" i="4"/>
  <c r="L36" i="4"/>
  <c r="K36" i="4"/>
  <c r="J36" i="4"/>
  <c r="H36" i="4"/>
  <c r="G36" i="4"/>
  <c r="F36" i="4"/>
  <c r="E36" i="4"/>
  <c r="B36" i="4"/>
  <c r="Q35" i="4"/>
  <c r="I35" i="4"/>
  <c r="Q34" i="4"/>
  <c r="Q36" i="4" s="1"/>
  <c r="I34" i="4"/>
  <c r="I36" i="4" s="1"/>
  <c r="P26" i="4"/>
  <c r="O26" i="4"/>
  <c r="N26" i="4"/>
  <c r="M26" i="4"/>
  <c r="L26" i="4"/>
  <c r="K26" i="4"/>
  <c r="J26" i="4"/>
  <c r="H26" i="4"/>
  <c r="I24" i="4" s="1"/>
  <c r="I26" i="4" s="1"/>
  <c r="G26" i="4"/>
  <c r="F26" i="4"/>
  <c r="E26" i="4"/>
  <c r="D26" i="4"/>
  <c r="C26" i="4"/>
  <c r="B26" i="4"/>
  <c r="A21" i="4"/>
  <c r="P17" i="4"/>
  <c r="Q15" i="4" s="1"/>
  <c r="Q17" i="4" s="1"/>
  <c r="O17" i="4"/>
  <c r="N17" i="4"/>
  <c r="M17" i="4"/>
  <c r="L17" i="4"/>
  <c r="K17" i="4"/>
  <c r="J17" i="4"/>
  <c r="H16" i="4"/>
  <c r="F15" i="4"/>
  <c r="F17" i="4" s="1"/>
  <c r="G16" i="4" s="1"/>
  <c r="B15" i="4"/>
  <c r="U8" i="4"/>
  <c r="P8" i="4"/>
  <c r="Q7" i="4" s="1"/>
  <c r="O8" i="4"/>
  <c r="N8" i="4"/>
  <c r="M8" i="4"/>
  <c r="L8" i="4"/>
  <c r="K8" i="4"/>
  <c r="J8" i="4"/>
  <c r="D8" i="4"/>
  <c r="H7" i="4"/>
  <c r="G7" i="4"/>
  <c r="C7" i="4"/>
  <c r="Q6" i="4"/>
  <c r="Q8" i="4" s="1"/>
  <c r="H6" i="4"/>
  <c r="G6" i="4"/>
  <c r="C6" i="4"/>
  <c r="G13" i="3"/>
  <c r="F13" i="3"/>
  <c r="E13" i="3"/>
  <c r="D13" i="3"/>
  <c r="C13" i="3"/>
  <c r="B13" i="3"/>
  <c r="E5" i="3"/>
  <c r="D5" i="3"/>
  <c r="C5" i="3"/>
  <c r="B5" i="3"/>
  <c r="F4" i="3"/>
  <c r="F3" i="3"/>
  <c r="F20" i="2"/>
  <c r="E20" i="2"/>
  <c r="D20" i="2"/>
  <c r="C20" i="2"/>
  <c r="H12" i="2"/>
  <c r="F12" i="2"/>
  <c r="E12" i="2"/>
  <c r="D12" i="2"/>
  <c r="H11" i="2"/>
  <c r="F11" i="2"/>
  <c r="E11" i="2"/>
  <c r="D11" i="2"/>
  <c r="C11" i="2"/>
  <c r="H10" i="2"/>
  <c r="F10" i="2"/>
  <c r="E10" i="2"/>
  <c r="D10" i="2"/>
  <c r="D13" i="2" s="1"/>
  <c r="C10" i="2"/>
  <c r="H4" i="2"/>
  <c r="F4" i="2"/>
  <c r="E4" i="2"/>
  <c r="D4" i="2"/>
  <c r="C4" i="2"/>
  <c r="H3" i="2"/>
  <c r="H5" i="2" s="1"/>
  <c r="F3" i="2"/>
  <c r="F5" i="2" s="1"/>
  <c r="E3" i="2"/>
  <c r="E5" i="2" s="1"/>
  <c r="D3" i="2"/>
  <c r="C3" i="2"/>
  <c r="U68" i="1"/>
  <c r="T68" i="1"/>
  <c r="S68" i="1"/>
  <c r="R68" i="1"/>
  <c r="Q68" i="1"/>
  <c r="W67" i="1"/>
  <c r="U67" i="1"/>
  <c r="T67" i="1"/>
  <c r="S67" i="1"/>
  <c r="R67" i="1"/>
  <c r="Q67" i="1"/>
  <c r="W60" i="1"/>
  <c r="V60" i="1"/>
  <c r="U60" i="1"/>
  <c r="V59" i="1"/>
  <c r="V67" i="1" s="1"/>
  <c r="W57" i="1"/>
  <c r="V57" i="1"/>
  <c r="U57" i="1"/>
  <c r="T57" i="1"/>
  <c r="T60" i="1" s="1"/>
  <c r="S57" i="1"/>
  <c r="S60" i="1" s="1"/>
  <c r="R57" i="1"/>
  <c r="R60" i="1" s="1"/>
  <c r="Q57" i="1"/>
  <c r="Q60" i="1" s="1"/>
  <c r="T55" i="1"/>
  <c r="L55" i="1"/>
  <c r="J55" i="1"/>
  <c r="F55" i="1"/>
  <c r="E55" i="1"/>
  <c r="C55" i="1"/>
  <c r="L53" i="1"/>
  <c r="K53" i="1"/>
  <c r="J53" i="1"/>
  <c r="F53" i="1"/>
  <c r="E53" i="1"/>
  <c r="D53" i="1"/>
  <c r="C53" i="1"/>
  <c r="V50" i="1"/>
  <c r="V49" i="1"/>
  <c r="V48" i="1"/>
  <c r="N48" i="1"/>
  <c r="L47" i="1"/>
  <c r="K47" i="1"/>
  <c r="J47" i="1"/>
  <c r="F47" i="1"/>
  <c r="E47" i="1"/>
  <c r="D47" i="1"/>
  <c r="L46" i="1"/>
  <c r="J46" i="1"/>
  <c r="I46" i="1"/>
  <c r="H46" i="1"/>
  <c r="G46" i="1"/>
  <c r="F46" i="1"/>
  <c r="F48" i="1" s="1"/>
  <c r="T75" i="1" s="1"/>
  <c r="E46" i="1"/>
  <c r="D46" i="1"/>
  <c r="V45" i="1"/>
  <c r="F45" i="1"/>
  <c r="V43" i="1"/>
  <c r="X42" i="1"/>
  <c r="W42" i="1"/>
  <c r="W37" i="1" s="1"/>
  <c r="V42" i="1"/>
  <c r="L42" i="1"/>
  <c r="J42" i="1"/>
  <c r="F42" i="1"/>
  <c r="E42" i="1"/>
  <c r="D42" i="1"/>
  <c r="D43" i="1" s="1"/>
  <c r="E38" i="1" s="1"/>
  <c r="E43" i="1" s="1"/>
  <c r="F38" i="1" s="1"/>
  <c r="F43" i="1" s="1"/>
  <c r="V41" i="1"/>
  <c r="K41" i="1"/>
  <c r="V40" i="1"/>
  <c r="K40" i="1"/>
  <c r="W39" i="1"/>
  <c r="H6" i="2" s="1"/>
  <c r="H7" i="2" s="1"/>
  <c r="U39" i="1"/>
  <c r="F6" i="2" s="1"/>
  <c r="F7" i="2" s="1"/>
  <c r="T39" i="1"/>
  <c r="E6" i="2" s="1"/>
  <c r="E7" i="2" s="1"/>
  <c r="S39" i="1"/>
  <c r="D6" i="2" s="1"/>
  <c r="D7" i="2" s="1"/>
  <c r="R39" i="1"/>
  <c r="C6" i="2" s="1"/>
  <c r="C7" i="2" s="1"/>
  <c r="K39" i="1"/>
  <c r="K42" i="1" s="1"/>
  <c r="I38" i="1"/>
  <c r="H38" i="1"/>
  <c r="X37" i="1"/>
  <c r="X53" i="1" s="1"/>
  <c r="U37" i="1"/>
  <c r="T37" i="1"/>
  <c r="S37" i="1"/>
  <c r="R37" i="1"/>
  <c r="Q37" i="1"/>
  <c r="L37" i="1"/>
  <c r="L45" i="1" s="1"/>
  <c r="V36" i="1"/>
  <c r="V35" i="1"/>
  <c r="V34" i="1"/>
  <c r="V33" i="1"/>
  <c r="G12" i="2" s="1"/>
  <c r="R33" i="1"/>
  <c r="C12" i="2" s="1"/>
  <c r="L33" i="1"/>
  <c r="K33" i="1"/>
  <c r="J33" i="1"/>
  <c r="I33" i="1"/>
  <c r="H33" i="1"/>
  <c r="F33" i="1"/>
  <c r="E33" i="1"/>
  <c r="D33" i="1"/>
  <c r="V32" i="1"/>
  <c r="V30" i="1"/>
  <c r="W29" i="1"/>
  <c r="U29" i="1"/>
  <c r="T29" i="1"/>
  <c r="S29" i="1"/>
  <c r="R29" i="1"/>
  <c r="R52" i="1" s="1"/>
  <c r="Q29" i="1"/>
  <c r="K28" i="1"/>
  <c r="H28" i="1"/>
  <c r="G28" i="1"/>
  <c r="E28" i="1"/>
  <c r="V27" i="1"/>
  <c r="V26" i="1"/>
  <c r="V25" i="1"/>
  <c r="K22" i="1"/>
  <c r="E22" i="1"/>
  <c r="D22" i="1"/>
  <c r="K20" i="1"/>
  <c r="V19" i="1"/>
  <c r="W18" i="1"/>
  <c r="V18" i="1"/>
  <c r="K18" i="1"/>
  <c r="V17" i="1"/>
  <c r="K17" i="1"/>
  <c r="V16" i="1"/>
  <c r="W12" i="1"/>
  <c r="U12" i="1"/>
  <c r="J54" i="1" s="1"/>
  <c r="T12" i="1"/>
  <c r="S12" i="1"/>
  <c r="R12" i="1"/>
  <c r="Q12" i="1"/>
  <c r="K12" i="1"/>
  <c r="K11" i="1"/>
  <c r="V10" i="1"/>
  <c r="G11" i="2" s="1"/>
  <c r="K10" i="1"/>
  <c r="V9" i="1"/>
  <c r="G10" i="2" s="1"/>
  <c r="L9" i="1"/>
  <c r="K9" i="1"/>
  <c r="L8" i="1"/>
  <c r="K8" i="1"/>
  <c r="W7" i="1"/>
  <c r="U7" i="1"/>
  <c r="T7" i="1"/>
  <c r="S7" i="1"/>
  <c r="R7" i="1"/>
  <c r="R58" i="1" s="1"/>
  <c r="R61" i="1" s="1"/>
  <c r="Q7" i="1"/>
  <c r="J7" i="1"/>
  <c r="I7" i="1"/>
  <c r="I13" i="1" s="1"/>
  <c r="H7" i="1"/>
  <c r="H13" i="1" s="1"/>
  <c r="G7" i="1"/>
  <c r="G13" i="1" s="1"/>
  <c r="F7" i="1"/>
  <c r="E7" i="1"/>
  <c r="D7" i="1"/>
  <c r="D13" i="1" s="1"/>
  <c r="C7" i="1"/>
  <c r="V6" i="1"/>
  <c r="V7" i="1" s="1"/>
  <c r="J6" i="1"/>
  <c r="F6" i="1"/>
  <c r="E6" i="1"/>
  <c r="J5" i="1"/>
  <c r="F5" i="1"/>
  <c r="E5" i="1"/>
  <c r="D5" i="1"/>
  <c r="L4" i="1"/>
  <c r="K4" i="1"/>
  <c r="F13" i="2" l="1"/>
  <c r="F22" i="2" s="1"/>
  <c r="H13" i="2"/>
  <c r="H22" i="2" s="1"/>
  <c r="Q16" i="4"/>
  <c r="J48" i="1"/>
  <c r="U75" i="1" s="1"/>
  <c r="V39" i="1"/>
  <c r="G6" i="2" s="1"/>
  <c r="G7" i="2" s="1"/>
  <c r="L48" i="1"/>
  <c r="W75" i="1" s="1"/>
  <c r="C5" i="2"/>
  <c r="C8" i="2" s="1"/>
  <c r="L7" i="1"/>
  <c r="L13" i="1" s="1"/>
  <c r="V37" i="1"/>
  <c r="D48" i="1"/>
  <c r="R75" i="1" s="1"/>
  <c r="M48" i="1"/>
  <c r="D5" i="2"/>
  <c r="D8" i="2" s="1"/>
  <c r="E48" i="1"/>
  <c r="S75" i="1" s="1"/>
  <c r="K6" i="1"/>
  <c r="K5" i="1"/>
  <c r="L5" i="1"/>
  <c r="Q70" i="1"/>
  <c r="Q69" i="1"/>
  <c r="Q71" i="1" s="1"/>
  <c r="C13" i="1"/>
  <c r="T69" i="1"/>
  <c r="F13" i="1"/>
  <c r="G21" i="1"/>
  <c r="G23" i="1" s="1"/>
  <c r="G16" i="1"/>
  <c r="U70" i="1"/>
  <c r="J13" i="1"/>
  <c r="Q58" i="1"/>
  <c r="Q61" i="1" s="1"/>
  <c r="Q13" i="1"/>
  <c r="T58" i="1"/>
  <c r="T61" i="1" s="1"/>
  <c r="T13" i="1"/>
  <c r="U58" i="1"/>
  <c r="U61" i="1" s="1"/>
  <c r="U13" i="1"/>
  <c r="T66" i="1"/>
  <c r="E17" i="2" s="1"/>
  <c r="S46" i="1"/>
  <c r="S52" i="1"/>
  <c r="S14" i="1" s="1"/>
  <c r="G4" i="2"/>
  <c r="V68" i="1"/>
  <c r="R53" i="1"/>
  <c r="H8" i="2"/>
  <c r="C13" i="2"/>
  <c r="C22" i="2" s="1"/>
  <c r="E14" i="2"/>
  <c r="F14" i="2"/>
  <c r="F5" i="3"/>
  <c r="V58" i="1"/>
  <c r="V61" i="1" s="1"/>
  <c r="V13" i="1"/>
  <c r="W58" i="1"/>
  <c r="W61" i="1" s="1"/>
  <c r="Q66" i="1"/>
  <c r="Q65" i="1"/>
  <c r="C54" i="1"/>
  <c r="Q73" i="1"/>
  <c r="G14" i="2"/>
  <c r="G13" i="2"/>
  <c r="W46" i="1"/>
  <c r="W14" i="1"/>
  <c r="G3" i="2"/>
  <c r="V29" i="1"/>
  <c r="W69" i="1"/>
  <c r="U66" i="1"/>
  <c r="F17" i="2" s="1"/>
  <c r="U73" i="1"/>
  <c r="G24" i="1"/>
  <c r="U65" i="1"/>
  <c r="S58" i="1"/>
  <c r="S61" i="1" s="1"/>
  <c r="S13" i="1"/>
  <c r="T64" i="1" s="1"/>
  <c r="K7" i="1"/>
  <c r="H21" i="1"/>
  <c r="H14" i="1"/>
  <c r="H16" i="1"/>
  <c r="Q53" i="1"/>
  <c r="U53" i="1"/>
  <c r="G38" i="1"/>
  <c r="J38" i="1"/>
  <c r="J43" i="1" s="1"/>
  <c r="K38" i="1" s="1"/>
  <c r="K43" i="1" s="1"/>
  <c r="L38" i="1" s="1"/>
  <c r="L43" i="1" s="1"/>
  <c r="E16" i="2"/>
  <c r="F21" i="1"/>
  <c r="F16" i="1"/>
  <c r="F15" i="1"/>
  <c r="C16" i="2"/>
  <c r="C18" i="2" s="1"/>
  <c r="D16" i="1"/>
  <c r="D14" i="1"/>
  <c r="D21" i="1"/>
  <c r="G14" i="1"/>
  <c r="S70" i="1"/>
  <c r="S69" i="1"/>
  <c r="E13" i="1"/>
  <c r="F14" i="1" s="1"/>
  <c r="I14" i="1"/>
  <c r="I21" i="1"/>
  <c r="I16" i="1"/>
  <c r="U64" i="1"/>
  <c r="J21" i="1"/>
  <c r="J16" i="1"/>
  <c r="F16" i="2"/>
  <c r="F18" i="2" s="1"/>
  <c r="J14" i="1"/>
  <c r="J15" i="1"/>
  <c r="H20" i="2"/>
  <c r="G20" i="2"/>
  <c r="R66" i="1"/>
  <c r="C17" i="2" s="1"/>
  <c r="R73" i="1"/>
  <c r="R65" i="1"/>
  <c r="D54" i="1"/>
  <c r="V12" i="1"/>
  <c r="V53" i="1" s="1"/>
  <c r="T46" i="1"/>
  <c r="T52" i="1"/>
  <c r="T14" i="1" s="1"/>
  <c r="U69" i="1"/>
  <c r="I25" i="4"/>
  <c r="M5" i="1"/>
  <c r="S66" i="1"/>
  <c r="D17" i="2" s="1"/>
  <c r="S73" i="1"/>
  <c r="S65" i="1"/>
  <c r="E54" i="1"/>
  <c r="E56" i="1" s="1"/>
  <c r="S62" i="1" s="1"/>
  <c r="W66" i="1"/>
  <c r="H17" i="2" s="1"/>
  <c r="W73" i="1"/>
  <c r="W65" i="1"/>
  <c r="L54" i="1"/>
  <c r="L56" i="1" s="1"/>
  <c r="R13" i="1"/>
  <c r="R64" i="1" s="1"/>
  <c r="R14" i="1"/>
  <c r="Q46" i="1"/>
  <c r="Q52" i="1"/>
  <c r="Q14" i="1" s="1"/>
  <c r="U46" i="1"/>
  <c r="U52" i="1"/>
  <c r="U14" i="1" s="1"/>
  <c r="S53" i="1"/>
  <c r="W53" i="1"/>
  <c r="K46" i="1"/>
  <c r="K48" i="1" s="1"/>
  <c r="V75" i="1" s="1"/>
  <c r="C56" i="1"/>
  <c r="Q62" i="1" s="1"/>
  <c r="J56" i="1"/>
  <c r="U62" i="1" s="1"/>
  <c r="E8" i="2"/>
  <c r="F8" i="2"/>
  <c r="E7" i="4"/>
  <c r="E6" i="4"/>
  <c r="G15" i="4"/>
  <c r="U71" i="1"/>
  <c r="X52" i="1"/>
  <c r="X14" i="1" s="1"/>
  <c r="R46" i="1"/>
  <c r="S72" i="1" s="1"/>
  <c r="W68" i="1"/>
  <c r="L6" i="1"/>
  <c r="R70" i="1"/>
  <c r="R69" i="1"/>
  <c r="T73" i="1"/>
  <c r="T65" i="1"/>
  <c r="F54" i="1"/>
  <c r="F56" i="1" s="1"/>
  <c r="T62" i="1" s="1"/>
  <c r="V73" i="1"/>
  <c r="T53" i="1"/>
  <c r="T70" i="1"/>
  <c r="T71" i="1" s="1"/>
  <c r="E13" i="2"/>
  <c r="D14" i="2"/>
  <c r="H14" i="2"/>
  <c r="D22" i="2"/>
  <c r="Q24" i="4"/>
  <c r="Q26" i="4" s="1"/>
  <c r="Q25" i="4"/>
  <c r="H8" i="4"/>
  <c r="H15" i="4"/>
  <c r="B17" i="4"/>
  <c r="E16" i="4" s="1"/>
  <c r="D55" i="1"/>
  <c r="K55" i="1"/>
  <c r="D9" i="2" l="1"/>
  <c r="E9" i="2"/>
  <c r="G5" i="2"/>
  <c r="G8" i="2" s="1"/>
  <c r="H9" i="2" s="1"/>
  <c r="W70" i="1"/>
  <c r="U72" i="1"/>
  <c r="T72" i="1"/>
  <c r="Q64" i="1"/>
  <c r="C21" i="1"/>
  <c r="C16" i="1"/>
  <c r="Q72" i="1"/>
  <c r="R72" i="1"/>
  <c r="V70" i="1"/>
  <c r="V69" i="1"/>
  <c r="K13" i="1"/>
  <c r="D23" i="1"/>
  <c r="D24" i="1"/>
  <c r="H16" i="2"/>
  <c r="W64" i="1"/>
  <c r="L21" i="1"/>
  <c r="L16" i="1"/>
  <c r="L15" i="1"/>
  <c r="L14" i="1"/>
  <c r="F23" i="2"/>
  <c r="E18" i="2"/>
  <c r="E22" i="2"/>
  <c r="E23" i="2" s="1"/>
  <c r="I23" i="1"/>
  <c r="I24" i="1"/>
  <c r="S71" i="1"/>
  <c r="W71" i="1"/>
  <c r="W62" i="1"/>
  <c r="H17" i="4"/>
  <c r="I16" i="4" s="1"/>
  <c r="I15" i="4"/>
  <c r="I17" i="4" s="1"/>
  <c r="R71" i="1"/>
  <c r="E15" i="4"/>
  <c r="V66" i="1"/>
  <c r="G17" i="2" s="1"/>
  <c r="V65" i="1"/>
  <c r="K54" i="1"/>
  <c r="K56" i="1" s="1"/>
  <c r="V62" i="1" s="1"/>
  <c r="C23" i="2"/>
  <c r="J24" i="1"/>
  <c r="J23" i="1"/>
  <c r="M15" i="1"/>
  <c r="G25" i="1"/>
  <c r="G29" i="1"/>
  <c r="V52" i="1"/>
  <c r="V14" i="1" s="1"/>
  <c r="V46" i="1"/>
  <c r="G22" i="2"/>
  <c r="V8" i="4"/>
  <c r="I6" i="4"/>
  <c r="F9" i="2"/>
  <c r="I7" i="4"/>
  <c r="D56" i="1"/>
  <c r="R62" i="1" s="1"/>
  <c r="D16" i="2"/>
  <c r="D18" i="2" s="1"/>
  <c r="S64" i="1"/>
  <c r="E14" i="1"/>
  <c r="E21" i="1"/>
  <c r="E16" i="1"/>
  <c r="E15" i="1"/>
  <c r="F24" i="1"/>
  <c r="F23" i="1"/>
  <c r="H23" i="1"/>
  <c r="H24" i="1"/>
  <c r="G9" i="2"/>
  <c r="W72" i="1" l="1"/>
  <c r="V72" i="1"/>
  <c r="C24" i="1"/>
  <c r="C23" i="1"/>
  <c r="H29" i="1"/>
  <c r="H30" i="1" s="1"/>
  <c r="H25" i="1"/>
  <c r="L23" i="1"/>
  <c r="L24" i="1"/>
  <c r="I25" i="1"/>
  <c r="I29" i="1"/>
  <c r="I30" i="1" s="1"/>
  <c r="F19" i="2"/>
  <c r="F15" i="2"/>
  <c r="U63" i="1"/>
  <c r="J29" i="1"/>
  <c r="J25" i="1"/>
  <c r="U74" i="1"/>
  <c r="D23" i="2"/>
  <c r="V71" i="1"/>
  <c r="E24" i="1"/>
  <c r="E23" i="1"/>
  <c r="H23" i="2"/>
  <c r="H18" i="2"/>
  <c r="T74" i="1"/>
  <c r="E19" i="2"/>
  <c r="E15" i="2"/>
  <c r="T63" i="1"/>
  <c r="F25" i="1"/>
  <c r="F29" i="1"/>
  <c r="I8" i="4"/>
  <c r="C19" i="2"/>
  <c r="C15" i="2"/>
  <c r="R63" i="1"/>
  <c r="R74" i="1"/>
  <c r="D29" i="1"/>
  <c r="D25" i="1"/>
  <c r="G16" i="2"/>
  <c r="G18" i="2" s="1"/>
  <c r="K14" i="1"/>
  <c r="V64" i="1"/>
  <c r="K15" i="1"/>
  <c r="K16" i="1"/>
  <c r="K21" i="1"/>
  <c r="Q63" i="1" l="1"/>
  <c r="C25" i="1"/>
  <c r="C29" i="1"/>
  <c r="D30" i="1" s="1"/>
  <c r="M29" i="1"/>
  <c r="S74" i="1"/>
  <c r="D15" i="2"/>
  <c r="S63" i="1"/>
  <c r="E25" i="1"/>
  <c r="D19" i="2"/>
  <c r="E29" i="1"/>
  <c r="W74" i="1"/>
  <c r="L29" i="1"/>
  <c r="H19" i="2"/>
  <c r="W63" i="1"/>
  <c r="H15" i="2"/>
  <c r="L25" i="1"/>
  <c r="F31" i="1"/>
  <c r="F30" i="1"/>
  <c r="G23" i="2"/>
  <c r="K24" i="1"/>
  <c r="K23" i="1"/>
  <c r="J31" i="1"/>
  <c r="J30" i="1"/>
  <c r="G30" i="1"/>
  <c r="G19" i="2" l="1"/>
  <c r="G15" i="2"/>
  <c r="V63" i="1"/>
  <c r="V74" i="1"/>
  <c r="K25" i="1"/>
  <c r="K29" i="1"/>
  <c r="L30" i="1" s="1"/>
  <c r="L31" i="1"/>
  <c r="E30" i="1"/>
  <c r="E31" i="1"/>
  <c r="K30" i="1" l="1"/>
  <c r="K31" i="1"/>
</calcChain>
</file>

<file path=xl/sharedStrings.xml><?xml version="1.0" encoding="utf-8"?>
<sst xmlns="http://schemas.openxmlformats.org/spreadsheetml/2006/main" count="322" uniqueCount="194">
  <si>
    <t>Oriental Aromatics Ltd. (Consolidated)</t>
  </si>
  <si>
    <t>Income Statement</t>
  </si>
  <si>
    <t>Balance Sheet</t>
  </si>
  <si>
    <t>Y/E, Mar (Rs. mn)</t>
  </si>
  <si>
    <t>FY17</t>
  </si>
  <si>
    <t>FY18</t>
  </si>
  <si>
    <t>FY19</t>
  </si>
  <si>
    <t>FY20</t>
  </si>
  <si>
    <t>Q1- FY21</t>
  </si>
  <si>
    <t>Q2-FY21</t>
  </si>
  <si>
    <t>Q3-FY21</t>
  </si>
  <si>
    <t>FY21</t>
  </si>
  <si>
    <t>FY22</t>
  </si>
  <si>
    <t>FY23</t>
  </si>
  <si>
    <t>FY24</t>
  </si>
  <si>
    <t>Revenue from Operations</t>
  </si>
  <si>
    <t>Equity Share Capital</t>
  </si>
  <si>
    <t>Growth (%)</t>
  </si>
  <si>
    <t>Instrument entirely nature of equity</t>
  </si>
  <si>
    <t>CAGR (%) - 3 Years</t>
  </si>
  <si>
    <t>Other Equity</t>
  </si>
  <si>
    <t>Expenditure</t>
  </si>
  <si>
    <t>Networth/Shareholders Fund/ Book Value</t>
  </si>
  <si>
    <t>Cost of materials consumed</t>
  </si>
  <si>
    <t>Minority interest</t>
  </si>
  <si>
    <t>Changes in inventory of FG WIP &amp; SIT</t>
  </si>
  <si>
    <t>Long Term Debt</t>
  </si>
  <si>
    <t>Manufacturing and Operating Cost</t>
  </si>
  <si>
    <t>Short Term Debt</t>
  </si>
  <si>
    <t>Employee Benefit Expense</t>
  </si>
  <si>
    <t>Current Maturities of Long Term Debt</t>
  </si>
  <si>
    <t>Other Expenses</t>
  </si>
  <si>
    <t>Loans</t>
  </si>
  <si>
    <t>EBITDA</t>
  </si>
  <si>
    <t>Capital Employed</t>
  </si>
  <si>
    <t>CAGR (%) - 2 Years</t>
  </si>
  <si>
    <t>EBITDA margin (%)</t>
  </si>
  <si>
    <t>Property, Plant and Equipment</t>
  </si>
  <si>
    <t>Depreciation and amortisation cost</t>
  </si>
  <si>
    <t>Capital WIP</t>
  </si>
  <si>
    <t>Finance Cost</t>
  </si>
  <si>
    <t>Intangible Assets</t>
  </si>
  <si>
    <t>Excp Item</t>
  </si>
  <si>
    <t>Right to Use</t>
  </si>
  <si>
    <t>Other Income</t>
  </si>
  <si>
    <t>Goodwill</t>
  </si>
  <si>
    <t>PBT</t>
  </si>
  <si>
    <t>Deferred Tax Assets</t>
  </si>
  <si>
    <t>Tax</t>
  </si>
  <si>
    <t>Financial Assets</t>
  </si>
  <si>
    <t>Effective tax rate (%)</t>
  </si>
  <si>
    <t>a) Investment in Subsidaries</t>
  </si>
  <si>
    <t>PAT</t>
  </si>
  <si>
    <t>b) Loans</t>
  </si>
  <si>
    <t>PAT margin (%)</t>
  </si>
  <si>
    <t>b) Other financial assets</t>
  </si>
  <si>
    <t>Minority Interest</t>
  </si>
  <si>
    <t>Current Tax Assets (Net)</t>
  </si>
  <si>
    <t>Share of Profit of associates</t>
  </si>
  <si>
    <t>Other Non-Current assets</t>
  </si>
  <si>
    <t>Other Comprehensive Income</t>
  </si>
  <si>
    <t>Non current asset classified for sale</t>
  </si>
  <si>
    <t>PAT After MI (Total Comprehensive Income)</t>
  </si>
  <si>
    <t>CURRENT ASSETS, LOANS &amp; ADVANCES</t>
  </si>
  <si>
    <t>Inventories</t>
  </si>
  <si>
    <t>EPS</t>
  </si>
  <si>
    <t>a) Trade and other Recievable</t>
  </si>
  <si>
    <t>b) Cash &amp; Cash Equivalents</t>
  </si>
  <si>
    <t>c) Bank Bal other than above</t>
  </si>
  <si>
    <t>d) Other Current Financial Assets</t>
  </si>
  <si>
    <t>Cash Flow</t>
  </si>
  <si>
    <t>Other Current Assets</t>
  </si>
  <si>
    <t>FY 19</t>
  </si>
  <si>
    <t>CURRENT LIABILITIES &amp; PROVISIONS</t>
  </si>
  <si>
    <t>Cash and Cash Equivalents at Beginning of the year</t>
  </si>
  <si>
    <t>Current Financial Liabilities</t>
  </si>
  <si>
    <t>Cash Flow From Operating Activities</t>
  </si>
  <si>
    <t>a) Trade Payables</t>
  </si>
  <si>
    <t>Cash Flow from Investing Activities</t>
  </si>
  <si>
    <t>i. Total outstanding dues of micro enterprises and small enterprises</t>
  </si>
  <si>
    <t>Cash Flow From Financing Activities</t>
  </si>
  <si>
    <t>ii. Total outstanding dues of creditors other than micro enterprises and small enterprises</t>
  </si>
  <si>
    <t>Net Inc./(Dec.) in Cash and Cash Equivalent</t>
  </si>
  <si>
    <t>b) Other Financial liabilities</t>
  </si>
  <si>
    <t>Cash and Cash Equivalents at End of the year</t>
  </si>
  <si>
    <t>Other Current liabilities</t>
  </si>
  <si>
    <t>Current Tax Liability (Net)</t>
  </si>
  <si>
    <t>Our Calculations</t>
  </si>
  <si>
    <t>Provision</t>
  </si>
  <si>
    <t xml:space="preserve">Operating Cash Inflow </t>
  </si>
  <si>
    <t>NET CURRENT ASSETS</t>
  </si>
  <si>
    <t>Capital Expenditure</t>
  </si>
  <si>
    <t>FCF</t>
  </si>
  <si>
    <t>Deferred Tax Liability (Net)</t>
  </si>
  <si>
    <t>Other Financial Liabilities</t>
  </si>
  <si>
    <t>Provisions</t>
  </si>
  <si>
    <t>No. of Shares</t>
  </si>
  <si>
    <t>TOTAL ASSETS</t>
  </si>
  <si>
    <t>Market Cap</t>
  </si>
  <si>
    <t>TOTAL LIABILITIES</t>
  </si>
  <si>
    <t>Total Debt</t>
  </si>
  <si>
    <t>Key ratios</t>
  </si>
  <si>
    <t>Cash</t>
  </si>
  <si>
    <t xml:space="preserve">Y/E, Mar </t>
  </si>
  <si>
    <t>EV</t>
  </si>
  <si>
    <t>CMP(Rs)</t>
  </si>
  <si>
    <t>EPS (Rs)</t>
  </si>
  <si>
    <t>BVPS (Rs) (Equity Capital+Other Equity)</t>
  </si>
  <si>
    <t>DPS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</si>
  <si>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</si>
  <si>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</si>
  <si>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</si>
  <si>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</si>
  <si>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</si>
  <si>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</si>
  <si>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</si>
  <si>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</si>
  <si>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 (Average Debtors/Turnover)</t>
  </si>
  <si>
    <t>Creditor Days (Average Payable/Turnover)</t>
  </si>
  <si>
    <t>Inventory Days (Average Inventory/Turnover)</t>
  </si>
  <si>
    <t>Cash Conversion cycle</t>
  </si>
  <si>
    <t>Working Capital Days (Average Current Assets/Turnover)</t>
  </si>
  <si>
    <t>Interest Cost</t>
  </si>
  <si>
    <t>DSCR (PAT+Dep+Finance Cost)/(Interest+Current Maturity Long term Loan)</t>
  </si>
  <si>
    <t>FCF (Cash flow from operation+Investment in capital assets)</t>
  </si>
  <si>
    <t>Rs in Lakhs</t>
  </si>
  <si>
    <t>Particulars</t>
  </si>
  <si>
    <t>FY17-18</t>
  </si>
  <si>
    <t>18-19</t>
  </si>
  <si>
    <t>19-20</t>
  </si>
  <si>
    <t>20-21</t>
  </si>
  <si>
    <t>21-22</t>
  </si>
  <si>
    <t>22-23</t>
  </si>
  <si>
    <t>Inventory</t>
  </si>
  <si>
    <t>Debotrs</t>
  </si>
  <si>
    <t>Total (A)</t>
  </si>
  <si>
    <t>Trade Payables</t>
  </si>
  <si>
    <t>Total (B)</t>
  </si>
  <si>
    <t>Net Working Capital (A-B)</t>
  </si>
  <si>
    <t>Increase/(Decrease) in Working Capital</t>
  </si>
  <si>
    <t>Term Loan</t>
  </si>
  <si>
    <t>Short Term Borrwings</t>
  </si>
  <si>
    <t>Cash &amp; Bank Balance</t>
  </si>
  <si>
    <t>Total Net Borrowings</t>
  </si>
  <si>
    <t>Increase/(Decrease) in Short Term Borrowings</t>
  </si>
  <si>
    <t>Cash Profit (PAT+Depreciation)</t>
  </si>
  <si>
    <t>Net Debt to Equity Ratio</t>
  </si>
  <si>
    <t>Total Debt/EBITDA (Annualised)</t>
  </si>
  <si>
    <t>Net Addition in CWIP &amp; FA</t>
  </si>
  <si>
    <t>If TL taken in those year</t>
  </si>
  <si>
    <t>Total Borrowings</t>
  </si>
  <si>
    <t>Total Net Debt/EBITDA (Annualised)</t>
  </si>
  <si>
    <t>OAL - FY 23</t>
  </si>
  <si>
    <t>Particulas</t>
  </si>
  <si>
    <t>Q4</t>
  </si>
  <si>
    <t>Q3</t>
  </si>
  <si>
    <t>Q2</t>
  </si>
  <si>
    <t>Q1</t>
  </si>
  <si>
    <t>Total</t>
  </si>
  <si>
    <t>Forex Gain - Other Income</t>
  </si>
  <si>
    <t>Forex Gain - Loss in Fianace cost</t>
  </si>
  <si>
    <t>Net Gain/(Loss)</t>
  </si>
  <si>
    <t>Borrowings</t>
  </si>
  <si>
    <t>31.03.23</t>
  </si>
  <si>
    <t>31.12.22</t>
  </si>
  <si>
    <t>30.09.22</t>
  </si>
  <si>
    <t>30.06.22</t>
  </si>
  <si>
    <t>31.03.22</t>
  </si>
  <si>
    <t>31.12.21</t>
  </si>
  <si>
    <t>Working Capital Borrowings</t>
  </si>
  <si>
    <t>Debtors</t>
  </si>
  <si>
    <t>Trade Payable</t>
  </si>
  <si>
    <t>Standalone Basis</t>
  </si>
  <si>
    <t>Rs in Cr</t>
  </si>
  <si>
    <t xml:space="preserve"> FY 23</t>
  </si>
  <si>
    <t>9M FY22</t>
  </si>
  <si>
    <t>Baroda</t>
  </si>
  <si>
    <t>%</t>
  </si>
  <si>
    <t xml:space="preserve">Bareilly </t>
  </si>
  <si>
    <t>Ambernath</t>
  </si>
  <si>
    <t>% of Sales</t>
  </si>
  <si>
    <t>Domestic</t>
  </si>
  <si>
    <t>Export</t>
  </si>
  <si>
    <t>RM Consumption</t>
  </si>
  <si>
    <t>FY 23</t>
  </si>
  <si>
    <t>9M-FY22</t>
  </si>
  <si>
    <t>Chemical</t>
  </si>
  <si>
    <t>% of Conumption</t>
  </si>
  <si>
    <t>% of Purchases</t>
  </si>
  <si>
    <t>Import</t>
  </si>
  <si>
    <t>FY 23Q3</t>
  </si>
  <si>
    <t>FY 22Q3</t>
  </si>
  <si>
    <t>Purchases of Raw Material</t>
  </si>
  <si>
    <t>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</si>
</sst>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  <numFmt numFmtId="167" formatCode="0.0%"/>
    <numFmt numFmtId="168" formatCode="_(* #,##0.00000_);_(* \(#,##0.00000\);_(* &quot;-&quot;??_);_(@_)"/>
    <numFmt numFmtId="169" formatCode="_(* #,##0.00_);_(* \(#,##0.00\);_(* &quot;-&quot;??_);_(@_)"/>
    <numFmt numFmtId="170" formatCode="_(* #,##0_);_(* \(#,##0\);_(* &quot;-&quot;??_);_(@_)"/>
  </numFmts>
  <fonts count="17" x14ac:knownFonts="1">
    <font>
      <sz val="11"/>
      <color theme="1"/>
      <name val="Calibri"/>
      <scheme val="minor"/>
    </font>
    <font>
      <b/>
      <sz val="14"/>
      <color theme="0"/>
      <name val="Calibri"/>
      <family val="2"/>
    </font>
    <font>
      <sz val="11"/>
      <name val="Calibri"/>
      <family val="2"/>
    </font>
    <font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i/>
      <sz val="14"/>
      <color theme="1"/>
      <name val="Calibri"/>
      <family val="2"/>
    </font>
    <font>
      <sz val="11"/>
      <color theme="1"/>
      <name val="Calibri"/>
      <family val="2"/>
    </font>
    <font>
      <i/>
      <sz val="14"/>
      <color rgb="FFFF0000"/>
      <name val="Calibri"/>
      <family val="2"/>
    </font>
    <font>
      <b/>
      <sz val="14"/>
      <color rgb="FFFF0000"/>
      <name val="Calibri"/>
      <family val="2"/>
    </font>
    <font>
      <sz val="14"/>
      <color rgb="FFFF000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center"/>
    </xf>
    <xf numFmtId="0" fontId="7" fillId="0" borderId="9" xfId="0" applyFont="1" applyBorder="1"/>
    <xf numFmtId="0" fontId="7" fillId="0" borderId="5" xfId="0" applyFont="1" applyBorder="1"/>
    <xf numFmtId="165" fontId="7" fillId="0" borderId="5" xfId="0" applyNumberFormat="1" applyFont="1" applyBorder="1"/>
    <xf numFmtId="3" fontId="7" fillId="0" borderId="5" xfId="0" applyNumberFormat="1" applyFont="1" applyBorder="1" applyAlignment="1">
      <alignment horizontal="center"/>
    </xf>
    <xf numFmtId="165" fontId="7" fillId="0" borderId="10" xfId="0" applyNumberFormat="1" applyFont="1" applyBorder="1"/>
    <xf numFmtId="165" fontId="7" fillId="0" borderId="11" xfId="0" applyNumberFormat="1" applyFont="1" applyBorder="1"/>
    <xf numFmtId="0" fontId="3" fillId="0" borderId="9" xfId="0" applyFont="1" applyBorder="1"/>
    <xf numFmtId="165" fontId="3" fillId="0" borderId="5" xfId="0" applyNumberFormat="1" applyFont="1" applyBorder="1"/>
    <xf numFmtId="165" fontId="3" fillId="0" borderId="10" xfId="0" applyNumberFormat="1" applyFont="1" applyBorder="1"/>
    <xf numFmtId="0" fontId="9" fillId="3" borderId="9" xfId="0" applyFont="1" applyFill="1" applyBorder="1"/>
    <xf numFmtId="0" fontId="9" fillId="3" borderId="5" xfId="0" applyFont="1" applyFill="1" applyBorder="1"/>
    <xf numFmtId="10" fontId="9" fillId="3" borderId="5" xfId="0" applyNumberFormat="1" applyFont="1" applyFill="1" applyBorder="1"/>
    <xf numFmtId="3" fontId="9" fillId="3" borderId="5" xfId="0" applyNumberFormat="1" applyFont="1" applyFill="1" applyBorder="1"/>
    <xf numFmtId="165" fontId="7" fillId="3" borderId="5" xfId="0" applyNumberFormat="1" applyFont="1" applyFill="1" applyBorder="1"/>
    <xf numFmtId="0" fontId="7" fillId="3" borderId="9" xfId="0" applyFont="1" applyFill="1" applyBorder="1"/>
    <xf numFmtId="0" fontId="7" fillId="3" borderId="5" xfId="0" applyFont="1" applyFill="1" applyBorder="1"/>
    <xf numFmtId="3" fontId="7" fillId="3" borderId="5" xfId="0" applyNumberFormat="1" applyFont="1" applyFill="1" applyBorder="1"/>
    <xf numFmtId="3" fontId="3" fillId="0" borderId="5" xfId="0" applyNumberFormat="1" applyFont="1" applyBorder="1"/>
    <xf numFmtId="165" fontId="3" fillId="4" borderId="11" xfId="0" applyNumberFormat="1" applyFont="1" applyFill="1" applyBorder="1"/>
    <xf numFmtId="164" fontId="3" fillId="0" borderId="5" xfId="0" applyNumberFormat="1" applyFont="1" applyBorder="1"/>
    <xf numFmtId="165" fontId="3" fillId="0" borderId="11" xfId="0" applyNumberFormat="1" applyFont="1" applyBorder="1"/>
    <xf numFmtId="166" fontId="3" fillId="0" borderId="5" xfId="0" applyNumberFormat="1" applyFont="1" applyBorder="1" applyAlignment="1">
      <alignment horizontal="left"/>
    </xf>
    <xf numFmtId="43" fontId="3" fillId="0" borderId="0" xfId="0" applyNumberFormat="1" applyFont="1"/>
    <xf numFmtId="2" fontId="7" fillId="3" borderId="5" xfId="0" applyNumberFormat="1" applyFont="1" applyFill="1" applyBorder="1"/>
    <xf numFmtId="10" fontId="9" fillId="3" borderId="11" xfId="0" applyNumberFormat="1" applyFont="1" applyFill="1" applyBorder="1"/>
    <xf numFmtId="10" fontId="7" fillId="3" borderId="5" xfId="0" applyNumberFormat="1" applyFont="1" applyFill="1" applyBorder="1"/>
    <xf numFmtId="167" fontId="7" fillId="3" borderId="5" xfId="0" applyNumberFormat="1" applyFont="1" applyFill="1" applyBorder="1"/>
    <xf numFmtId="165" fontId="3" fillId="0" borderId="0" xfId="0" applyNumberFormat="1" applyFont="1"/>
    <xf numFmtId="164" fontId="3" fillId="0" borderId="11" xfId="0" applyNumberFormat="1" applyFont="1" applyBorder="1"/>
    <xf numFmtId="165" fontId="10" fillId="0" borderId="5" xfId="0" applyNumberFormat="1" applyFont="1" applyBorder="1"/>
    <xf numFmtId="164" fontId="7" fillId="3" borderId="5" xfId="0" applyNumberFormat="1" applyFont="1" applyFill="1" applyBorder="1"/>
    <xf numFmtId="43" fontId="7" fillId="0" borderId="5" xfId="0" applyNumberFormat="1" applyFont="1" applyBorder="1"/>
    <xf numFmtId="43" fontId="7" fillId="0" borderId="11" xfId="0" applyNumberFormat="1" applyFont="1" applyBorder="1"/>
    <xf numFmtId="0" fontId="3" fillId="3" borderId="9" xfId="0" applyFont="1" applyFill="1" applyBorder="1"/>
    <xf numFmtId="0" fontId="3" fillId="3" borderId="5" xfId="0" applyFont="1" applyFill="1" applyBorder="1"/>
    <xf numFmtId="10" fontId="3" fillId="3" borderId="5" xfId="0" applyNumberFormat="1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167" fontId="3" fillId="3" borderId="15" xfId="0" applyNumberFormat="1" applyFont="1" applyFill="1" applyBorder="1"/>
    <xf numFmtId="10" fontId="9" fillId="3" borderId="15" xfId="0" applyNumberFormat="1" applyFont="1" applyFill="1" applyBorder="1"/>
    <xf numFmtId="10" fontId="11" fillId="3" borderId="15" xfId="0" applyNumberFormat="1" applyFont="1" applyFill="1" applyBorder="1"/>
    <xf numFmtId="10" fontId="3" fillId="3" borderId="15" xfId="0" applyNumberFormat="1" applyFont="1" applyFill="1" applyBorder="1"/>
    <xf numFmtId="10" fontId="11" fillId="3" borderId="17" xfId="0" applyNumberFormat="1" applyFont="1" applyFill="1" applyBorder="1"/>
    <xf numFmtId="0" fontId="7" fillId="0" borderId="0" xfId="0" applyFont="1"/>
    <xf numFmtId="0" fontId="7" fillId="0" borderId="20" xfId="0" applyFont="1" applyBorder="1"/>
    <xf numFmtId="0" fontId="7" fillId="0" borderId="21" xfId="0" applyFont="1" applyBorder="1"/>
    <xf numFmtId="0" fontId="7" fillId="0" borderId="2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7" fillId="0" borderId="21" xfId="0" applyNumberFormat="1" applyFont="1" applyBorder="1" applyAlignment="1">
      <alignment horizontal="center"/>
    </xf>
    <xf numFmtId="2" fontId="7" fillId="0" borderId="22" xfId="0" applyNumberFormat="1" applyFont="1" applyBorder="1" applyAlignment="1">
      <alignment horizontal="center"/>
    </xf>
    <xf numFmtId="165" fontId="12" fillId="0" borderId="5" xfId="0" applyNumberFormat="1" applyFont="1" applyBorder="1"/>
    <xf numFmtId="165" fontId="13" fillId="0" borderId="5" xfId="0" applyNumberFormat="1" applyFont="1" applyBorder="1"/>
    <xf numFmtId="0" fontId="7" fillId="3" borderId="14" xfId="0" applyFont="1" applyFill="1" applyBorder="1"/>
    <xf numFmtId="0" fontId="7" fillId="0" borderId="15" xfId="0" applyFont="1" applyBorder="1"/>
    <xf numFmtId="165" fontId="12" fillId="3" borderId="15" xfId="0" applyNumberFormat="1" applyFont="1" applyFill="1" applyBorder="1"/>
    <xf numFmtId="165" fontId="7" fillId="3" borderId="15" xfId="0" applyNumberFormat="1" applyFont="1" applyFill="1" applyBorder="1"/>
    <xf numFmtId="165" fontId="3" fillId="0" borderId="15" xfId="0" applyNumberFormat="1" applyFont="1" applyBorder="1"/>
    <xf numFmtId="165" fontId="7" fillId="0" borderId="15" xfId="0" applyNumberFormat="1" applyFont="1" applyBorder="1"/>
    <xf numFmtId="165" fontId="7" fillId="3" borderId="16" xfId="0" applyNumberFormat="1" applyFont="1" applyFill="1" applyBorder="1"/>
    <xf numFmtId="165" fontId="7" fillId="3" borderId="17" xfId="0" applyNumberFormat="1" applyFont="1" applyFill="1" applyBorder="1"/>
    <xf numFmtId="0" fontId="13" fillId="0" borderId="0" xfId="0" applyFont="1"/>
    <xf numFmtId="165" fontId="7" fillId="0" borderId="0" xfId="0" applyNumberFormat="1" applyFont="1"/>
    <xf numFmtId="0" fontId="7" fillId="5" borderId="7" xfId="0" applyFont="1" applyFill="1" applyBorder="1"/>
    <xf numFmtId="0" fontId="3" fillId="0" borderId="24" xfId="0" applyFont="1" applyBorder="1"/>
    <xf numFmtId="0" fontId="13" fillId="0" borderId="24" xfId="0" applyFont="1" applyBorder="1"/>
    <xf numFmtId="2" fontId="7" fillId="0" borderId="7" xfId="0" applyNumberFormat="1" applyFont="1" applyBorder="1" applyAlignment="1">
      <alignment horizontal="center"/>
    </xf>
    <xf numFmtId="0" fontId="7" fillId="3" borderId="15" xfId="0" applyFont="1" applyFill="1" applyBorder="1"/>
    <xf numFmtId="0" fontId="3" fillId="3" borderId="25" xfId="0" applyFont="1" applyFill="1" applyBorder="1"/>
    <xf numFmtId="165" fontId="3" fillId="3" borderId="25" xfId="0" applyNumberFormat="1" applyFont="1" applyFill="1" applyBorder="1"/>
    <xf numFmtId="168" fontId="3" fillId="0" borderId="0" xfId="0" applyNumberFormat="1" applyFont="1"/>
    <xf numFmtId="0" fontId="3" fillId="0" borderId="6" xfId="0" applyFont="1" applyBorder="1"/>
    <xf numFmtId="0" fontId="3" fillId="0" borderId="7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23" xfId="0" applyNumberFormat="1" applyFont="1" applyBorder="1"/>
    <xf numFmtId="165" fontId="7" fillId="3" borderId="26" xfId="0" applyNumberFormat="1" applyFont="1" applyFill="1" applyBorder="1"/>
    <xf numFmtId="3" fontId="3" fillId="0" borderId="0" xfId="0" applyNumberFormat="1" applyFont="1"/>
    <xf numFmtId="164" fontId="13" fillId="0" borderId="0" xfId="0" applyNumberFormat="1" applyFont="1"/>
    <xf numFmtId="0" fontId="3" fillId="0" borderId="14" xfId="0" applyFont="1" applyBorder="1"/>
    <xf numFmtId="0" fontId="3" fillId="0" borderId="15" xfId="0" applyFont="1" applyBorder="1"/>
    <xf numFmtId="0" fontId="3" fillId="0" borderId="4" xfId="0" applyFont="1" applyBorder="1"/>
    <xf numFmtId="165" fontId="3" fillId="0" borderId="4" xfId="0" applyNumberFormat="1" applyFont="1" applyBorder="1"/>
    <xf numFmtId="165" fontId="7" fillId="0" borderId="26" xfId="0" applyNumberFormat="1" applyFont="1" applyBorder="1"/>
    <xf numFmtId="165" fontId="7" fillId="0" borderId="17" xfId="0" applyNumberFormat="1" applyFont="1" applyBorder="1"/>
    <xf numFmtId="164" fontId="3" fillId="0" borderId="9" xfId="0" applyNumberFormat="1" applyFont="1" applyBorder="1"/>
    <xf numFmtId="43" fontId="3" fillId="0" borderId="5" xfId="0" applyNumberFormat="1" applyFont="1" applyBorder="1"/>
    <xf numFmtId="167" fontId="3" fillId="0" borderId="9" xfId="0" applyNumberFormat="1" applyFont="1" applyBorder="1"/>
    <xf numFmtId="10" fontId="3" fillId="0" borderId="5" xfId="0" applyNumberFormat="1" applyFont="1" applyBorder="1"/>
    <xf numFmtId="2" fontId="3" fillId="0" borderId="5" xfId="0" applyNumberFormat="1" applyFont="1" applyBorder="1"/>
    <xf numFmtId="1" fontId="3" fillId="0" borderId="5" xfId="0" applyNumberFormat="1" applyFont="1" applyBorder="1"/>
    <xf numFmtId="0" fontId="14" fillId="0" borderId="0" xfId="0" applyFont="1"/>
    <xf numFmtId="164" fontId="3" fillId="0" borderId="9" xfId="0" applyNumberFormat="1" applyFont="1" applyBorder="1" applyAlignment="1">
      <alignment wrapText="1"/>
    </xf>
    <xf numFmtId="169" fontId="3" fillId="0" borderId="5" xfId="0" applyNumberFormat="1" applyFont="1" applyBorder="1"/>
    <xf numFmtId="0" fontId="13" fillId="0" borderId="15" xfId="0" applyFont="1" applyBorder="1"/>
    <xf numFmtId="165" fontId="13" fillId="0" borderId="15" xfId="0" applyNumberFormat="1" applyFont="1" applyBorder="1"/>
    <xf numFmtId="164" fontId="3" fillId="0" borderId="0" xfId="0" applyNumberFormat="1" applyFont="1"/>
    <xf numFmtId="0" fontId="3" fillId="0" borderId="0" xfId="0" applyFont="1" applyAlignment="1">
      <alignment horizontal="center" vertical="center"/>
    </xf>
    <xf numFmtId="166" fontId="3" fillId="0" borderId="0" xfId="0" applyNumberFormat="1" applyFont="1"/>
    <xf numFmtId="166" fontId="7" fillId="0" borderId="0" xfId="0" applyNumberFormat="1" applyFont="1" applyAlignment="1">
      <alignment vertical="top"/>
    </xf>
    <xf numFmtId="0" fontId="7" fillId="0" borderId="5" xfId="0" applyFont="1" applyBorder="1" applyAlignment="1">
      <alignment vertical="top"/>
    </xf>
    <xf numFmtId="0" fontId="12" fillId="0" borderId="5" xfId="0" applyFont="1" applyBorder="1"/>
    <xf numFmtId="0" fontId="3" fillId="0" borderId="5" xfId="0" applyFont="1" applyBorder="1" applyAlignment="1">
      <alignment vertical="top"/>
    </xf>
    <xf numFmtId="0" fontId="13" fillId="0" borderId="5" xfId="0" applyFont="1" applyBorder="1"/>
    <xf numFmtId="166" fontId="3" fillId="0" borderId="5" xfId="0" applyNumberFormat="1" applyFont="1" applyBorder="1" applyAlignment="1">
      <alignment vertical="top"/>
    </xf>
    <xf numFmtId="166" fontId="7" fillId="0" borderId="5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166" fontId="7" fillId="3" borderId="5" xfId="0" applyNumberFormat="1" applyFont="1" applyFill="1" applyBorder="1" applyAlignment="1">
      <alignment vertical="top"/>
    </xf>
    <xf numFmtId="166" fontId="10" fillId="0" borderId="0" xfId="0" applyNumberFormat="1" applyFont="1"/>
    <xf numFmtId="43" fontId="7" fillId="0" borderId="5" xfId="0" applyNumberFormat="1" applyFont="1" applyBorder="1" applyAlignment="1">
      <alignment vertical="top"/>
    </xf>
    <xf numFmtId="166" fontId="7" fillId="0" borderId="5" xfId="0" applyNumberFormat="1" applyFont="1" applyBorder="1"/>
    <xf numFmtId="166" fontId="3" fillId="0" borderId="5" xfId="0" applyNumberFormat="1" applyFont="1" applyBorder="1"/>
    <xf numFmtId="0" fontId="15" fillId="0" borderId="0" xfId="0" applyFont="1"/>
    <xf numFmtId="0" fontId="15" fillId="0" borderId="5" xfId="0" applyFont="1" applyBorder="1"/>
    <xf numFmtId="0" fontId="10" fillId="0" borderId="5" xfId="0" applyFont="1" applyBorder="1"/>
    <xf numFmtId="43" fontId="10" fillId="0" borderId="5" xfId="0" applyNumberFormat="1" applyFont="1" applyBorder="1"/>
    <xf numFmtId="43" fontId="15" fillId="0" borderId="5" xfId="0" applyNumberFormat="1" applyFont="1" applyBorder="1"/>
    <xf numFmtId="166" fontId="10" fillId="0" borderId="5" xfId="0" applyNumberFormat="1" applyFont="1" applyBorder="1"/>
    <xf numFmtId="166" fontId="10" fillId="0" borderId="21" xfId="0" applyNumberFormat="1" applyFont="1" applyBorder="1"/>
    <xf numFmtId="0" fontId="10" fillId="0" borderId="27" xfId="0" applyFont="1" applyBorder="1"/>
    <xf numFmtId="166" fontId="10" fillId="0" borderId="27" xfId="0" applyNumberFormat="1" applyFont="1" applyBorder="1"/>
    <xf numFmtId="166" fontId="15" fillId="0" borderId="5" xfId="0" applyNumberFormat="1" applyFont="1" applyBorder="1"/>
    <xf numFmtId="43" fontId="10" fillId="0" borderId="0" xfId="0" applyNumberFormat="1" applyFont="1"/>
    <xf numFmtId="43" fontId="15" fillId="0" borderId="0" xfId="0" applyNumberFormat="1" applyFont="1" applyAlignment="1">
      <alignment wrapText="1"/>
    </xf>
    <xf numFmtId="170" fontId="10" fillId="0" borderId="0" xfId="0" applyNumberFormat="1" applyFont="1"/>
    <xf numFmtId="169" fontId="10" fillId="0" borderId="0" xfId="0" applyNumberFormat="1" applyFont="1"/>
    <xf numFmtId="170" fontId="15" fillId="0" borderId="5" xfId="0" applyNumberFormat="1" applyFont="1" applyBorder="1" applyAlignment="1">
      <alignment wrapText="1"/>
    </xf>
    <xf numFmtId="170" fontId="15" fillId="6" borderId="5" xfId="0" applyNumberFormat="1" applyFont="1" applyFill="1" applyBorder="1" applyAlignment="1">
      <alignment wrapText="1"/>
    </xf>
    <xf numFmtId="170" fontId="10" fillId="0" borderId="5" xfId="0" applyNumberFormat="1" applyFont="1" applyBorder="1" applyAlignment="1">
      <alignment wrapText="1"/>
    </xf>
    <xf numFmtId="9" fontId="10" fillId="0" borderId="5" xfId="0" applyNumberFormat="1" applyFont="1" applyBorder="1"/>
    <xf numFmtId="9" fontId="10" fillId="6" borderId="5" xfId="0" applyNumberFormat="1" applyFont="1" applyFill="1" applyBorder="1" applyAlignment="1">
      <alignment wrapText="1"/>
    </xf>
    <xf numFmtId="9" fontId="10" fillId="6" borderId="5" xfId="0" applyNumberFormat="1" applyFont="1" applyFill="1" applyBorder="1"/>
    <xf numFmtId="9" fontId="15" fillId="6" borderId="5" xfId="0" applyNumberFormat="1" applyFont="1" applyFill="1" applyBorder="1" applyAlignment="1">
      <alignment wrapText="1"/>
    </xf>
    <xf numFmtId="0" fontId="16" fillId="0" borderId="0" xfId="0" applyFont="1"/>
    <xf numFmtId="0" fontId="10" fillId="0" borderId="0" xfId="0" applyFont="1"/>
    <xf numFmtId="9" fontId="10" fillId="0" borderId="0" xfId="0" applyNumberFormat="1" applyFont="1"/>
    <xf numFmtId="0" fontId="15" fillId="0" borderId="5" xfId="0" applyFont="1" applyBorder="1" applyAlignment="1">
      <alignment wrapText="1"/>
    </xf>
    <xf numFmtId="0" fontId="15" fillId="6" borderId="5" xfId="0" applyFont="1" applyFill="1" applyBorder="1" applyAlignment="1">
      <alignment wrapText="1"/>
    </xf>
    <xf numFmtId="43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15" fillId="0" borderId="10" xfId="0" applyFont="1" applyBorder="1" applyAlignment="1">
      <alignment horizontal="center" wrapText="1"/>
    </xf>
    <xf numFmtId="0" fontId="2" fillId="0" borderId="13" xfId="0" applyFont="1" applyBorder="1"/>
    <xf numFmtId="0" fontId="2" fillId="0" borderId="28" xfId="0" applyFont="1" applyBorder="1"/>
    <xf numFmtId="0" fontId="15" fillId="0" borderId="27" xfId="0" applyFont="1" applyBorder="1" applyAlignment="1">
      <alignment horizontal="left"/>
    </xf>
    <xf numFmtId="0" fontId="2" fillId="0" borderId="21" xfId="0" applyFont="1" applyBorder="1"/>
    <xf numFmtId="0" fontId="10" fillId="0" borderId="22" xfId="0" applyFont="1" applyBorder="1" applyAlignment="1">
      <alignment horizontal="center"/>
    </xf>
    <xf numFmtId="0" fontId="2" fillId="0" borderId="29" xfId="0" applyFont="1" applyBorder="1"/>
    <xf numFmtId="0" fontId="2" fillId="0" borderId="30" xfId="0" applyFont="1" applyBorder="1"/>
    <xf numFmtId="0" fontId="15" fillId="0" borderId="27" xfId="0" applyFont="1" applyBorder="1" applyAlignment="1">
      <alignment horizontal="center"/>
    </xf>
    <xf numFmtId="170" fontId="15" fillId="0" borderId="10" xfId="0" applyNumberFormat="1" applyFont="1" applyBorder="1" applyAlignment="1">
      <alignment horizontal="center" wrapText="1"/>
    </xf>
    <xf numFmtId="165" fontId="3" fillId="0" borderId="5" xfId="0" applyNumberFormat="1" applyFont="1" applyBorder="1" applyAlignment="1">
      <alignment wrapText="1"/>
    </xf>
    <xf numFmtId="0" fontId="7" fillId="0" borderId="1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165" fontId="7" fillId="0" borderId="12" xfId="0" applyNumberFormat="1" applyFont="1" applyBorder="1"/>
    <xf numFmtId="165" fontId="3" fillId="0" borderId="12" xfId="0" applyNumberFormat="1" applyFont="1" applyBorder="1"/>
    <xf numFmtId="0" fontId="7" fillId="0" borderId="23" xfId="0" applyFont="1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43" fontId="3" fillId="0" borderId="2" xfId="0" applyNumberFormat="1" applyFont="1" applyBorder="1"/>
    <xf numFmtId="165" fontId="3" fillId="0" borderId="2" xfId="0" applyNumberFormat="1" applyFont="1" applyBorder="1"/>
    <xf numFmtId="165" fontId="7" fillId="3" borderId="11" xfId="0" applyNumberFormat="1" applyFont="1" applyFill="1" applyBorder="1"/>
    <xf numFmtId="10" fontId="7" fillId="3" borderId="11" xfId="0" applyNumberFormat="1" applyFont="1" applyFill="1" applyBorder="1"/>
    <xf numFmtId="164" fontId="7" fillId="3" borderId="11" xfId="0" applyNumberFormat="1" applyFont="1" applyFill="1" applyBorder="1"/>
    <xf numFmtId="10" fontId="3" fillId="3" borderId="11" xfId="0" applyNumberFormat="1" applyFont="1" applyFill="1" applyBorder="1"/>
    <xf numFmtId="0" fontId="8" fillId="0" borderId="7" xfId="0" applyFont="1" applyBorder="1" applyAlignment="1">
      <alignment horizontal="center"/>
    </xf>
    <xf numFmtId="0" fontId="3" fillId="0" borderId="11" xfId="0" applyFont="1" applyBorder="1"/>
    <xf numFmtId="43" fontId="3" fillId="0" borderId="11" xfId="0" applyNumberFormat="1" applyFont="1" applyBorder="1"/>
    <xf numFmtId="2" fontId="3" fillId="0" borderId="11" xfId="0" applyNumberFormat="1" applyFont="1" applyBorder="1"/>
    <xf numFmtId="10" fontId="3" fillId="0" borderId="11" xfId="0" applyNumberFormat="1" applyFont="1" applyBorder="1"/>
    <xf numFmtId="1" fontId="3" fillId="0" borderId="11" xfId="0" applyNumberFormat="1" applyFont="1" applyBorder="1"/>
    <xf numFmtId="169" fontId="3" fillId="0" borderId="11" xfId="0" applyNumberFormat="1" applyFont="1" applyBorder="1"/>
    <xf numFmtId="165" fontId="3" fillId="0" borderId="17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65" fontId="3" fillId="0" borderId="5" xfId="0" applyNumberFormat="1" applyFont="1" applyFill="1" applyBorder="1"/>
    <xf numFmtId="165" fontId="10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="70" zoomScaleNormal="70" workbookViewId="0">
      <selection sqref="A1:Y1"/>
    </sheetView>
  </sheetViews>
  <sheetFormatPr defaultColWidth="14.42578125" defaultRowHeight="15" customHeight="1" x14ac:dyDescent="0.25"/>
  <cols>
    <col min="1" max="1" width="48.140625" customWidth="1"/>
    <col min="2" max="2" width="14" hidden="1" customWidth="1"/>
    <col min="3" max="3" width="16.85546875" hidden="1" customWidth="1"/>
    <col min="4" max="4" width="17.42578125" hidden="1" customWidth="1"/>
    <col min="5" max="6" width="16.85546875" customWidth="1"/>
    <col min="7" max="9" width="16.85546875" hidden="1" customWidth="1"/>
    <col min="10" max="10" width="16.85546875" customWidth="1"/>
    <col min="11" max="11" width="16.140625" customWidth="1"/>
    <col min="12" max="13" width="17.7109375" customWidth="1"/>
    <col min="14" max="14" width="17.5703125" customWidth="1"/>
    <col min="15" max="15" width="17.7109375" customWidth="1"/>
    <col min="16" max="16" width="101.140625" customWidth="1"/>
    <col min="17" max="20" width="16.28515625" hidden="1" customWidth="1"/>
    <col min="21" max="21" width="16.42578125" customWidth="1"/>
    <col min="22" max="22" width="17.85546875" customWidth="1"/>
    <col min="23" max="24" width="16.28515625" customWidth="1"/>
    <col min="25" max="25" width="16.42578125" customWidth="1"/>
    <col min="26" max="26" width="22.42578125" customWidth="1"/>
    <col min="27" max="27" width="10.140625" customWidth="1"/>
    <col min="28" max="28" width="9.140625" customWidth="1"/>
    <col min="29" max="29" width="15" customWidth="1"/>
  </cols>
  <sheetData>
    <row r="1" spans="1:29" ht="18.75" customHeight="1" x14ac:dyDescent="0.3">
      <c r="A1" s="148" t="s">
        <v>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"/>
      <c r="AA1" s="1"/>
      <c r="AB1" s="1"/>
      <c r="AC1" s="1"/>
    </row>
    <row r="2" spans="1:29" ht="18.75" customHeight="1" thickBot="1" x14ac:dyDescent="0.35">
      <c r="A2" s="149" t="s">
        <v>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2"/>
      <c r="O2" s="1"/>
      <c r="P2" s="151" t="s">
        <v>2</v>
      </c>
      <c r="Q2" s="150"/>
      <c r="R2" s="150"/>
      <c r="S2" s="150"/>
      <c r="T2" s="150"/>
      <c r="U2" s="150"/>
      <c r="V2" s="150"/>
      <c r="W2" s="150"/>
      <c r="X2" s="150"/>
      <c r="Z2" s="1"/>
      <c r="AA2" s="1"/>
      <c r="AB2" s="1"/>
      <c r="AC2" s="1"/>
    </row>
    <row r="3" spans="1:29" ht="18.75" customHeight="1" x14ac:dyDescent="0.3">
      <c r="A3" s="4" t="s">
        <v>3</v>
      </c>
      <c r="B3" s="5"/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80" t="s">
        <v>14</v>
      </c>
      <c r="N3" s="171" t="s">
        <v>193</v>
      </c>
      <c r="O3" s="172"/>
      <c r="P3" s="4" t="s">
        <v>3</v>
      </c>
      <c r="Q3" s="7" t="s">
        <v>4</v>
      </c>
      <c r="R3" s="8" t="s">
        <v>5</v>
      </c>
      <c r="S3" s="6" t="s">
        <v>6</v>
      </c>
      <c r="T3" s="6" t="s">
        <v>7</v>
      </c>
      <c r="U3" s="9" t="s">
        <v>11</v>
      </c>
      <c r="V3" s="6" t="s">
        <v>12</v>
      </c>
      <c r="W3" s="6" t="s">
        <v>13</v>
      </c>
      <c r="X3" s="189" t="s">
        <v>14</v>
      </c>
      <c r="Y3" s="171" t="s">
        <v>193</v>
      </c>
      <c r="Z3" s="1"/>
      <c r="AA3" s="1"/>
      <c r="AB3" s="1"/>
      <c r="AC3" s="1"/>
    </row>
    <row r="4" spans="1:29" ht="18.75" customHeight="1" x14ac:dyDescent="0.3">
      <c r="A4" s="10" t="s">
        <v>15</v>
      </c>
      <c r="B4" s="11"/>
      <c r="C4" s="12">
        <v>4577.5079999999998</v>
      </c>
      <c r="D4" s="12">
        <v>5060.3310000000001</v>
      </c>
      <c r="E4" s="12">
        <v>7546.857</v>
      </c>
      <c r="F4" s="12">
        <v>7598.9449999999997</v>
      </c>
      <c r="G4" s="13">
        <v>1132.5740000000001</v>
      </c>
      <c r="H4" s="13">
        <v>1838.346</v>
      </c>
      <c r="I4" s="13">
        <v>1906.7</v>
      </c>
      <c r="J4" s="12">
        <v>7088.36</v>
      </c>
      <c r="K4" s="12">
        <f>86879.19/10</f>
        <v>8687.9189999999999</v>
      </c>
      <c r="L4" s="12">
        <f>84907.26/10</f>
        <v>8490.7259999999987</v>
      </c>
      <c r="M4" s="12">
        <v>8364.0470000000005</v>
      </c>
      <c r="N4" s="15">
        <v>9282.5619999999999</v>
      </c>
      <c r="O4" s="172"/>
      <c r="P4" s="16" t="s">
        <v>16</v>
      </c>
      <c r="Q4" s="3">
        <v>51.337000000000003</v>
      </c>
      <c r="R4" s="3">
        <v>84.134</v>
      </c>
      <c r="S4" s="17">
        <v>168.268</v>
      </c>
      <c r="T4" s="17">
        <v>168.268</v>
      </c>
      <c r="U4" s="17">
        <v>168.268</v>
      </c>
      <c r="V4" s="17">
        <v>168.268</v>
      </c>
      <c r="W4" s="17">
        <v>168.268</v>
      </c>
      <c r="X4" s="17">
        <v>168.268</v>
      </c>
      <c r="Y4" s="30">
        <v>168.268</v>
      </c>
      <c r="AA4" s="1"/>
      <c r="AB4" s="1"/>
      <c r="AC4" s="1"/>
    </row>
    <row r="5" spans="1:29" ht="18.75" customHeight="1" x14ac:dyDescent="0.3">
      <c r="A5" s="19" t="s">
        <v>17</v>
      </c>
      <c r="B5" s="20"/>
      <c r="C5" s="21"/>
      <c r="D5" s="21">
        <f t="shared" ref="D5:F5" si="0">(D4/C4-1)</f>
        <v>0.10547725967928412</v>
      </c>
      <c r="E5" s="21">
        <f t="shared" si="0"/>
        <v>0.49137615701423476</v>
      </c>
      <c r="F5" s="21">
        <f t="shared" si="0"/>
        <v>6.901946068409659E-3</v>
      </c>
      <c r="G5" s="22"/>
      <c r="H5" s="22"/>
      <c r="I5" s="22"/>
      <c r="J5" s="21">
        <f>(J4/F4-1)</f>
        <v>-6.7191564092120681E-2</v>
      </c>
      <c r="K5" s="21">
        <f t="shared" ref="K5:N5" si="1">K4/J4-1</f>
        <v>0.22565995519414939</v>
      </c>
      <c r="L5" s="21">
        <f t="shared" si="1"/>
        <v>-2.2697380120602073E-2</v>
      </c>
      <c r="M5" s="21">
        <f t="shared" si="1"/>
        <v>-1.4919690024150833E-2</v>
      </c>
      <c r="N5" s="34">
        <f t="shared" si="1"/>
        <v>0.10981705387356144</v>
      </c>
      <c r="O5" s="172"/>
      <c r="P5" s="16" t="s">
        <v>18</v>
      </c>
      <c r="Q5" s="3">
        <v>32.796999999999997</v>
      </c>
      <c r="R5" s="3"/>
      <c r="S5" s="17"/>
      <c r="T5" s="17"/>
      <c r="U5" s="17"/>
      <c r="V5" s="17"/>
      <c r="W5" s="17"/>
      <c r="X5" s="17"/>
      <c r="Y5" s="30"/>
      <c r="AA5" s="1"/>
      <c r="AB5" s="1"/>
      <c r="AC5" s="1"/>
    </row>
    <row r="6" spans="1:29" ht="18.75" customHeight="1" x14ac:dyDescent="0.3">
      <c r="A6" s="19" t="s">
        <v>19</v>
      </c>
      <c r="B6" s="20"/>
      <c r="C6" s="21"/>
      <c r="D6" s="23"/>
      <c r="E6" s="21">
        <f>((E4/C4)^(1/2))-1</f>
        <v>0.28401029092726437</v>
      </c>
      <c r="F6" s="21">
        <f>((F4/C4)^(1/3))-1</f>
        <v>0.18406278020084343</v>
      </c>
      <c r="G6" s="22"/>
      <c r="H6" s="22"/>
      <c r="I6" s="22"/>
      <c r="J6" s="21">
        <f t="shared" ref="J6:L6" si="2">((J4/D4)^(1/3))-1</f>
        <v>0.11889400510145021</v>
      </c>
      <c r="K6" s="21">
        <f t="shared" si="2"/>
        <v>4.805292430585828E-2</v>
      </c>
      <c r="L6" s="21">
        <f t="shared" si="2"/>
        <v>3.768094464097671E-2</v>
      </c>
      <c r="M6" s="21">
        <f>((M4/J4)^(1/3))-1</f>
        <v>5.6712633063578766E-2</v>
      </c>
      <c r="N6" s="34">
        <f>((N4/K4)^(1/3))-1</f>
        <v>2.231334927909856E-2</v>
      </c>
      <c r="O6" s="172"/>
      <c r="P6" s="16" t="s">
        <v>20</v>
      </c>
      <c r="Q6" s="3">
        <v>3080.873</v>
      </c>
      <c r="R6" s="3">
        <v>3291.6190000000001</v>
      </c>
      <c r="S6" s="17">
        <v>3750.9740000000002</v>
      </c>
      <c r="T6" s="17">
        <v>4473.1310000000003</v>
      </c>
      <c r="U6" s="17">
        <v>5404.6</v>
      </c>
      <c r="V6" s="17">
        <f>58839.32/10</f>
        <v>5883.9319999999998</v>
      </c>
      <c r="W6" s="17">
        <v>6081.16</v>
      </c>
      <c r="X6" s="17">
        <v>6155.2179999999998</v>
      </c>
      <c r="Y6" s="30">
        <v>6461.3410000000003</v>
      </c>
      <c r="AA6" s="1"/>
      <c r="AB6" s="1"/>
      <c r="AC6" s="1"/>
    </row>
    <row r="7" spans="1:29" ht="18.75" customHeight="1" x14ac:dyDescent="0.3">
      <c r="A7" s="24" t="s">
        <v>21</v>
      </c>
      <c r="B7" s="25"/>
      <c r="C7" s="23">
        <f t="shared" ref="C7:L7" si="3">SUM(C8:C12)</f>
        <v>4008.931</v>
      </c>
      <c r="D7" s="23">
        <f t="shared" si="3"/>
        <v>4412.87</v>
      </c>
      <c r="E7" s="23">
        <f t="shared" si="3"/>
        <v>6396.7719999999999</v>
      </c>
      <c r="F7" s="23">
        <f t="shared" si="3"/>
        <v>6326.84</v>
      </c>
      <c r="G7" s="26">
        <f t="shared" si="3"/>
        <v>949.39900000000011</v>
      </c>
      <c r="H7" s="26">
        <f t="shared" si="3"/>
        <v>1347.7179999999998</v>
      </c>
      <c r="I7" s="26">
        <f t="shared" si="3"/>
        <v>1372.951</v>
      </c>
      <c r="J7" s="23">
        <f t="shared" si="3"/>
        <v>5537.62</v>
      </c>
      <c r="K7" s="23">
        <f t="shared" si="3"/>
        <v>7762.6449999999995</v>
      </c>
      <c r="L7" s="23">
        <f t="shared" si="3"/>
        <v>7948.5919999999996</v>
      </c>
      <c r="M7" s="23">
        <f>SUM(M8:M12)</f>
        <v>7894.6790000000001</v>
      </c>
      <c r="N7" s="176">
        <f>SUM(N8:N12)</f>
        <v>8348.6620000000003</v>
      </c>
      <c r="O7" s="172"/>
      <c r="P7" s="24" t="s">
        <v>22</v>
      </c>
      <c r="Q7" s="25">
        <f>(Q4+Q6+Q5)</f>
        <v>3165.0070000000001</v>
      </c>
      <c r="R7" s="25">
        <f t="shared" ref="R7:W7" si="4">(R4+R6)</f>
        <v>3375.7530000000002</v>
      </c>
      <c r="S7" s="23">
        <f t="shared" si="4"/>
        <v>3919.2420000000002</v>
      </c>
      <c r="T7" s="23">
        <f t="shared" si="4"/>
        <v>4641.3990000000003</v>
      </c>
      <c r="U7" s="23">
        <f t="shared" si="4"/>
        <v>5572.8680000000004</v>
      </c>
      <c r="V7" s="23">
        <f t="shared" si="4"/>
        <v>6052.2</v>
      </c>
      <c r="W7" s="23">
        <f t="shared" si="4"/>
        <v>6249.4279999999999</v>
      </c>
      <c r="X7" s="23">
        <f>(X4+X6)</f>
        <v>6323.4859999999999</v>
      </c>
      <c r="Y7" s="176">
        <f>(Y4+Y6)</f>
        <v>6629.6090000000004</v>
      </c>
      <c r="AA7" s="1"/>
      <c r="AB7" s="1"/>
      <c r="AC7" s="1"/>
    </row>
    <row r="8" spans="1:29" ht="18.75" customHeight="1" x14ac:dyDescent="0.3">
      <c r="A8" s="16" t="s">
        <v>23</v>
      </c>
      <c r="B8" s="3"/>
      <c r="C8" s="17">
        <v>2925.0810000000001</v>
      </c>
      <c r="D8" s="17">
        <v>3307.768</v>
      </c>
      <c r="E8" s="17">
        <v>5221.165</v>
      </c>
      <c r="F8" s="17">
        <v>4863.0940000000001</v>
      </c>
      <c r="G8" s="27">
        <v>631.52499999999998</v>
      </c>
      <c r="H8" s="27">
        <v>1036.934</v>
      </c>
      <c r="I8" s="27">
        <v>1004.649</v>
      </c>
      <c r="J8" s="17">
        <v>4145.21</v>
      </c>
      <c r="K8" s="17">
        <f>61558.47/10</f>
        <v>6155.8469999999998</v>
      </c>
      <c r="L8" s="17">
        <f>63068.53/10</f>
        <v>6306.8530000000001</v>
      </c>
      <c r="M8" s="17">
        <v>5325.3680000000004</v>
      </c>
      <c r="N8" s="28">
        <f>6145.944+207.442</f>
        <v>6353.3860000000004</v>
      </c>
      <c r="O8" s="172"/>
      <c r="P8" s="16" t="s">
        <v>24</v>
      </c>
      <c r="Q8" s="3"/>
      <c r="R8" s="3"/>
      <c r="S8" s="17"/>
      <c r="T8" s="17"/>
      <c r="U8" s="17"/>
      <c r="V8" s="17"/>
      <c r="W8" s="17"/>
      <c r="X8" s="17"/>
      <c r="Y8" s="30"/>
      <c r="AA8" s="1"/>
      <c r="AB8" s="1"/>
      <c r="AC8" s="1"/>
    </row>
    <row r="9" spans="1:29" ht="18.75" customHeight="1" x14ac:dyDescent="0.3">
      <c r="A9" s="16" t="s">
        <v>25</v>
      </c>
      <c r="B9" s="3"/>
      <c r="C9" s="17">
        <v>37.697000000000003</v>
      </c>
      <c r="D9" s="17">
        <v>-33.109000000000002</v>
      </c>
      <c r="E9" s="17">
        <v>-245.422</v>
      </c>
      <c r="F9" s="17">
        <v>-90.260999999999996</v>
      </c>
      <c r="G9" s="27">
        <v>44.21</v>
      </c>
      <c r="H9" s="27">
        <v>-120.027</v>
      </c>
      <c r="I9" s="27">
        <v>-49.274999999999999</v>
      </c>
      <c r="J9" s="17">
        <v>-199.15</v>
      </c>
      <c r="K9" s="17">
        <f>-4277.32/10</f>
        <v>-427.73199999999997</v>
      </c>
      <c r="L9" s="17">
        <f>-5391.44/10</f>
        <v>-539.14400000000001</v>
      </c>
      <c r="M9" s="17">
        <v>389.37900000000002</v>
      </c>
      <c r="N9" s="30">
        <v>-757.90899999999999</v>
      </c>
      <c r="O9" s="172"/>
      <c r="P9" s="16" t="s">
        <v>26</v>
      </c>
      <c r="Q9" s="3">
        <v>425.95499999999998</v>
      </c>
      <c r="R9" s="3">
        <v>211.76499999999999</v>
      </c>
      <c r="S9" s="17">
        <v>117.64700000000001</v>
      </c>
      <c r="T9" s="17">
        <v>15.295</v>
      </c>
      <c r="U9" s="17">
        <v>0</v>
      </c>
      <c r="V9" s="17">
        <f>4500/10</f>
        <v>450</v>
      </c>
      <c r="W9" s="17">
        <v>316.39999999999998</v>
      </c>
      <c r="X9" s="17">
        <v>518.57299999999998</v>
      </c>
      <c r="Y9" s="30">
        <v>821.66600000000005</v>
      </c>
      <c r="AA9" s="1"/>
      <c r="AB9" s="1"/>
      <c r="AC9" s="1"/>
    </row>
    <row r="10" spans="1:29" ht="18.75" customHeight="1" x14ac:dyDescent="0.3">
      <c r="A10" s="16" t="s">
        <v>27</v>
      </c>
      <c r="B10" s="3"/>
      <c r="C10" s="17">
        <v>511.995</v>
      </c>
      <c r="D10" s="17">
        <v>548.875</v>
      </c>
      <c r="E10" s="17">
        <v>647.41399999999999</v>
      </c>
      <c r="F10" s="17">
        <v>807.82100000000003</v>
      </c>
      <c r="G10" s="27">
        <v>130.05199999999999</v>
      </c>
      <c r="H10" s="27">
        <v>220.559</v>
      </c>
      <c r="I10" s="27">
        <v>199.631</v>
      </c>
      <c r="J10" s="17">
        <v>784.73</v>
      </c>
      <c r="K10" s="17">
        <f>10474.59/10</f>
        <v>1047.4590000000001</v>
      </c>
      <c r="L10" s="17">
        <v>1098.7</v>
      </c>
      <c r="M10" s="165">
        <v>1150.7249999999999</v>
      </c>
      <c r="N10" s="30">
        <v>1356.8689999999999</v>
      </c>
      <c r="O10" s="172"/>
      <c r="P10" s="16" t="s">
        <v>28</v>
      </c>
      <c r="Q10" s="3">
        <v>621.97400000000005</v>
      </c>
      <c r="R10" s="3">
        <v>1012.961</v>
      </c>
      <c r="S10" s="17">
        <v>1622.37</v>
      </c>
      <c r="T10" s="17">
        <v>431.10700000000003</v>
      </c>
      <c r="U10" s="17">
        <v>778.59</v>
      </c>
      <c r="V10" s="17">
        <f>9434.88/10</f>
        <v>943.48799999999994</v>
      </c>
      <c r="W10" s="17">
        <v>1972.0150000000001</v>
      </c>
      <c r="X10" s="17">
        <v>1522.316</v>
      </c>
      <c r="Y10" s="30">
        <v>2698.6149999999998</v>
      </c>
      <c r="AA10" s="1"/>
      <c r="AB10" s="1"/>
      <c r="AC10" s="1"/>
    </row>
    <row r="11" spans="1:29" ht="18.75" customHeight="1" x14ac:dyDescent="0.3">
      <c r="A11" s="16" t="s">
        <v>29</v>
      </c>
      <c r="B11" s="3"/>
      <c r="C11" s="17">
        <v>232.21799999999999</v>
      </c>
      <c r="D11" s="17">
        <v>261.46300000000002</v>
      </c>
      <c r="E11" s="17">
        <v>314.87799999999999</v>
      </c>
      <c r="F11" s="17">
        <v>358.113</v>
      </c>
      <c r="G11" s="27">
        <v>88.278000000000006</v>
      </c>
      <c r="H11" s="27">
        <v>92.605999999999995</v>
      </c>
      <c r="I11" s="27">
        <v>95.1</v>
      </c>
      <c r="J11" s="17">
        <v>394.63</v>
      </c>
      <c r="K11" s="17">
        <f>4839.24/10</f>
        <v>483.92399999999998</v>
      </c>
      <c r="L11" s="17">
        <v>528.40599999999995</v>
      </c>
      <c r="M11" s="17">
        <v>540.93399999999997</v>
      </c>
      <c r="N11" s="28">
        <v>759.66800000000001</v>
      </c>
      <c r="P11" s="16" t="s">
        <v>30</v>
      </c>
      <c r="Q11" s="3"/>
      <c r="R11" s="3">
        <v>94</v>
      </c>
      <c r="S11" s="17">
        <v>94</v>
      </c>
      <c r="T11" s="17">
        <v>61</v>
      </c>
      <c r="U11" s="17">
        <v>0</v>
      </c>
      <c r="V11" s="17">
        <v>0</v>
      </c>
      <c r="W11" s="17">
        <v>0</v>
      </c>
      <c r="X11" s="17">
        <v>0</v>
      </c>
      <c r="Y11" s="30"/>
      <c r="AA11" s="1"/>
      <c r="AB11" s="1"/>
      <c r="AC11" s="1"/>
    </row>
    <row r="12" spans="1:29" ht="18.75" customHeight="1" x14ac:dyDescent="0.3">
      <c r="A12" s="16" t="s">
        <v>31</v>
      </c>
      <c r="B12" s="3"/>
      <c r="C12" s="31">
        <v>301.94</v>
      </c>
      <c r="D12" s="17">
        <v>327.87299999999999</v>
      </c>
      <c r="E12" s="17">
        <v>458.73700000000002</v>
      </c>
      <c r="F12" s="17">
        <v>388.07299999999998</v>
      </c>
      <c r="G12" s="27">
        <v>55.334000000000003</v>
      </c>
      <c r="H12" s="27">
        <v>117.646</v>
      </c>
      <c r="I12" s="27">
        <v>122.846</v>
      </c>
      <c r="J12" s="17">
        <v>412.2</v>
      </c>
      <c r="K12" s="17">
        <f>5031.47/10</f>
        <v>503.14700000000005</v>
      </c>
      <c r="L12" s="17">
        <v>553.77700000000004</v>
      </c>
      <c r="M12" s="165">
        <v>488.27300000000002</v>
      </c>
      <c r="N12" s="28">
        <v>636.64800000000002</v>
      </c>
      <c r="O12" s="173"/>
      <c r="P12" s="24" t="s">
        <v>32</v>
      </c>
      <c r="Q12" s="25">
        <f>Q10+Q9</f>
        <v>1047.9290000000001</v>
      </c>
      <c r="R12" s="25">
        <f t="shared" ref="R12:T12" si="5">R10+R9+R11</f>
        <v>1318.7260000000001</v>
      </c>
      <c r="S12" s="23">
        <f t="shared" si="5"/>
        <v>1834.0169999999998</v>
      </c>
      <c r="T12" s="23">
        <f t="shared" si="5"/>
        <v>507.40200000000004</v>
      </c>
      <c r="U12" s="23">
        <f t="shared" ref="U12:W12" si="6">U10+U9</f>
        <v>778.59</v>
      </c>
      <c r="V12" s="23">
        <f t="shared" si="6"/>
        <v>1393.4879999999998</v>
      </c>
      <c r="W12" s="23">
        <f t="shared" si="6"/>
        <v>2288.415</v>
      </c>
      <c r="X12" s="23">
        <f>X10+X9</f>
        <v>2040.8890000000001</v>
      </c>
      <c r="Y12" s="176">
        <f>Y10+Y9</f>
        <v>3520.2809999999999</v>
      </c>
      <c r="AA12" s="1"/>
      <c r="AB12" s="1"/>
      <c r="AC12" s="1"/>
    </row>
    <row r="13" spans="1:29" ht="18.75" customHeight="1" x14ac:dyDescent="0.3">
      <c r="A13" s="24" t="s">
        <v>33</v>
      </c>
      <c r="B13" s="25"/>
      <c r="C13" s="23">
        <f t="shared" ref="C13:M13" si="7">(C4-C7)</f>
        <v>568.57699999999977</v>
      </c>
      <c r="D13" s="23">
        <f t="shared" si="7"/>
        <v>647.46100000000024</v>
      </c>
      <c r="E13" s="23">
        <f t="shared" si="7"/>
        <v>1150.085</v>
      </c>
      <c r="F13" s="23">
        <f t="shared" si="7"/>
        <v>1272.1049999999996</v>
      </c>
      <c r="G13" s="26">
        <f t="shared" si="7"/>
        <v>183.17499999999995</v>
      </c>
      <c r="H13" s="26">
        <f t="shared" si="7"/>
        <v>490.62800000000016</v>
      </c>
      <c r="I13" s="26">
        <f t="shared" si="7"/>
        <v>533.74900000000002</v>
      </c>
      <c r="J13" s="23">
        <f t="shared" si="7"/>
        <v>1550.7399999999998</v>
      </c>
      <c r="K13" s="23">
        <f t="shared" si="7"/>
        <v>925.27400000000034</v>
      </c>
      <c r="L13" s="23">
        <f t="shared" si="7"/>
        <v>542.13399999999911</v>
      </c>
      <c r="M13" s="23">
        <f>(M4-M7)</f>
        <v>469.36800000000039</v>
      </c>
      <c r="N13" s="176">
        <f>(N4-N7)</f>
        <v>933.89999999999964</v>
      </c>
      <c r="O13" s="174"/>
      <c r="P13" s="24" t="s">
        <v>34</v>
      </c>
      <c r="Q13" s="33">
        <f t="shared" ref="Q13:V13" si="8">(Q7+Q9+Q8)+SUM(Q48:Q50)</f>
        <v>3842.576</v>
      </c>
      <c r="R13" s="33">
        <f t="shared" si="8"/>
        <v>3866.94</v>
      </c>
      <c r="S13" s="23">
        <f t="shared" si="8"/>
        <v>4398.8090000000002</v>
      </c>
      <c r="T13" s="23">
        <f t="shared" si="8"/>
        <v>4942.9130000000005</v>
      </c>
      <c r="U13" s="23">
        <f t="shared" si="8"/>
        <v>5866.0880000000006</v>
      </c>
      <c r="V13" s="23">
        <f t="shared" si="8"/>
        <v>6793.2910000000002</v>
      </c>
      <c r="W13" s="23">
        <f>(W7+W9+W8)+SUM(W48:W50)</f>
        <v>6883.1819999999998</v>
      </c>
      <c r="X13" s="23">
        <f>(X7+X9+X8)+SUM(X48:X50)</f>
        <v>7168.2080000000005</v>
      </c>
      <c r="Y13" s="176">
        <f>(Y7+Y9+Y8)+SUM(Y48:Y50)</f>
        <v>7780.8990000000003</v>
      </c>
      <c r="AA13" s="1"/>
      <c r="AB13" s="1"/>
      <c r="AC13" s="1"/>
    </row>
    <row r="14" spans="1:29" ht="18.75" customHeight="1" x14ac:dyDescent="0.3">
      <c r="A14" s="19" t="s">
        <v>17</v>
      </c>
      <c r="B14" s="20"/>
      <c r="C14" s="21"/>
      <c r="D14" s="21">
        <f t="shared" ref="D14:F14" si="9">D13/C13-1</f>
        <v>0.13873934401145394</v>
      </c>
      <c r="E14" s="21">
        <f t="shared" si="9"/>
        <v>0.7763000396935098</v>
      </c>
      <c r="F14" s="21">
        <f t="shared" si="9"/>
        <v>0.10609650591043218</v>
      </c>
      <c r="G14" s="21">
        <f t="shared" ref="G14:I14" si="10">(G13/F13-1)</f>
        <v>-0.85600638312089017</v>
      </c>
      <c r="H14" s="21">
        <f t="shared" si="10"/>
        <v>1.678465947864066</v>
      </c>
      <c r="I14" s="21">
        <f t="shared" si="10"/>
        <v>8.7889398892847304E-2</v>
      </c>
      <c r="J14" s="21">
        <f>J13/F13-1</f>
        <v>0.21903459227029232</v>
      </c>
      <c r="K14" s="21">
        <f t="shared" ref="K14:M14" si="11">K13/J13-1</f>
        <v>-0.40333389220630123</v>
      </c>
      <c r="L14" s="21">
        <f t="shared" si="11"/>
        <v>-0.41408274738077699</v>
      </c>
      <c r="M14" s="21">
        <f>M13/L13-1</f>
        <v>-0.13422142865047915</v>
      </c>
      <c r="N14" s="34">
        <f>N13/M13-1</f>
        <v>0.98969678376028791</v>
      </c>
      <c r="O14" s="172"/>
      <c r="P14" s="24" t="s">
        <v>34</v>
      </c>
      <c r="Q14" s="33">
        <f t="shared" ref="Q14:W14" si="12">Q52-Q37-Q10</f>
        <v>3842.5249999999996</v>
      </c>
      <c r="R14" s="33">
        <f t="shared" si="12"/>
        <v>3866.9399999999996</v>
      </c>
      <c r="S14" s="23">
        <f t="shared" si="12"/>
        <v>4398.5370000000012</v>
      </c>
      <c r="T14" s="23">
        <f t="shared" si="12"/>
        <v>4942.9130000000005</v>
      </c>
      <c r="U14" s="23">
        <f t="shared" si="12"/>
        <v>5866.081000000001</v>
      </c>
      <c r="V14" s="23">
        <f t="shared" si="12"/>
        <v>6793.2899999999981</v>
      </c>
      <c r="W14" s="23">
        <f t="shared" si="12"/>
        <v>6883.183</v>
      </c>
      <c r="X14" s="23">
        <f>X52-X37-X10</f>
        <v>7168.1720000000014</v>
      </c>
      <c r="Y14" s="176">
        <f>Y52-Y37-Y10</f>
        <v>7780.8989999999976</v>
      </c>
      <c r="Z14" s="147"/>
      <c r="AA14" s="1"/>
      <c r="AB14" s="1"/>
      <c r="AC14" s="1"/>
    </row>
    <row r="15" spans="1:29" ht="18.75" hidden="1" customHeight="1" x14ac:dyDescent="0.3">
      <c r="A15" s="19" t="s">
        <v>35</v>
      </c>
      <c r="B15" s="20"/>
      <c r="C15" s="21"/>
      <c r="D15" s="21"/>
      <c r="E15" s="21">
        <f>((E13/C13)^(1/2))-1</f>
        <v>0.42223160630331491</v>
      </c>
      <c r="F15" s="21">
        <f>((F13/C13)^(1/3))-1</f>
        <v>0.30791009133931135</v>
      </c>
      <c r="G15" s="23"/>
      <c r="H15" s="23"/>
      <c r="I15" s="23"/>
      <c r="J15" s="21">
        <f t="shared" ref="J15:M15" si="13">((J13/D13)^(1/3))-1</f>
        <v>0.33795587800200155</v>
      </c>
      <c r="K15" s="21">
        <f t="shared" si="13"/>
        <v>-6.9934632125679297E-2</v>
      </c>
      <c r="L15" s="21">
        <f t="shared" si="13"/>
        <v>-0.24746293525923613</v>
      </c>
      <c r="M15" s="21">
        <f t="shared" si="13"/>
        <v>0.36840848709330531</v>
      </c>
      <c r="N15" s="34"/>
      <c r="O15" s="172"/>
      <c r="P15" s="16"/>
      <c r="Q15" s="17"/>
      <c r="R15" s="17"/>
      <c r="S15" s="17"/>
      <c r="T15" s="17"/>
      <c r="U15" s="17"/>
      <c r="V15" s="17"/>
      <c r="W15" s="17"/>
      <c r="X15" s="17"/>
      <c r="Y15" s="30"/>
      <c r="AA15" s="1"/>
      <c r="AB15" s="1"/>
      <c r="AC15" s="1"/>
    </row>
    <row r="16" spans="1:29" ht="18.75" customHeight="1" x14ac:dyDescent="0.3">
      <c r="A16" s="24" t="s">
        <v>36</v>
      </c>
      <c r="B16" s="25"/>
      <c r="C16" s="35">
        <f t="shared" ref="C16:N16" si="14">(C13/C4)</f>
        <v>0.12421103360168891</v>
      </c>
      <c r="D16" s="35">
        <f t="shared" si="14"/>
        <v>0.12794834962376972</v>
      </c>
      <c r="E16" s="35">
        <f t="shared" si="14"/>
        <v>0.15239257879140947</v>
      </c>
      <c r="F16" s="35">
        <f t="shared" si="14"/>
        <v>0.16740547536533026</v>
      </c>
      <c r="G16" s="36">
        <f t="shared" si="14"/>
        <v>0.16173336135210586</v>
      </c>
      <c r="H16" s="36">
        <f t="shared" si="14"/>
        <v>0.26688555908408979</v>
      </c>
      <c r="I16" s="36">
        <f t="shared" si="14"/>
        <v>0.27993339277285362</v>
      </c>
      <c r="J16" s="35">
        <f t="shared" si="14"/>
        <v>0.21877274856243192</v>
      </c>
      <c r="K16" s="35">
        <f t="shared" si="14"/>
        <v>0.10650122313525257</v>
      </c>
      <c r="L16" s="35">
        <f t="shared" si="14"/>
        <v>6.3850134841237277E-2</v>
      </c>
      <c r="M16" s="35">
        <f>(M13/M4)</f>
        <v>5.6117331717528654E-2</v>
      </c>
      <c r="N16" s="177">
        <f>(N13/N4)</f>
        <v>0.1006080002482073</v>
      </c>
      <c r="O16" s="172"/>
      <c r="P16" s="16" t="s">
        <v>37</v>
      </c>
      <c r="Q16" s="3">
        <v>1540.328</v>
      </c>
      <c r="R16" s="3">
        <v>1583.1130000000001</v>
      </c>
      <c r="S16" s="17">
        <v>1940.57</v>
      </c>
      <c r="T16" s="17">
        <v>1814.433</v>
      </c>
      <c r="U16" s="17">
        <v>1845.86</v>
      </c>
      <c r="V16" s="17">
        <f>20786.38/10</f>
        <v>2078.6379999999999</v>
      </c>
      <c r="W16" s="17">
        <v>2091.2109999999998</v>
      </c>
      <c r="X16" s="17">
        <v>2070.2539999999999</v>
      </c>
      <c r="Y16" s="30">
        <v>4130.7969999999996</v>
      </c>
      <c r="AA16" s="1"/>
      <c r="AB16" s="1"/>
      <c r="AC16" s="1"/>
    </row>
    <row r="17" spans="1:29" ht="18.75" customHeight="1" x14ac:dyDescent="0.3">
      <c r="A17" s="16" t="s">
        <v>38</v>
      </c>
      <c r="B17" s="3"/>
      <c r="C17" s="17">
        <v>143.02500000000001</v>
      </c>
      <c r="D17" s="17">
        <v>148.232</v>
      </c>
      <c r="E17" s="17">
        <v>177.971</v>
      </c>
      <c r="F17" s="17">
        <v>190.18600000000001</v>
      </c>
      <c r="G17" s="17">
        <v>46.204000000000001</v>
      </c>
      <c r="H17" s="17">
        <v>46.209000000000003</v>
      </c>
      <c r="I17" s="17">
        <v>42.32</v>
      </c>
      <c r="J17" s="17">
        <v>174.59</v>
      </c>
      <c r="K17" s="17">
        <f>1701.22/10</f>
        <v>170.12200000000001</v>
      </c>
      <c r="L17" s="17">
        <v>194.28</v>
      </c>
      <c r="M17" s="17">
        <v>197.94499999999999</v>
      </c>
      <c r="N17" s="181">
        <v>236.798</v>
      </c>
      <c r="O17" s="172"/>
      <c r="P17" s="16" t="s">
        <v>39</v>
      </c>
      <c r="Q17" s="3">
        <v>150.54599999999999</v>
      </c>
      <c r="R17" s="3">
        <v>399.28300000000002</v>
      </c>
      <c r="S17" s="17">
        <v>8.0310000000000006</v>
      </c>
      <c r="T17" s="17">
        <v>17.446000000000002</v>
      </c>
      <c r="U17" s="17">
        <v>126.89100000000001</v>
      </c>
      <c r="V17" s="17">
        <f>2505.08/10</f>
        <v>250.50799999999998</v>
      </c>
      <c r="W17" s="17">
        <v>524.09100000000001</v>
      </c>
      <c r="X17" s="17">
        <v>1732.317</v>
      </c>
      <c r="Y17" s="30">
        <v>49.744999999999997</v>
      </c>
      <c r="AA17" s="1"/>
      <c r="AB17" s="1"/>
      <c r="AC17" s="1"/>
    </row>
    <row r="18" spans="1:29" ht="18.75" customHeight="1" x14ac:dyDescent="0.3">
      <c r="A18" s="16" t="s">
        <v>40</v>
      </c>
      <c r="B18" s="3"/>
      <c r="C18" s="17">
        <v>53.417000000000002</v>
      </c>
      <c r="D18" s="17">
        <v>73.164000000000001</v>
      </c>
      <c r="E18" s="17">
        <v>129.858</v>
      </c>
      <c r="F18" s="17">
        <v>119.246</v>
      </c>
      <c r="G18" s="17">
        <v>7.5140000000000002</v>
      </c>
      <c r="H18" s="17">
        <v>2.8090000000000002</v>
      </c>
      <c r="I18" s="17">
        <v>2.181</v>
      </c>
      <c r="J18" s="17">
        <v>23.11</v>
      </c>
      <c r="K18" s="17">
        <f>404.5/10</f>
        <v>40.450000000000003</v>
      </c>
      <c r="L18" s="17">
        <v>130.31</v>
      </c>
      <c r="M18" s="17">
        <v>203.68100000000001</v>
      </c>
      <c r="N18" s="30">
        <v>253.78</v>
      </c>
      <c r="O18" s="172"/>
      <c r="P18" s="16" t="s">
        <v>41</v>
      </c>
      <c r="Q18" s="3">
        <v>123.524</v>
      </c>
      <c r="R18" s="3">
        <v>90.293999999999997</v>
      </c>
      <c r="S18" s="17">
        <v>57.725000000000001</v>
      </c>
      <c r="T18" s="17">
        <v>24.015000000000001</v>
      </c>
      <c r="U18" s="17">
        <v>2.3570000000000002</v>
      </c>
      <c r="V18" s="17">
        <f>242.72/10</f>
        <v>24.271999999999998</v>
      </c>
      <c r="W18" s="17">
        <f>45.48+2.36</f>
        <v>47.839999999999996</v>
      </c>
      <c r="X18" s="17">
        <v>49.500999999999998</v>
      </c>
      <c r="Y18" s="30">
        <v>61.360999999999997</v>
      </c>
      <c r="AA18" s="1"/>
      <c r="AB18" s="1"/>
      <c r="AC18" s="1"/>
    </row>
    <row r="19" spans="1:29" ht="18.75" customHeight="1" x14ac:dyDescent="0.3">
      <c r="A19" s="16" t="s">
        <v>42</v>
      </c>
      <c r="B19" s="3"/>
      <c r="C19" s="17"/>
      <c r="D19" s="17">
        <v>0</v>
      </c>
      <c r="E19" s="17">
        <v>-23.222999999999999</v>
      </c>
      <c r="F19" s="17">
        <v>0</v>
      </c>
      <c r="G19" s="17">
        <v>0</v>
      </c>
      <c r="H19" s="17"/>
      <c r="I19" s="17"/>
      <c r="J19" s="17">
        <v>0</v>
      </c>
      <c r="K19" s="17">
        <v>0</v>
      </c>
      <c r="L19" s="17">
        <v>0</v>
      </c>
      <c r="M19" s="17">
        <v>0</v>
      </c>
      <c r="N19" s="30">
        <v>0</v>
      </c>
      <c r="O19" s="172"/>
      <c r="P19" s="16" t="s">
        <v>43</v>
      </c>
      <c r="Q19" s="3"/>
      <c r="R19" s="3"/>
      <c r="S19" s="17"/>
      <c r="T19" s="17">
        <v>73.625</v>
      </c>
      <c r="U19" s="17">
        <v>66.783000000000001</v>
      </c>
      <c r="V19" s="17">
        <f>1017.92/10</f>
        <v>101.792</v>
      </c>
      <c r="W19" s="17">
        <v>140.642</v>
      </c>
      <c r="X19" s="17">
        <v>133.18600000000001</v>
      </c>
      <c r="Y19" s="30">
        <v>156.893</v>
      </c>
      <c r="AA19" s="1"/>
      <c r="AB19" s="1"/>
      <c r="AC19" s="1"/>
    </row>
    <row r="20" spans="1:29" ht="18.75" customHeight="1" x14ac:dyDescent="0.3">
      <c r="A20" s="16" t="s">
        <v>44</v>
      </c>
      <c r="B20" s="3"/>
      <c r="C20" s="17">
        <v>69.771000000000001</v>
      </c>
      <c r="D20" s="17">
        <v>3.5870000000000002</v>
      </c>
      <c r="E20" s="17">
        <v>12.792999999999999</v>
      </c>
      <c r="F20" s="17">
        <v>66.311000000000007</v>
      </c>
      <c r="G20" s="17">
        <v>4.4630000000000001</v>
      </c>
      <c r="H20" s="17">
        <v>4.7610000000000001</v>
      </c>
      <c r="I20" s="17">
        <v>6.7370000000000001</v>
      </c>
      <c r="J20" s="17">
        <v>16.54</v>
      </c>
      <c r="K20" s="17">
        <f>440.85/10</f>
        <v>44.085000000000001</v>
      </c>
      <c r="L20" s="17">
        <v>57.280999999999999</v>
      </c>
      <c r="M20" s="17">
        <v>72.81</v>
      </c>
      <c r="N20" s="30">
        <v>32.753999999999998</v>
      </c>
      <c r="O20" s="172"/>
      <c r="P20" s="16" t="s">
        <v>45</v>
      </c>
      <c r="Q20" s="3">
        <v>449.77199999999999</v>
      </c>
      <c r="R20" s="3">
        <v>449.77199999999999</v>
      </c>
      <c r="S20" s="17">
        <v>449.77199999999999</v>
      </c>
      <c r="T20" s="17">
        <v>449.77199999999999</v>
      </c>
      <c r="U20" s="17">
        <v>449.77199999999999</v>
      </c>
      <c r="V20" s="17">
        <v>449.77199999999999</v>
      </c>
      <c r="W20" s="17">
        <v>449.77199999999999</v>
      </c>
      <c r="X20" s="17">
        <v>449.77199999999999</v>
      </c>
      <c r="Y20" s="30">
        <v>449.77199999999999</v>
      </c>
      <c r="AA20" s="1"/>
      <c r="AB20" s="1"/>
      <c r="AC20" s="1"/>
    </row>
    <row r="21" spans="1:29" ht="18.75" customHeight="1" x14ac:dyDescent="0.3">
      <c r="A21" s="24" t="s">
        <v>46</v>
      </c>
      <c r="B21" s="25"/>
      <c r="C21" s="23">
        <f t="shared" ref="C21:G21" si="15">(C13-C17-C18+C19+C20)</f>
        <v>441.90599999999978</v>
      </c>
      <c r="D21" s="23">
        <f t="shared" si="15"/>
        <v>429.65200000000027</v>
      </c>
      <c r="E21" s="23">
        <f t="shared" si="15"/>
        <v>831.82600000000014</v>
      </c>
      <c r="F21" s="23">
        <f t="shared" si="15"/>
        <v>1028.9839999999997</v>
      </c>
      <c r="G21" s="23">
        <f t="shared" si="15"/>
        <v>133.91999999999993</v>
      </c>
      <c r="H21" s="26">
        <f t="shared" ref="H21:L21" si="16">H13-H17-H18+H19+H20</f>
        <v>446.37100000000015</v>
      </c>
      <c r="I21" s="26">
        <f t="shared" si="16"/>
        <v>495.98500000000007</v>
      </c>
      <c r="J21" s="23">
        <f t="shared" si="16"/>
        <v>1369.58</v>
      </c>
      <c r="K21" s="23">
        <f t="shared" si="16"/>
        <v>758.78700000000026</v>
      </c>
      <c r="L21" s="23">
        <f t="shared" si="16"/>
        <v>274.82499999999914</v>
      </c>
      <c r="M21" s="23">
        <f>M13-M17-M18+M19+M20</f>
        <v>140.55200000000039</v>
      </c>
      <c r="N21" s="176">
        <f>N13-N17-N18+N19+N20</f>
        <v>476.07599999999968</v>
      </c>
      <c r="O21" s="175"/>
      <c r="P21" s="16" t="s">
        <v>47</v>
      </c>
      <c r="Q21" s="3">
        <v>0</v>
      </c>
      <c r="R21" s="3">
        <v>8.2000000000000003E-2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30">
        <v>0</v>
      </c>
      <c r="AA21" s="1"/>
      <c r="AB21" s="1"/>
      <c r="AC21" s="1"/>
    </row>
    <row r="22" spans="1:29" ht="18.75" customHeight="1" x14ac:dyDescent="0.3">
      <c r="A22" s="16" t="s">
        <v>48</v>
      </c>
      <c r="B22" s="3"/>
      <c r="C22" s="17">
        <v>163.047</v>
      </c>
      <c r="D22" s="17">
        <f>154.824+25.011</f>
        <v>179.83500000000001</v>
      </c>
      <c r="E22" s="17">
        <f>232.76+96.811-69.309</f>
        <v>260.26200000000006</v>
      </c>
      <c r="F22" s="17">
        <v>167.095</v>
      </c>
      <c r="G22" s="17">
        <v>34.639000000000003</v>
      </c>
      <c r="H22" s="17">
        <v>113.90600000000001</v>
      </c>
      <c r="I22" s="17">
        <v>132.51400000000001</v>
      </c>
      <c r="J22" s="17">
        <v>350.21</v>
      </c>
      <c r="K22" s="17">
        <f>2257.64/10</f>
        <v>225.76399999999998</v>
      </c>
      <c r="L22" s="17">
        <v>77.396000000000001</v>
      </c>
      <c r="M22" s="17">
        <v>49.51</v>
      </c>
      <c r="N22" s="30">
        <f>135.592+4.235-7.034</f>
        <v>132.79300000000003</v>
      </c>
      <c r="O22" s="172"/>
      <c r="P22" s="16" t="s">
        <v>49</v>
      </c>
      <c r="Q22" s="3"/>
      <c r="R22" s="3"/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30">
        <v>0</v>
      </c>
      <c r="AA22" s="1"/>
      <c r="AB22" s="1"/>
      <c r="AC22" s="1"/>
    </row>
    <row r="23" spans="1:29" ht="18.75" customHeight="1" x14ac:dyDescent="0.3">
      <c r="A23" s="19" t="s">
        <v>50</v>
      </c>
      <c r="B23" s="20"/>
      <c r="C23" s="21">
        <f t="shared" ref="C23:M23" si="17">(C22/C21)</f>
        <v>0.36896308264653588</v>
      </c>
      <c r="D23" s="21">
        <f t="shared" si="17"/>
        <v>0.41855967154813639</v>
      </c>
      <c r="E23" s="21">
        <f t="shared" si="17"/>
        <v>0.31288033795529357</v>
      </c>
      <c r="F23" s="21">
        <f t="shared" si="17"/>
        <v>0.16238833645615486</v>
      </c>
      <c r="G23" s="21">
        <f t="shared" si="17"/>
        <v>0.25865442054958199</v>
      </c>
      <c r="H23" s="21">
        <f t="shared" si="17"/>
        <v>0.25518234831563869</v>
      </c>
      <c r="I23" s="21">
        <f t="shared" si="17"/>
        <v>0.26717340242144416</v>
      </c>
      <c r="J23" s="21">
        <f t="shared" si="17"/>
        <v>0.2557061288862279</v>
      </c>
      <c r="K23" s="21">
        <f t="shared" si="17"/>
        <v>0.29753277270169348</v>
      </c>
      <c r="L23" s="21">
        <f t="shared" si="17"/>
        <v>0.28161921222596287</v>
      </c>
      <c r="M23" s="21">
        <f>(M22/M21)</f>
        <v>0.35225397006090176</v>
      </c>
      <c r="N23" s="34">
        <f>(N22/N21)</f>
        <v>0.27893235533822358</v>
      </c>
      <c r="O23" s="172"/>
      <c r="P23" s="16" t="s">
        <v>51</v>
      </c>
      <c r="Q23" s="3"/>
      <c r="R23" s="3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30">
        <v>0</v>
      </c>
      <c r="AA23" s="1"/>
      <c r="AB23" s="1"/>
      <c r="AC23" s="1"/>
    </row>
    <row r="24" spans="1:29" ht="18.75" customHeight="1" x14ac:dyDescent="0.3">
      <c r="A24" s="24" t="s">
        <v>52</v>
      </c>
      <c r="B24" s="25"/>
      <c r="C24" s="23">
        <f t="shared" ref="C24:M24" si="18">(C21-C22)</f>
        <v>278.85899999999981</v>
      </c>
      <c r="D24" s="23">
        <f t="shared" si="18"/>
        <v>249.81700000000026</v>
      </c>
      <c r="E24" s="23">
        <f t="shared" si="18"/>
        <v>571.56400000000008</v>
      </c>
      <c r="F24" s="23">
        <f t="shared" si="18"/>
        <v>861.88899999999967</v>
      </c>
      <c r="G24" s="23">
        <f t="shared" si="18"/>
        <v>99.280999999999921</v>
      </c>
      <c r="H24" s="23">
        <f t="shared" si="18"/>
        <v>332.46500000000015</v>
      </c>
      <c r="I24" s="23">
        <f t="shared" si="18"/>
        <v>363.47100000000006</v>
      </c>
      <c r="J24" s="23">
        <f t="shared" si="18"/>
        <v>1019.3699999999999</v>
      </c>
      <c r="K24" s="23">
        <f t="shared" si="18"/>
        <v>533.02300000000025</v>
      </c>
      <c r="L24" s="23">
        <f t="shared" si="18"/>
        <v>197.42899999999912</v>
      </c>
      <c r="M24" s="23">
        <f>(M21-M22)</f>
        <v>91.042000000000399</v>
      </c>
      <c r="N24" s="176">
        <f t="shared" ref="N24" si="19">(N21-N22)</f>
        <v>343.28299999999967</v>
      </c>
      <c r="O24" s="172"/>
      <c r="P24" s="16" t="s">
        <v>53</v>
      </c>
      <c r="Q24" s="3"/>
      <c r="R24" s="3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30">
        <v>0</v>
      </c>
      <c r="AA24" s="1"/>
      <c r="AB24" s="1"/>
      <c r="AC24" s="1"/>
    </row>
    <row r="25" spans="1:29" ht="18.75" customHeight="1" x14ac:dyDescent="0.3">
      <c r="A25" s="24" t="s">
        <v>54</v>
      </c>
      <c r="B25" s="25"/>
      <c r="C25" s="35">
        <f t="shared" ref="C25:M25" si="20">C24/C4</f>
        <v>6.0919391074794368E-2</v>
      </c>
      <c r="D25" s="35">
        <f t="shared" si="20"/>
        <v>4.9367719226272005E-2</v>
      </c>
      <c r="E25" s="35">
        <f t="shared" si="20"/>
        <v>7.573536904170837E-2</v>
      </c>
      <c r="F25" s="35">
        <f t="shared" si="20"/>
        <v>0.11342219215956947</v>
      </c>
      <c r="G25" s="35">
        <f t="shared" si="20"/>
        <v>8.7659614294518434E-2</v>
      </c>
      <c r="H25" s="35">
        <f t="shared" si="20"/>
        <v>0.18085006848547561</v>
      </c>
      <c r="I25" s="35">
        <f t="shared" si="20"/>
        <v>0.19062831069386901</v>
      </c>
      <c r="J25" s="35">
        <f t="shared" si="20"/>
        <v>0.14380900518596684</v>
      </c>
      <c r="K25" s="35">
        <f t="shared" si="20"/>
        <v>6.1352206437467964E-2</v>
      </c>
      <c r="L25" s="35">
        <f t="shared" si="20"/>
        <v>2.3252310815353026E-2</v>
      </c>
      <c r="M25" s="35">
        <f>M24/M4</f>
        <v>1.0884922095727152E-2</v>
      </c>
      <c r="N25" s="177">
        <f>N24/N4</f>
        <v>3.6981492824933425E-2</v>
      </c>
      <c r="O25" s="172"/>
      <c r="P25" s="16" t="s">
        <v>55</v>
      </c>
      <c r="Q25" s="3">
        <v>30.628</v>
      </c>
      <c r="R25" s="3">
        <v>36.847000000000001</v>
      </c>
      <c r="S25" s="17">
        <v>36.826000000000001</v>
      </c>
      <c r="T25" s="17">
        <v>37.338999999999999</v>
      </c>
      <c r="U25" s="17">
        <v>39.896000000000001</v>
      </c>
      <c r="V25" s="17">
        <f>410.37/10</f>
        <v>41.036999999999999</v>
      </c>
      <c r="W25" s="17">
        <v>68.191000000000003</v>
      </c>
      <c r="X25" s="17">
        <v>75.337000000000003</v>
      </c>
      <c r="Y25" s="30">
        <v>75.762</v>
      </c>
      <c r="AA25" s="1"/>
      <c r="AB25" s="1"/>
      <c r="AC25" s="1"/>
    </row>
    <row r="26" spans="1:29" ht="18.75" customHeight="1" x14ac:dyDescent="0.3">
      <c r="A26" s="16" t="s">
        <v>56</v>
      </c>
      <c r="B26" s="3"/>
      <c r="C26" s="29">
        <v>0</v>
      </c>
      <c r="D26" s="29">
        <v>0</v>
      </c>
      <c r="E26" s="29">
        <v>0</v>
      </c>
      <c r="F26" s="29">
        <v>0</v>
      </c>
      <c r="G26" s="29"/>
      <c r="H26" s="29"/>
      <c r="I26" s="29"/>
      <c r="J26" s="29">
        <v>0</v>
      </c>
      <c r="K26" s="29">
        <v>0</v>
      </c>
      <c r="L26" s="29">
        <v>0</v>
      </c>
      <c r="M26" s="29">
        <v>0</v>
      </c>
      <c r="N26" s="38">
        <v>0</v>
      </c>
      <c r="O26" s="172"/>
      <c r="P26" s="16" t="s">
        <v>57</v>
      </c>
      <c r="Q26" s="3">
        <v>36.548999999999999</v>
      </c>
      <c r="R26" s="3">
        <v>0</v>
      </c>
      <c r="S26" s="17">
        <v>30.474</v>
      </c>
      <c r="T26" s="17">
        <v>31.873999999999999</v>
      </c>
      <c r="U26" s="17">
        <v>74.352999999999994</v>
      </c>
      <c r="V26" s="17">
        <f>768.78/10</f>
        <v>76.878</v>
      </c>
      <c r="W26" s="17">
        <v>102.544</v>
      </c>
      <c r="X26" s="17">
        <v>88.962000000000003</v>
      </c>
      <c r="Y26" s="30">
        <v>112.017</v>
      </c>
      <c r="AA26" s="1"/>
      <c r="AB26" s="1"/>
      <c r="AC26" s="1"/>
    </row>
    <row r="27" spans="1:29" ht="18.75" customHeight="1" x14ac:dyDescent="0.3">
      <c r="A27" s="16" t="s">
        <v>58</v>
      </c>
      <c r="B27" s="3"/>
      <c r="C27" s="29">
        <v>0</v>
      </c>
      <c r="D27" s="29">
        <v>0</v>
      </c>
      <c r="E27" s="29">
        <v>0</v>
      </c>
      <c r="F27" s="29">
        <v>0</v>
      </c>
      <c r="G27" s="29"/>
      <c r="H27" s="29"/>
      <c r="I27" s="29"/>
      <c r="J27" s="29">
        <v>0</v>
      </c>
      <c r="K27" s="29">
        <v>0</v>
      </c>
      <c r="L27" s="29">
        <v>0</v>
      </c>
      <c r="M27" s="29">
        <v>0</v>
      </c>
      <c r="N27" s="38">
        <v>0</v>
      </c>
      <c r="O27" s="172"/>
      <c r="P27" s="16" t="s">
        <v>59</v>
      </c>
      <c r="Q27" s="3">
        <v>26.266999999999999</v>
      </c>
      <c r="R27" s="3">
        <v>1.054</v>
      </c>
      <c r="S27" s="17">
        <v>3.5859999999999999</v>
      </c>
      <c r="T27" s="17">
        <v>6.351</v>
      </c>
      <c r="U27" s="17">
        <v>68.409000000000006</v>
      </c>
      <c r="V27" s="17">
        <f>746.52/10</f>
        <v>74.652000000000001</v>
      </c>
      <c r="W27" s="17">
        <v>44.027000000000001</v>
      </c>
      <c r="X27" s="190">
        <v>167.58600000000001</v>
      </c>
      <c r="Y27" s="30">
        <v>95.897000000000006</v>
      </c>
      <c r="AA27" s="1"/>
      <c r="AB27" s="1"/>
      <c r="AC27" s="1"/>
    </row>
    <row r="28" spans="1:29" ht="18.75" customHeight="1" x14ac:dyDescent="0.3">
      <c r="A28" s="16" t="s">
        <v>60</v>
      </c>
      <c r="B28" s="3"/>
      <c r="C28" s="29">
        <v>-8.6549999999999994</v>
      </c>
      <c r="D28" s="29">
        <v>5.2610000000000001</v>
      </c>
      <c r="E28" s="29">
        <f>2.496-7.144</f>
        <v>-4.6479999999999997</v>
      </c>
      <c r="F28" s="29">
        <v>-7.4139999999999997</v>
      </c>
      <c r="G28" s="29">
        <f t="shared" ref="G28:H28" si="21">-2.477+0.623</f>
        <v>-1.8539999999999999</v>
      </c>
      <c r="H28" s="29">
        <f t="shared" si="21"/>
        <v>-1.8539999999999999</v>
      </c>
      <c r="I28" s="29">
        <v>-4.9539999999999997</v>
      </c>
      <c r="J28" s="29">
        <v>-3.56</v>
      </c>
      <c r="K28" s="29">
        <f>-32.67/10</f>
        <v>-3.2670000000000003</v>
      </c>
      <c r="L28" s="29">
        <v>-0.61099999999999999</v>
      </c>
      <c r="M28" s="29">
        <v>-0.58399999999999996</v>
      </c>
      <c r="N28" s="38">
        <f>-11.84+2.989</f>
        <v>-8.8509999999999991</v>
      </c>
      <c r="O28" s="172"/>
      <c r="P28" s="16" t="s">
        <v>61</v>
      </c>
      <c r="Q28" s="3"/>
      <c r="R28" s="3">
        <v>0.17499999999999999</v>
      </c>
      <c r="S28" s="17">
        <v>0.8</v>
      </c>
      <c r="T28" s="17">
        <v>0.8</v>
      </c>
      <c r="U28" s="17">
        <v>0.8</v>
      </c>
      <c r="V28" s="17">
        <v>0</v>
      </c>
      <c r="W28" s="17">
        <v>0</v>
      </c>
      <c r="X28" s="39">
        <v>0</v>
      </c>
      <c r="Y28" s="191">
        <v>0</v>
      </c>
      <c r="AA28" s="1"/>
      <c r="AB28" s="1"/>
      <c r="AC28" s="1"/>
    </row>
    <row r="29" spans="1:29" ht="18.75" customHeight="1" x14ac:dyDescent="0.3">
      <c r="A29" s="24" t="s">
        <v>62</v>
      </c>
      <c r="B29" s="25"/>
      <c r="C29" s="40">
        <f t="shared" ref="C29:N29" si="22">(C24-C26+C28+C27)</f>
        <v>270.20399999999984</v>
      </c>
      <c r="D29" s="40">
        <f t="shared" si="22"/>
        <v>255.07800000000026</v>
      </c>
      <c r="E29" s="40">
        <f t="shared" si="22"/>
        <v>566.91600000000005</v>
      </c>
      <c r="F29" s="40">
        <f t="shared" si="22"/>
        <v>854.47499999999968</v>
      </c>
      <c r="G29" s="40">
        <f t="shared" si="22"/>
        <v>97.426999999999921</v>
      </c>
      <c r="H29" s="40">
        <f t="shared" si="22"/>
        <v>330.61100000000016</v>
      </c>
      <c r="I29" s="40">
        <f t="shared" si="22"/>
        <v>358.51700000000005</v>
      </c>
      <c r="J29" s="40">
        <f t="shared" si="22"/>
        <v>1015.81</v>
      </c>
      <c r="K29" s="40">
        <f t="shared" si="22"/>
        <v>529.7560000000002</v>
      </c>
      <c r="L29" s="40">
        <f t="shared" si="22"/>
        <v>196.81799999999913</v>
      </c>
      <c r="M29" s="40">
        <f t="shared" si="22"/>
        <v>90.458000000000396</v>
      </c>
      <c r="N29" s="178">
        <f t="shared" si="22"/>
        <v>334.43199999999968</v>
      </c>
      <c r="O29" s="172"/>
      <c r="P29" s="24" t="s">
        <v>63</v>
      </c>
      <c r="Q29" s="25">
        <f t="shared" ref="Q29:X29" si="23">SUM(Q30:Q36)</f>
        <v>2543.1179999999999</v>
      </c>
      <c r="R29" s="25">
        <f t="shared" si="23"/>
        <v>3168.3609999999994</v>
      </c>
      <c r="S29" s="23">
        <f t="shared" si="23"/>
        <v>4204.3810000000003</v>
      </c>
      <c r="T29" s="23">
        <f t="shared" si="23"/>
        <v>3627.366</v>
      </c>
      <c r="U29" s="23">
        <f t="shared" si="23"/>
        <v>4774.84</v>
      </c>
      <c r="V29" s="23">
        <f t="shared" si="23"/>
        <v>5551.2309999999989</v>
      </c>
      <c r="W29" s="23">
        <f t="shared" si="23"/>
        <v>6396.3039999999992</v>
      </c>
      <c r="X29" s="23">
        <f>SUM(X30:X36)</f>
        <v>5182.5929999999989</v>
      </c>
      <c r="Y29" s="176">
        <f>SUM(Y30:Y36)</f>
        <v>6318.6669999999995</v>
      </c>
      <c r="AA29" s="1"/>
      <c r="AB29" s="1"/>
      <c r="AC29" s="1"/>
    </row>
    <row r="30" spans="1:29" ht="18.75" customHeight="1" x14ac:dyDescent="0.3">
      <c r="A30" s="19" t="s">
        <v>17</v>
      </c>
      <c r="B30" s="20"/>
      <c r="C30" s="21"/>
      <c r="D30" s="21">
        <f t="shared" ref="D30:I30" si="24">(D29/C29-1)</f>
        <v>-5.597992627792181E-2</v>
      </c>
      <c r="E30" s="21">
        <f t="shared" si="24"/>
        <v>1.222520170300847</v>
      </c>
      <c r="F30" s="21">
        <f t="shared" si="24"/>
        <v>0.50723387591812474</v>
      </c>
      <c r="G30" s="21">
        <f t="shared" si="24"/>
        <v>-0.88598028028906639</v>
      </c>
      <c r="H30" s="21">
        <f t="shared" si="24"/>
        <v>2.3934227678159075</v>
      </c>
      <c r="I30" s="21">
        <f t="shared" si="24"/>
        <v>8.4407354867199968E-2</v>
      </c>
      <c r="J30" s="21">
        <f>(J29/F29-1)</f>
        <v>0.18881184352965308</v>
      </c>
      <c r="K30" s="21">
        <f t="shared" ref="K30:N30" si="25">K29/J29-1</f>
        <v>-0.47848908752621033</v>
      </c>
      <c r="L30" s="21">
        <f t="shared" si="25"/>
        <v>-0.62847424097131688</v>
      </c>
      <c r="M30" s="21">
        <f>M29/L29-1</f>
        <v>-0.54039772785009099</v>
      </c>
      <c r="N30" s="34">
        <f>N29/M29-1</f>
        <v>2.6970969952906123</v>
      </c>
      <c r="O30" s="172"/>
      <c r="P30" s="16" t="s">
        <v>64</v>
      </c>
      <c r="Q30" s="3">
        <v>1144.473</v>
      </c>
      <c r="R30" s="3">
        <v>1328.3209999999999</v>
      </c>
      <c r="S30" s="17">
        <v>2029.0070000000001</v>
      </c>
      <c r="T30" s="17">
        <v>1623.442</v>
      </c>
      <c r="U30" s="17">
        <v>2275.87</v>
      </c>
      <c r="V30" s="17">
        <f>28693.23/10</f>
        <v>2869.3229999999999</v>
      </c>
      <c r="W30" s="17">
        <v>3677.337</v>
      </c>
      <c r="X30" s="17">
        <v>2771.694</v>
      </c>
      <c r="Y30" s="30">
        <v>3645.991</v>
      </c>
      <c r="AA30" s="1"/>
      <c r="AB30" s="1"/>
      <c r="AC30" s="1"/>
    </row>
    <row r="31" spans="1:29" ht="18.75" customHeight="1" x14ac:dyDescent="0.3">
      <c r="A31" s="19" t="s">
        <v>19</v>
      </c>
      <c r="B31" s="20"/>
      <c r="C31" s="21"/>
      <c r="D31" s="21"/>
      <c r="E31" s="21">
        <f>+((E29/C29)^(1/2)-1)</f>
        <v>0.44848322565924503</v>
      </c>
      <c r="F31" s="21">
        <f>+((F29/C29)^(1/3)-1)</f>
        <v>0.46780781488170575</v>
      </c>
      <c r="G31" s="21"/>
      <c r="H31" s="21"/>
      <c r="I31" s="21"/>
      <c r="J31" s="21">
        <f t="shared" ref="J31:L31" si="26">+((J29/D29)^(1/3)-1)</f>
        <v>0.58506287293985904</v>
      </c>
      <c r="K31" s="21">
        <f t="shared" si="26"/>
        <v>-2.2344780245433404E-2</v>
      </c>
      <c r="L31" s="21">
        <f t="shared" si="26"/>
        <v>-0.38700751375327913</v>
      </c>
      <c r="M31" s="21">
        <f>+((M29/J29)^(1/3)-1)</f>
        <v>-0.55344169999235437</v>
      </c>
      <c r="N31" s="34">
        <f>+((N29/K29)^(1/3)-1)</f>
        <v>-0.14215139912684127</v>
      </c>
      <c r="O31" s="172"/>
      <c r="P31" s="16" t="s">
        <v>49</v>
      </c>
      <c r="Q31" s="3"/>
      <c r="R31" s="3"/>
      <c r="S31" s="17"/>
      <c r="T31" s="17"/>
      <c r="U31" s="17"/>
      <c r="V31" s="17"/>
      <c r="W31" s="17"/>
      <c r="X31" s="17"/>
      <c r="Y31" s="30"/>
      <c r="AA31" s="1"/>
      <c r="AB31" s="1"/>
      <c r="AC31" s="1"/>
    </row>
    <row r="32" spans="1:29" ht="18.75" customHeight="1" x14ac:dyDescent="0.3">
      <c r="A32" s="10" t="s">
        <v>65</v>
      </c>
      <c r="B32" s="11"/>
      <c r="C32" s="41">
        <v>33.14</v>
      </c>
      <c r="D32" s="41">
        <v>7.42</v>
      </c>
      <c r="E32" s="41">
        <v>16.98</v>
      </c>
      <c r="F32" s="41">
        <v>25.61</v>
      </c>
      <c r="G32" s="41">
        <v>2.95</v>
      </c>
      <c r="H32" s="41">
        <v>9.8800000000000008</v>
      </c>
      <c r="I32" s="41">
        <v>10.8</v>
      </c>
      <c r="J32" s="41">
        <v>30.29</v>
      </c>
      <c r="K32" s="41">
        <v>15.84</v>
      </c>
      <c r="L32" s="41">
        <v>5.87</v>
      </c>
      <c r="M32" s="41">
        <v>2.71</v>
      </c>
      <c r="N32" s="42">
        <v>10.199999999999999</v>
      </c>
      <c r="O32" s="172"/>
      <c r="P32" s="16" t="s">
        <v>66</v>
      </c>
      <c r="Q32" s="3">
        <v>1001.221</v>
      </c>
      <c r="R32" s="3">
        <v>1344.24</v>
      </c>
      <c r="S32" s="17">
        <v>1599.9770000000001</v>
      </c>
      <c r="T32" s="17">
        <v>1514.3679999999999</v>
      </c>
      <c r="U32" s="17">
        <v>1885.4659999999999</v>
      </c>
      <c r="V32" s="17">
        <f>19479.34/10</f>
        <v>1947.934</v>
      </c>
      <c r="W32" s="17">
        <v>1900.375</v>
      </c>
      <c r="X32" s="17">
        <v>1805.3030000000001</v>
      </c>
      <c r="Y32" s="30">
        <v>1883.6479999999999</v>
      </c>
      <c r="AA32" s="1"/>
      <c r="AB32" s="1"/>
      <c r="AC32" s="1"/>
    </row>
    <row r="33" spans="1:29" ht="18.75" customHeight="1" x14ac:dyDescent="0.3">
      <c r="A33" s="43" t="s">
        <v>17</v>
      </c>
      <c r="B33" s="44"/>
      <c r="C33" s="45"/>
      <c r="D33" s="45">
        <f t="shared" ref="D33:F33" si="27">(D32/C32-1)</f>
        <v>-0.77610138805069406</v>
      </c>
      <c r="E33" s="45">
        <f t="shared" si="27"/>
        <v>1.2884097035040432</v>
      </c>
      <c r="F33" s="45">
        <f t="shared" si="27"/>
        <v>0.50824499411071833</v>
      </c>
      <c r="G33" s="45"/>
      <c r="H33" s="45">
        <f t="shared" ref="H33:I33" si="28">(H32/G32-1)</f>
        <v>2.3491525423728814</v>
      </c>
      <c r="I33" s="45">
        <f t="shared" si="28"/>
        <v>9.3117408906882471E-2</v>
      </c>
      <c r="J33" s="45">
        <f>(J32/F32-1)</f>
        <v>0.18274111675126914</v>
      </c>
      <c r="K33" s="45">
        <f t="shared" ref="K33:N33" si="29">K32/J32-1</f>
        <v>-0.47705513370749419</v>
      </c>
      <c r="L33" s="45">
        <f t="shared" si="29"/>
        <v>-0.62941919191919193</v>
      </c>
      <c r="M33" s="45">
        <f>M32/L32-1</f>
        <v>-0.53833049403747868</v>
      </c>
      <c r="N33" s="179">
        <f>N32/M32-1</f>
        <v>2.7638376383763834</v>
      </c>
      <c r="O33" s="172"/>
      <c r="P33" s="16" t="s">
        <v>67</v>
      </c>
      <c r="Q33" s="3">
        <v>43.621000000000002</v>
      </c>
      <c r="R33" s="3">
        <f>45.697</f>
        <v>45.697000000000003</v>
      </c>
      <c r="S33" s="17">
        <v>50.460999999999999</v>
      </c>
      <c r="T33" s="17">
        <v>172.98599999999999</v>
      </c>
      <c r="U33" s="17">
        <v>153.86799999999999</v>
      </c>
      <c r="V33" s="17">
        <f>661.24/10</f>
        <v>66.123999999999995</v>
      </c>
      <c r="W33" s="17">
        <v>159.94399999999999</v>
      </c>
      <c r="X33" s="17">
        <v>106.315</v>
      </c>
      <c r="Y33" s="30">
        <v>105.94499999999999</v>
      </c>
      <c r="AA33" s="1"/>
      <c r="AB33" s="1"/>
      <c r="AC33" s="1"/>
    </row>
    <row r="34" spans="1:29" ht="18.75" customHeight="1" x14ac:dyDescent="0.3">
      <c r="A34" s="46"/>
      <c r="B34" s="47"/>
      <c r="C34" s="48"/>
      <c r="D34" s="49"/>
      <c r="E34" s="50"/>
      <c r="F34" s="50"/>
      <c r="G34" s="51"/>
      <c r="H34" s="51"/>
      <c r="I34" s="51"/>
      <c r="J34" s="50"/>
      <c r="K34" s="50"/>
      <c r="L34" s="50"/>
      <c r="M34" s="50"/>
      <c r="N34" s="52"/>
      <c r="O34" s="172"/>
      <c r="P34" s="16" t="s">
        <v>68</v>
      </c>
      <c r="Q34" s="3">
        <v>12.135999999999999</v>
      </c>
      <c r="R34" s="3">
        <v>12.698</v>
      </c>
      <c r="S34" s="17">
        <v>12.566000000000001</v>
      </c>
      <c r="T34" s="17">
        <v>38.124000000000002</v>
      </c>
      <c r="U34" s="17">
        <v>47.243000000000002</v>
      </c>
      <c r="V34" s="17">
        <f>280.52/10</f>
        <v>28.052</v>
      </c>
      <c r="W34" s="17">
        <v>13.864000000000001</v>
      </c>
      <c r="X34" s="17">
        <v>14.4</v>
      </c>
      <c r="Y34" s="30">
        <v>16.338000000000001</v>
      </c>
      <c r="AA34" s="1"/>
      <c r="AB34" s="1"/>
      <c r="AC34" s="1"/>
    </row>
    <row r="35" spans="1:29" ht="18.75" customHeight="1" thickBo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53"/>
      <c r="L35" s="1"/>
      <c r="M35" s="1"/>
      <c r="O35" s="1"/>
      <c r="P35" s="16" t="s">
        <v>69</v>
      </c>
      <c r="Q35" s="3">
        <v>5.1429999999999998</v>
      </c>
      <c r="R35" s="3">
        <v>9.1470000000000002</v>
      </c>
      <c r="S35" s="17">
        <v>7.8780000000000001</v>
      </c>
      <c r="T35" s="17">
        <v>8.3960000000000008</v>
      </c>
      <c r="U35" s="17">
        <v>10.407</v>
      </c>
      <c r="V35" s="17">
        <f>125/10</f>
        <v>12.5</v>
      </c>
      <c r="W35" s="17">
        <v>7.3120000000000003</v>
      </c>
      <c r="X35" s="17">
        <v>10.646000000000001</v>
      </c>
      <c r="Y35" s="30">
        <v>11.75</v>
      </c>
      <c r="AA35" s="1"/>
      <c r="AB35" s="1"/>
      <c r="AC35" s="1"/>
    </row>
    <row r="36" spans="1:29" ht="18.75" customHeight="1" thickBot="1" x14ac:dyDescent="0.35">
      <c r="A36" s="152" t="s">
        <v>70</v>
      </c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7"/>
      <c r="O36" s="1"/>
      <c r="P36" s="16" t="s">
        <v>71</v>
      </c>
      <c r="Q36" s="3">
        <v>336.524</v>
      </c>
      <c r="R36" s="3">
        <v>428.25799999999998</v>
      </c>
      <c r="S36" s="17">
        <v>504.49200000000002</v>
      </c>
      <c r="T36" s="17">
        <v>270.05</v>
      </c>
      <c r="U36" s="17">
        <v>401.98599999999999</v>
      </c>
      <c r="V36" s="17">
        <f>6272.98/10</f>
        <v>627.298</v>
      </c>
      <c r="W36" s="17">
        <v>637.47199999999998</v>
      </c>
      <c r="X36" s="17">
        <v>474.23500000000001</v>
      </c>
      <c r="Y36" s="30">
        <v>654.995</v>
      </c>
      <c r="AA36" s="1"/>
      <c r="AB36" s="1"/>
      <c r="AC36" s="1"/>
    </row>
    <row r="37" spans="1:29" ht="18.75" customHeight="1" x14ac:dyDescent="0.3">
      <c r="A37" s="54" t="s">
        <v>3</v>
      </c>
      <c r="B37" s="55"/>
      <c r="C37" s="56" t="s">
        <v>4</v>
      </c>
      <c r="D37" s="56" t="s">
        <v>5</v>
      </c>
      <c r="E37" s="56" t="s">
        <v>72</v>
      </c>
      <c r="F37" s="56" t="s">
        <v>7</v>
      </c>
      <c r="G37" s="57"/>
      <c r="H37" s="57"/>
      <c r="I37" s="57"/>
      <c r="J37" s="58" t="s">
        <v>11</v>
      </c>
      <c r="K37" s="58" t="s">
        <v>12</v>
      </c>
      <c r="L37" s="59" t="str">
        <f>L3</f>
        <v>FY23</v>
      </c>
      <c r="M37" s="168" t="s">
        <v>14</v>
      </c>
      <c r="N37" s="171" t="s">
        <v>193</v>
      </c>
      <c r="O37" s="1"/>
      <c r="P37" s="24" t="s">
        <v>73</v>
      </c>
      <c r="Q37" s="23">
        <f>SUM(Q39:Q45)</f>
        <v>436.233</v>
      </c>
      <c r="R37" s="23">
        <f t="shared" ref="R37:X37" si="30">SUM(R40:R45)</f>
        <v>849.08</v>
      </c>
      <c r="S37" s="23">
        <f t="shared" si="30"/>
        <v>711.25799999999992</v>
      </c>
      <c r="T37" s="23">
        <f t="shared" si="30"/>
        <v>709.00099999999998</v>
      </c>
      <c r="U37" s="23">
        <f t="shared" si="30"/>
        <v>805.29000000000008</v>
      </c>
      <c r="V37" s="23">
        <f t="shared" si="30"/>
        <v>912.00200000000007</v>
      </c>
      <c r="W37" s="23">
        <f t="shared" si="30"/>
        <v>1009.424</v>
      </c>
      <c r="X37" s="23">
        <f t="shared" si="30"/>
        <v>1259.02</v>
      </c>
      <c r="Y37" s="176">
        <f>SUM(Y40:Y45)</f>
        <v>971.39700000000005</v>
      </c>
      <c r="AA37" s="1"/>
      <c r="AB37" s="1"/>
      <c r="AC37" s="1"/>
    </row>
    <row r="38" spans="1:29" ht="18.75" customHeight="1" x14ac:dyDescent="0.3">
      <c r="A38" s="10" t="s">
        <v>74</v>
      </c>
      <c r="B38" s="11"/>
      <c r="C38" s="60"/>
      <c r="D38" s="12">
        <v>43.62</v>
      </c>
      <c r="E38" s="12">
        <f t="shared" ref="E38:I38" si="31">D43</f>
        <v>45.696999999999967</v>
      </c>
      <c r="F38" s="12">
        <f t="shared" si="31"/>
        <v>50.46200000000001</v>
      </c>
      <c r="G38" s="12">
        <f t="shared" si="31"/>
        <v>172.98700000000011</v>
      </c>
      <c r="H38" s="12">
        <f t="shared" si="31"/>
        <v>0</v>
      </c>
      <c r="I38" s="12">
        <f t="shared" si="31"/>
        <v>0</v>
      </c>
      <c r="J38" s="12">
        <f>F43</f>
        <v>172.98700000000011</v>
      </c>
      <c r="K38" s="12">
        <f t="shared" ref="K38:L38" si="32">J43</f>
        <v>153.86700000000013</v>
      </c>
      <c r="L38" s="14">
        <f t="shared" si="32"/>
        <v>66.123000000000218</v>
      </c>
      <c r="M38" s="169">
        <f>L43</f>
        <v>159.94300000000015</v>
      </c>
      <c r="N38" s="15">
        <f>M43</f>
        <v>106.31400000000008</v>
      </c>
      <c r="P38" s="16" t="s">
        <v>75</v>
      </c>
      <c r="Q38" s="3"/>
      <c r="R38" s="3"/>
      <c r="S38" s="17"/>
      <c r="T38" s="17"/>
      <c r="U38" s="17"/>
      <c r="V38" s="17"/>
      <c r="W38" s="17"/>
      <c r="X38" s="17"/>
      <c r="Y38" s="30"/>
      <c r="AA38" s="1"/>
      <c r="AB38" s="1"/>
      <c r="AC38" s="1"/>
    </row>
    <row r="39" spans="1:29" ht="18.75" customHeight="1" x14ac:dyDescent="0.3">
      <c r="A39" s="10" t="s">
        <v>76</v>
      </c>
      <c r="B39" s="11"/>
      <c r="C39" s="60"/>
      <c r="D39" s="12">
        <v>160.26400000000001</v>
      </c>
      <c r="E39" s="12">
        <v>-234.22900000000001</v>
      </c>
      <c r="F39" s="12">
        <v>1809.425</v>
      </c>
      <c r="G39" s="17"/>
      <c r="H39" s="12"/>
      <c r="I39" s="12"/>
      <c r="J39" s="12">
        <v>173.41</v>
      </c>
      <c r="K39" s="12">
        <f>-81.36/10</f>
        <v>-8.1359999999999992</v>
      </c>
      <c r="L39" s="14">
        <v>-223.00200000000001</v>
      </c>
      <c r="M39" s="169">
        <v>1418.0329999999999</v>
      </c>
      <c r="N39" s="15">
        <v>-342.90300000000002</v>
      </c>
      <c r="P39" s="16" t="s">
        <v>77</v>
      </c>
      <c r="Q39" s="3">
        <v>329.27</v>
      </c>
      <c r="R39" s="3">
        <f t="shared" ref="R39:X39" si="33">R40+R41</f>
        <v>611.92899999999997</v>
      </c>
      <c r="S39" s="17">
        <f t="shared" si="33"/>
        <v>535.08899999999994</v>
      </c>
      <c r="T39" s="17">
        <f t="shared" si="33"/>
        <v>556.34699999999998</v>
      </c>
      <c r="U39" s="17">
        <f t="shared" si="33"/>
        <v>708.73</v>
      </c>
      <c r="V39" s="17">
        <f t="shared" si="33"/>
        <v>811.64100000000008</v>
      </c>
      <c r="W39" s="17">
        <f t="shared" si="33"/>
        <v>869.23300000000006</v>
      </c>
      <c r="X39" s="17">
        <f>X40+X41</f>
        <v>819.46899999999994</v>
      </c>
      <c r="Y39" s="30">
        <f>Y40+Y41</f>
        <v>759.654</v>
      </c>
      <c r="AA39" s="1"/>
      <c r="AB39" s="1"/>
      <c r="AC39" s="1"/>
    </row>
    <row r="40" spans="1:29" ht="18.75" customHeight="1" x14ac:dyDescent="0.3">
      <c r="A40" s="16" t="s">
        <v>78</v>
      </c>
      <c r="B40" s="3"/>
      <c r="C40" s="61"/>
      <c r="D40" s="17">
        <v>-306.61900000000003</v>
      </c>
      <c r="E40" s="17">
        <v>-124.291</v>
      </c>
      <c r="F40" s="17">
        <v>-96.347999999999999</v>
      </c>
      <c r="G40" s="17"/>
      <c r="H40" s="12"/>
      <c r="I40" s="12"/>
      <c r="J40" s="17">
        <v>-349.46</v>
      </c>
      <c r="K40" s="17">
        <f>-5944.2/10</f>
        <v>-594.41999999999996</v>
      </c>
      <c r="L40" s="18">
        <v>-464.66</v>
      </c>
      <c r="M40" s="170">
        <v>-989.66399999999999</v>
      </c>
      <c r="N40" s="30">
        <v>-865.04399999999998</v>
      </c>
      <c r="P40" s="16" t="s">
        <v>79</v>
      </c>
      <c r="Q40" s="3"/>
      <c r="R40" s="3">
        <v>57.591999999999999</v>
      </c>
      <c r="S40" s="17">
        <v>40.857999999999997</v>
      </c>
      <c r="T40" s="17">
        <v>84.628</v>
      </c>
      <c r="U40" s="17">
        <v>42.47</v>
      </c>
      <c r="V40" s="17">
        <f>360.37/10</f>
        <v>36.036999999999999</v>
      </c>
      <c r="W40" s="17">
        <v>93.956000000000003</v>
      </c>
      <c r="X40" s="17">
        <v>103.943</v>
      </c>
      <c r="Y40" s="30">
        <v>56.393999999999998</v>
      </c>
      <c r="AA40" s="1"/>
      <c r="AB40" s="1"/>
      <c r="AC40" s="1"/>
    </row>
    <row r="41" spans="1:29" ht="18.75" customHeight="1" x14ac:dyDescent="0.3">
      <c r="A41" s="16" t="s">
        <v>80</v>
      </c>
      <c r="B41" s="3"/>
      <c r="C41" s="61"/>
      <c r="D41" s="17">
        <v>148.43199999999999</v>
      </c>
      <c r="E41" s="17">
        <v>363.28500000000003</v>
      </c>
      <c r="F41" s="17">
        <v>-1590.5519999999999</v>
      </c>
      <c r="G41" s="17"/>
      <c r="H41" s="17"/>
      <c r="I41" s="17"/>
      <c r="J41" s="17">
        <v>156.93</v>
      </c>
      <c r="K41" s="17">
        <f>5148.12/10</f>
        <v>514.81200000000001</v>
      </c>
      <c r="L41" s="18">
        <v>781.48199999999997</v>
      </c>
      <c r="M41" s="170">
        <v>-481.99799999999999</v>
      </c>
      <c r="N41" s="30">
        <v>1207.577</v>
      </c>
      <c r="P41" s="16" t="s">
        <v>81</v>
      </c>
      <c r="Q41" s="3"/>
      <c r="R41" s="3">
        <v>554.33699999999999</v>
      </c>
      <c r="S41" s="17">
        <v>494.23099999999999</v>
      </c>
      <c r="T41" s="17">
        <v>471.71899999999999</v>
      </c>
      <c r="U41" s="17">
        <v>666.26</v>
      </c>
      <c r="V41" s="17">
        <f>7756.04/10</f>
        <v>775.60400000000004</v>
      </c>
      <c r="W41" s="17">
        <v>775.27700000000004</v>
      </c>
      <c r="X41" s="17">
        <v>715.52599999999995</v>
      </c>
      <c r="Y41" s="30">
        <v>703.26</v>
      </c>
      <c r="AA41" s="1"/>
      <c r="AB41" s="1"/>
      <c r="AC41" s="1"/>
    </row>
    <row r="42" spans="1:29" ht="18.75" customHeight="1" x14ac:dyDescent="0.3">
      <c r="A42" s="10" t="s">
        <v>82</v>
      </c>
      <c r="B42" s="11"/>
      <c r="C42" s="60"/>
      <c r="D42" s="12">
        <f t="shared" ref="D42:F42" si="34">+D39+D40+D41</f>
        <v>2.0769999999999698</v>
      </c>
      <c r="E42" s="12">
        <f t="shared" si="34"/>
        <v>4.7650000000000432</v>
      </c>
      <c r="F42" s="12">
        <f t="shared" si="34"/>
        <v>122.52500000000009</v>
      </c>
      <c r="G42" s="17"/>
      <c r="H42" s="17"/>
      <c r="I42" s="17"/>
      <c r="J42" s="12">
        <f t="shared" ref="J42:M42" si="35">+J39+J40+J41</f>
        <v>-19.119999999999976</v>
      </c>
      <c r="K42" s="12">
        <f t="shared" si="35"/>
        <v>-87.743999999999915</v>
      </c>
      <c r="L42" s="14">
        <f t="shared" si="35"/>
        <v>93.819999999999936</v>
      </c>
      <c r="M42" s="169">
        <f>+M39+M40+M41</f>
        <v>-53.629000000000076</v>
      </c>
      <c r="N42" s="15">
        <f>+N39+N40+N41</f>
        <v>-0.37000000000011823</v>
      </c>
      <c r="P42" s="16" t="s">
        <v>83</v>
      </c>
      <c r="Q42" s="3">
        <v>44.262</v>
      </c>
      <c r="R42" s="3">
        <v>159.53200000000001</v>
      </c>
      <c r="S42" s="17">
        <v>145.55699999999999</v>
      </c>
      <c r="T42" s="17">
        <v>114.56399999999999</v>
      </c>
      <c r="U42" s="17">
        <v>58.48</v>
      </c>
      <c r="V42" s="17">
        <f>411.64/10</f>
        <v>41.164000000000001</v>
      </c>
      <c r="W42" s="17">
        <f>95.839+5.332</f>
        <v>101.17099999999999</v>
      </c>
      <c r="X42" s="17">
        <f>377.918+6.006</f>
        <v>383.92399999999998</v>
      </c>
      <c r="Y42" s="30">
        <f>117.288+10.611</f>
        <v>127.899</v>
      </c>
      <c r="AA42" s="1"/>
      <c r="AB42" s="1"/>
      <c r="AC42" s="1"/>
    </row>
    <row r="43" spans="1:29" ht="18.75" customHeight="1" thickBot="1" x14ac:dyDescent="0.35">
      <c r="A43" s="62" t="s">
        <v>84</v>
      </c>
      <c r="B43" s="63"/>
      <c r="C43" s="64"/>
      <c r="D43" s="65">
        <f t="shared" ref="D43:F43" si="36">+D38+D42</f>
        <v>45.696999999999967</v>
      </c>
      <c r="E43" s="65">
        <f t="shared" si="36"/>
        <v>50.46200000000001</v>
      </c>
      <c r="F43" s="65">
        <f t="shared" si="36"/>
        <v>172.98700000000011</v>
      </c>
      <c r="G43" s="66"/>
      <c r="H43" s="67"/>
      <c r="I43" s="67"/>
      <c r="J43" s="65">
        <f t="shared" ref="J43:L43" si="37">+J38+J42</f>
        <v>153.86700000000013</v>
      </c>
      <c r="K43" s="65">
        <f t="shared" si="37"/>
        <v>66.123000000000218</v>
      </c>
      <c r="L43" s="68">
        <f t="shared" si="37"/>
        <v>159.94300000000015</v>
      </c>
      <c r="M43" s="85">
        <f>M38+M42</f>
        <v>106.31400000000008</v>
      </c>
      <c r="N43" s="69">
        <v>106.61499999999991</v>
      </c>
      <c r="P43" s="16" t="s">
        <v>85</v>
      </c>
      <c r="Q43" s="3">
        <v>23.39</v>
      </c>
      <c r="R43" s="3">
        <v>21.044</v>
      </c>
      <c r="S43" s="17">
        <v>16.234999999999999</v>
      </c>
      <c r="T43" s="17">
        <v>21.376000000000001</v>
      </c>
      <c r="U43" s="17">
        <v>24.46</v>
      </c>
      <c r="V43" s="17">
        <f>393.71/10</f>
        <v>39.370999999999995</v>
      </c>
      <c r="W43" s="17">
        <v>17.38</v>
      </c>
      <c r="X43" s="17">
        <v>32.683999999999997</v>
      </c>
      <c r="Y43" s="30">
        <f>54.46</f>
        <v>54.46</v>
      </c>
      <c r="AA43" s="1"/>
      <c r="AB43" s="1"/>
      <c r="AC43" s="1"/>
    </row>
    <row r="44" spans="1:29" ht="18.75" customHeight="1" thickBot="1" x14ac:dyDescent="0.35">
      <c r="A44" s="1"/>
      <c r="B44" s="1"/>
      <c r="C44" s="70"/>
      <c r="D44" s="70"/>
      <c r="E44" s="70"/>
      <c r="F44" s="70"/>
      <c r="G44" s="1"/>
      <c r="H44" s="71"/>
      <c r="I44" s="71"/>
      <c r="J44" s="70"/>
      <c r="K44" s="1"/>
      <c r="L44" s="1"/>
      <c r="M44" s="1"/>
      <c r="O44" s="1"/>
      <c r="P44" s="16" t="s">
        <v>86</v>
      </c>
      <c r="Q44" s="3">
        <v>16.742000000000001</v>
      </c>
      <c r="R44" s="3">
        <v>39.098999999999997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30"/>
      <c r="AA44" s="1"/>
      <c r="AB44" s="1"/>
      <c r="AC44" s="1"/>
    </row>
    <row r="45" spans="1:29" ht="18.75" customHeight="1" x14ac:dyDescent="0.3">
      <c r="A45" s="4" t="s">
        <v>87</v>
      </c>
      <c r="B45" s="72"/>
      <c r="C45" s="6" t="s">
        <v>4</v>
      </c>
      <c r="D45" s="6" t="s">
        <v>5</v>
      </c>
      <c r="E45" s="6" t="s">
        <v>6</v>
      </c>
      <c r="F45" s="6" t="str">
        <f>F37</f>
        <v>FY20</v>
      </c>
      <c r="G45" s="73"/>
      <c r="H45" s="74"/>
      <c r="I45" s="74"/>
      <c r="J45" s="6" t="s">
        <v>11</v>
      </c>
      <c r="K45" s="6" t="s">
        <v>12</v>
      </c>
      <c r="L45" s="75" t="str">
        <f>L37</f>
        <v>FY23</v>
      </c>
      <c r="M45" s="168" t="s">
        <v>14</v>
      </c>
      <c r="N45" s="171" t="s">
        <v>193</v>
      </c>
      <c r="O45" s="1"/>
      <c r="P45" s="16" t="s">
        <v>88</v>
      </c>
      <c r="Q45" s="3">
        <v>22.568999999999999</v>
      </c>
      <c r="R45" s="3">
        <v>17.475999999999999</v>
      </c>
      <c r="S45" s="17">
        <v>14.377000000000001</v>
      </c>
      <c r="T45" s="17">
        <v>16.713999999999999</v>
      </c>
      <c r="U45" s="17">
        <v>13.62</v>
      </c>
      <c r="V45" s="17">
        <f>198.26/10</f>
        <v>19.826000000000001</v>
      </c>
      <c r="W45" s="17">
        <v>21.64</v>
      </c>
      <c r="X45" s="17">
        <v>22.943000000000001</v>
      </c>
      <c r="Y45" s="30">
        <v>29.384</v>
      </c>
      <c r="AA45" s="1"/>
      <c r="AB45" s="1"/>
      <c r="AC45" s="1"/>
    </row>
    <row r="46" spans="1:29" ht="18.75" customHeight="1" x14ac:dyDescent="0.3">
      <c r="A46" s="10" t="s">
        <v>89</v>
      </c>
      <c r="B46" s="11"/>
      <c r="C46" s="12"/>
      <c r="D46" s="12">
        <f t="shared" ref="D46:M46" si="38">D39</f>
        <v>160.26400000000001</v>
      </c>
      <c r="E46" s="12">
        <f t="shared" si="38"/>
        <v>-234.22900000000001</v>
      </c>
      <c r="F46" s="12">
        <f t="shared" si="38"/>
        <v>1809.425</v>
      </c>
      <c r="G46" s="12">
        <f t="shared" si="38"/>
        <v>0</v>
      </c>
      <c r="H46" s="12">
        <f t="shared" si="38"/>
        <v>0</v>
      </c>
      <c r="I46" s="12">
        <f t="shared" si="38"/>
        <v>0</v>
      </c>
      <c r="J46" s="12">
        <f t="shared" si="38"/>
        <v>173.41</v>
      </c>
      <c r="K46" s="12">
        <f t="shared" si="38"/>
        <v>-8.1359999999999992</v>
      </c>
      <c r="L46" s="12">
        <f t="shared" si="38"/>
        <v>-223.00200000000001</v>
      </c>
      <c r="M46" s="169">
        <f>M39</f>
        <v>1418.0329999999999</v>
      </c>
      <c r="N46" s="15">
        <f>N39</f>
        <v>-342.90300000000002</v>
      </c>
      <c r="O46" s="1"/>
      <c r="P46" s="24" t="s">
        <v>90</v>
      </c>
      <c r="Q46" s="23">
        <f t="shared" ref="Q46:X46" si="39">(Q29-Q37-Q10)</f>
        <v>1484.9109999999996</v>
      </c>
      <c r="R46" s="23">
        <f t="shared" si="39"/>
        <v>1306.3199999999995</v>
      </c>
      <c r="S46" s="23">
        <f t="shared" si="39"/>
        <v>1870.7530000000006</v>
      </c>
      <c r="T46" s="23">
        <f t="shared" si="39"/>
        <v>2487.2579999999998</v>
      </c>
      <c r="U46" s="23">
        <f t="shared" si="39"/>
        <v>3190.96</v>
      </c>
      <c r="V46" s="23">
        <f t="shared" si="39"/>
        <v>3695.7409999999986</v>
      </c>
      <c r="W46" s="23">
        <f t="shared" si="39"/>
        <v>3414.8649999999989</v>
      </c>
      <c r="X46" s="23">
        <f>(X29-X37-X10)</f>
        <v>2401.2569999999987</v>
      </c>
      <c r="Y46" s="176">
        <f>(Y29-Y37-Y10)</f>
        <v>2648.6549999999997</v>
      </c>
      <c r="AA46" s="1"/>
      <c r="AB46" s="1"/>
      <c r="AC46" s="1"/>
    </row>
    <row r="47" spans="1:29" ht="18.75" customHeight="1" x14ac:dyDescent="0.3">
      <c r="A47" s="16" t="s">
        <v>91</v>
      </c>
      <c r="B47" s="3"/>
      <c r="C47" s="17"/>
      <c r="D47" s="17">
        <f>-308.28+1.661</f>
        <v>-306.61899999999997</v>
      </c>
      <c r="E47" s="17">
        <f>-128.658+4.367</f>
        <v>-124.29099999999998</v>
      </c>
      <c r="F47" s="17">
        <f>-98.84+2.492</f>
        <v>-96.347999999999999</v>
      </c>
      <c r="G47" s="1"/>
      <c r="H47" s="71"/>
      <c r="I47" s="71"/>
      <c r="J47" s="17">
        <f>-350.268+0.805</f>
        <v>-349.46299999999997</v>
      </c>
      <c r="K47" s="17">
        <f>-5944.5/10</f>
        <v>-594.45000000000005</v>
      </c>
      <c r="L47" s="17">
        <f t="shared" ref="L47:M47" si="40">L40</f>
        <v>-464.66</v>
      </c>
      <c r="M47" s="170">
        <f>M40</f>
        <v>-989.66399999999999</v>
      </c>
      <c r="N47" s="30">
        <f>N40</f>
        <v>-865.04399999999998</v>
      </c>
      <c r="O47" s="1"/>
      <c r="P47" s="16"/>
      <c r="Q47" s="17"/>
      <c r="R47" s="17"/>
      <c r="S47" s="17"/>
      <c r="T47" s="17"/>
      <c r="U47" s="17"/>
      <c r="V47" s="17"/>
      <c r="W47" s="17"/>
      <c r="X47" s="17"/>
      <c r="Y47" s="30"/>
      <c r="AA47" s="1"/>
      <c r="AB47" s="1"/>
      <c r="AC47" s="1"/>
    </row>
    <row r="48" spans="1:29" ht="18.75" customHeight="1" x14ac:dyDescent="0.3">
      <c r="A48" s="62" t="s">
        <v>92</v>
      </c>
      <c r="B48" s="76"/>
      <c r="C48" s="65"/>
      <c r="D48" s="65">
        <f t="shared" ref="D48:F48" si="41">SUM(D46:D47)</f>
        <v>-146.35499999999996</v>
      </c>
      <c r="E48" s="65">
        <f t="shared" si="41"/>
        <v>-358.52</v>
      </c>
      <c r="F48" s="65">
        <f t="shared" si="41"/>
        <v>1713.077</v>
      </c>
      <c r="G48" s="77"/>
      <c r="H48" s="78"/>
      <c r="I48" s="78"/>
      <c r="J48" s="65">
        <f t="shared" ref="J48:L48" si="42">SUM(J46:J47)</f>
        <v>-176.05299999999997</v>
      </c>
      <c r="K48" s="65">
        <f t="shared" si="42"/>
        <v>-602.58600000000001</v>
      </c>
      <c r="L48" s="65">
        <f t="shared" si="42"/>
        <v>-687.66200000000003</v>
      </c>
      <c r="M48" s="85">
        <f t="shared" ref="M48:N48" si="43">M46+M47</f>
        <v>428.36899999999991</v>
      </c>
      <c r="N48" s="69">
        <f t="shared" si="43"/>
        <v>-1207.9470000000001</v>
      </c>
      <c r="O48" s="1"/>
      <c r="P48" s="16" t="s">
        <v>93</v>
      </c>
      <c r="Q48" s="17">
        <v>221.614</v>
      </c>
      <c r="R48" s="17">
        <v>248.05699999999999</v>
      </c>
      <c r="S48" s="17">
        <v>342.28899999999999</v>
      </c>
      <c r="T48" s="17">
        <v>260.12200000000001</v>
      </c>
      <c r="U48" s="17">
        <v>266.24</v>
      </c>
      <c r="V48" s="17">
        <f>2690.73/10</f>
        <v>269.07299999999998</v>
      </c>
      <c r="W48" s="17">
        <v>271.77999999999997</v>
      </c>
      <c r="X48" s="17">
        <v>273.84699999999998</v>
      </c>
      <c r="Y48" s="30">
        <v>275.09399999999999</v>
      </c>
      <c r="AA48" s="1"/>
      <c r="AB48" s="1"/>
      <c r="AC48" s="1"/>
    </row>
    <row r="49" spans="1:29" ht="18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O49" s="1"/>
      <c r="P49" s="16" t="s">
        <v>94</v>
      </c>
      <c r="Q49" s="17">
        <v>30</v>
      </c>
      <c r="R49" s="17">
        <v>31.364999999999998</v>
      </c>
      <c r="S49" s="17">
        <v>0</v>
      </c>
      <c r="T49" s="17">
        <v>8.4339999999999993</v>
      </c>
      <c r="U49" s="17">
        <v>2.36</v>
      </c>
      <c r="V49" s="17">
        <f>11.87/10</f>
        <v>1.1869999999999998</v>
      </c>
      <c r="W49" s="17">
        <v>16.616</v>
      </c>
      <c r="X49" s="17">
        <v>10.61</v>
      </c>
      <c r="Y49" s="30"/>
      <c r="AA49" s="79"/>
      <c r="AB49" s="1"/>
      <c r="AC49" s="1"/>
    </row>
    <row r="50" spans="1:29" ht="18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O50" s="1"/>
      <c r="P50" s="16" t="s">
        <v>95</v>
      </c>
      <c r="Q50" s="61">
        <v>0</v>
      </c>
      <c r="R50" s="61"/>
      <c r="S50" s="17">
        <v>19.631</v>
      </c>
      <c r="T50" s="17">
        <v>17.663</v>
      </c>
      <c r="U50" s="17">
        <v>24.62</v>
      </c>
      <c r="V50" s="17">
        <f>208.31/10</f>
        <v>20.831</v>
      </c>
      <c r="W50" s="17">
        <v>28.957999999999998</v>
      </c>
      <c r="X50" s="17">
        <v>41.692</v>
      </c>
      <c r="Y50" s="30">
        <v>54.53</v>
      </c>
      <c r="AA50" s="1"/>
      <c r="AB50" s="1"/>
      <c r="AC50" s="1"/>
    </row>
    <row r="51" spans="1:29" ht="18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O51" s="1"/>
      <c r="P51" s="10"/>
      <c r="Q51" s="60"/>
      <c r="R51" s="60"/>
      <c r="S51" s="60"/>
      <c r="T51" s="17"/>
      <c r="U51" s="17"/>
      <c r="V51" s="17"/>
      <c r="W51" s="17"/>
      <c r="X51" s="17"/>
      <c r="Y51" s="30"/>
      <c r="AA51" s="1"/>
      <c r="AB51" s="1"/>
      <c r="AC51" s="1"/>
    </row>
    <row r="52" spans="1:29" ht="18.75" customHeight="1" x14ac:dyDescent="0.3">
      <c r="A52" s="80" t="s">
        <v>96</v>
      </c>
      <c r="B52" s="81"/>
      <c r="C52" s="82">
        <v>5133674</v>
      </c>
      <c r="D52" s="82">
        <v>8413394</v>
      </c>
      <c r="E52" s="82">
        <v>33653576</v>
      </c>
      <c r="F52" s="82">
        <v>33653576</v>
      </c>
      <c r="G52" s="73"/>
      <c r="H52" s="74"/>
      <c r="I52" s="74"/>
      <c r="J52" s="82">
        <v>33653576</v>
      </c>
      <c r="K52" s="83">
        <v>33653576</v>
      </c>
      <c r="L52" s="83">
        <v>33653576</v>
      </c>
      <c r="M52" s="83">
        <v>33653576</v>
      </c>
      <c r="N52" s="84">
        <v>33653576</v>
      </c>
      <c r="O52" s="1"/>
      <c r="P52" s="24" t="s">
        <v>97</v>
      </c>
      <c r="Q52" s="23">
        <f t="shared" ref="Q52:X52" si="44">SUM(Q16:Q28)+Q29</f>
        <v>4900.732</v>
      </c>
      <c r="R52" s="23">
        <f t="shared" si="44"/>
        <v>5728.9809999999998</v>
      </c>
      <c r="S52" s="23">
        <f t="shared" si="44"/>
        <v>6732.1650000000009</v>
      </c>
      <c r="T52" s="23">
        <f t="shared" si="44"/>
        <v>6083.0210000000006</v>
      </c>
      <c r="U52" s="23">
        <f t="shared" si="44"/>
        <v>7449.9610000000011</v>
      </c>
      <c r="V52" s="23">
        <f t="shared" si="44"/>
        <v>8648.7799999999988</v>
      </c>
      <c r="W52" s="23">
        <f>SUM(W16:W28)+W29</f>
        <v>9864.6219999999994</v>
      </c>
      <c r="X52" s="23">
        <f t="shared" si="44"/>
        <v>9949.5080000000016</v>
      </c>
      <c r="Y52" s="176">
        <f>SUM(Y16:Y28)+Y29</f>
        <v>11450.910999999998</v>
      </c>
      <c r="Z52" s="147"/>
      <c r="AA52" s="32"/>
      <c r="AB52" s="1"/>
      <c r="AC52" s="1"/>
    </row>
    <row r="53" spans="1:29" ht="18.75" customHeight="1" thickBot="1" x14ac:dyDescent="0.35">
      <c r="A53" s="16" t="s">
        <v>98</v>
      </c>
      <c r="B53" s="3"/>
      <c r="C53" s="17">
        <f t="shared" ref="C53:F53" si="45">C52*Q56/1000000</f>
        <v>932.01851470000008</v>
      </c>
      <c r="D53" s="17">
        <f t="shared" si="45"/>
        <v>1828.9877216599998</v>
      </c>
      <c r="E53" s="17">
        <f t="shared" si="45"/>
        <v>7637.6790731999999</v>
      </c>
      <c r="F53" s="17">
        <f t="shared" si="45"/>
        <v>4511.2618628</v>
      </c>
      <c r="G53" s="1"/>
      <c r="H53" s="70"/>
      <c r="I53" s="70"/>
      <c r="J53" s="17">
        <f>(J52/1000000)*U56</f>
        <v>19747.9183968</v>
      </c>
      <c r="K53" s="18">
        <f>236955/10</f>
        <v>23695.5</v>
      </c>
      <c r="L53" s="18">
        <f>(L52/1000000)*W56</f>
        <v>11837.645358</v>
      </c>
      <c r="M53" s="18">
        <f>(M52/1000000)*X56</f>
        <v>10064.101902800001</v>
      </c>
      <c r="N53" s="30">
        <f>(N52/1000000)*Y56</f>
        <v>9279.9735820000005</v>
      </c>
      <c r="O53" s="1"/>
      <c r="P53" s="62" t="s">
        <v>99</v>
      </c>
      <c r="Q53" s="65">
        <f>Q50+Q37+Q12+Q7+Q47+Q49+Q48</f>
        <v>4900.7829999999994</v>
      </c>
      <c r="R53" s="65">
        <f t="shared" ref="R53:W53" si="46">R50+R37+R12+R7+R47+R51+R48+R49-R11</f>
        <v>5728.9809999999998</v>
      </c>
      <c r="S53" s="65">
        <f t="shared" si="46"/>
        <v>6732.4369999999999</v>
      </c>
      <c r="T53" s="65">
        <f t="shared" si="46"/>
        <v>6083.0210000000006</v>
      </c>
      <c r="U53" s="65">
        <f t="shared" si="46"/>
        <v>7449.9679999999998</v>
      </c>
      <c r="V53" s="65">
        <f t="shared" si="46"/>
        <v>8648.7810000000009</v>
      </c>
      <c r="W53" s="65">
        <f t="shared" si="46"/>
        <v>9864.621000000001</v>
      </c>
      <c r="X53" s="65">
        <f>X50+X37+X12+X7+X47+X51+X48+X49</f>
        <v>9949.5439999999999</v>
      </c>
      <c r="Y53" s="69">
        <f>Y50+Y37+Y12+Y7+Y47+Y51+Y48+Y49</f>
        <v>11450.911</v>
      </c>
      <c r="AA53" s="1"/>
      <c r="AB53" s="1"/>
      <c r="AC53" s="1"/>
    </row>
    <row r="54" spans="1:29" ht="18.75" customHeight="1" thickBot="1" x14ac:dyDescent="0.35">
      <c r="A54" s="16" t="s">
        <v>100</v>
      </c>
      <c r="B54" s="3"/>
      <c r="C54" s="17">
        <f t="shared" ref="C54:F54" si="47">Q12</f>
        <v>1047.9290000000001</v>
      </c>
      <c r="D54" s="17">
        <f t="shared" si="47"/>
        <v>1318.7260000000001</v>
      </c>
      <c r="E54" s="17">
        <f t="shared" si="47"/>
        <v>1834.0169999999998</v>
      </c>
      <c r="F54" s="17">
        <f t="shared" si="47"/>
        <v>507.40200000000004</v>
      </c>
      <c r="G54" s="1"/>
      <c r="H54" s="86"/>
      <c r="I54" s="86"/>
      <c r="J54" s="17">
        <f t="shared" ref="J54:N54" si="48">U12</f>
        <v>778.59</v>
      </c>
      <c r="K54" s="18">
        <f t="shared" si="48"/>
        <v>1393.4879999999998</v>
      </c>
      <c r="L54" s="18">
        <f t="shared" si="48"/>
        <v>2288.415</v>
      </c>
      <c r="M54" s="170">
        <f>X12</f>
        <v>2040.8890000000001</v>
      </c>
      <c r="N54" s="30">
        <f>Y12</f>
        <v>3520.2809999999999</v>
      </c>
      <c r="O54" s="1"/>
      <c r="P54" s="53" t="s">
        <v>101</v>
      </c>
      <c r="Q54" s="70"/>
      <c r="R54" s="87"/>
      <c r="S54" s="70"/>
      <c r="T54" s="1"/>
      <c r="U54" s="1"/>
      <c r="V54" s="1"/>
      <c r="W54" s="1"/>
      <c r="X54" s="1"/>
      <c r="Y54" s="3"/>
      <c r="Z54" s="1"/>
      <c r="AA54" s="1"/>
      <c r="AB54" s="1"/>
      <c r="AC54" s="1"/>
    </row>
    <row r="55" spans="1:29" ht="18.75" customHeight="1" x14ac:dyDescent="0.3">
      <c r="A55" s="16" t="s">
        <v>102</v>
      </c>
      <c r="B55" s="3"/>
      <c r="C55" s="17">
        <f t="shared" ref="C55:F55" si="49">Q34+Q33</f>
        <v>55.757000000000005</v>
      </c>
      <c r="D55" s="17">
        <f t="shared" si="49"/>
        <v>58.395000000000003</v>
      </c>
      <c r="E55" s="17">
        <f t="shared" si="49"/>
        <v>63.027000000000001</v>
      </c>
      <c r="F55" s="17">
        <f t="shared" si="49"/>
        <v>211.10999999999999</v>
      </c>
      <c r="G55" s="1"/>
      <c r="H55" s="37"/>
      <c r="I55" s="37"/>
      <c r="J55" s="17">
        <f t="shared" ref="J55:L55" si="50">SUM(U33:U34)</f>
        <v>201.11099999999999</v>
      </c>
      <c r="K55" s="18">
        <f t="shared" si="50"/>
        <v>94.175999999999988</v>
      </c>
      <c r="L55" s="18">
        <f t="shared" si="50"/>
        <v>173.80799999999999</v>
      </c>
      <c r="M55" s="170">
        <f>X33+X34</f>
        <v>120.715</v>
      </c>
      <c r="N55" s="30">
        <f>Y33+Y34</f>
        <v>122.28299999999999</v>
      </c>
      <c r="O55" s="1"/>
      <c r="P55" s="4" t="s">
        <v>103</v>
      </c>
      <c r="Q55" s="7" t="s">
        <v>4</v>
      </c>
      <c r="R55" s="7" t="s">
        <v>5</v>
      </c>
      <c r="S55" s="6" t="s">
        <v>6</v>
      </c>
      <c r="T55" s="6" t="str">
        <f>T3</f>
        <v>FY20</v>
      </c>
      <c r="U55" s="6" t="s">
        <v>11</v>
      </c>
      <c r="V55" s="6" t="s">
        <v>12</v>
      </c>
      <c r="W55" s="6" t="s">
        <v>13</v>
      </c>
      <c r="X55" s="6" t="s">
        <v>14</v>
      </c>
      <c r="Y55" s="171" t="s">
        <v>193</v>
      </c>
      <c r="Z55" s="1"/>
      <c r="AA55" s="1"/>
      <c r="AB55" s="1"/>
      <c r="AC55" s="1"/>
    </row>
    <row r="56" spans="1:29" ht="18.75" customHeight="1" x14ac:dyDescent="0.3">
      <c r="A56" s="88" t="s">
        <v>104</v>
      </c>
      <c r="B56" s="89"/>
      <c r="C56" s="67">
        <f t="shared" ref="C56:F56" si="51">C53+C54-C55</f>
        <v>1924.1905147000002</v>
      </c>
      <c r="D56" s="67">
        <f t="shared" si="51"/>
        <v>3089.3187216599999</v>
      </c>
      <c r="E56" s="67">
        <f t="shared" si="51"/>
        <v>9408.6690732000006</v>
      </c>
      <c r="F56" s="67">
        <f t="shared" si="51"/>
        <v>4807.5538628000004</v>
      </c>
      <c r="G56" s="90"/>
      <c r="H56" s="91"/>
      <c r="I56" s="91"/>
      <c r="J56" s="67">
        <f t="shared" ref="J56:N56" si="52">J53+J54-J55</f>
        <v>20325.397396799999</v>
      </c>
      <c r="K56" s="92">
        <f t="shared" si="52"/>
        <v>24994.812000000002</v>
      </c>
      <c r="L56" s="92">
        <f t="shared" si="52"/>
        <v>13952.252357999998</v>
      </c>
      <c r="M56" s="92">
        <f>M53+M54-M55</f>
        <v>11984.2759028</v>
      </c>
      <c r="N56" s="93">
        <f>N53+N54-N55</f>
        <v>12677.971582000002</v>
      </c>
      <c r="O56" s="1"/>
      <c r="P56" s="94" t="s">
        <v>105</v>
      </c>
      <c r="Q56" s="41">
        <v>181.55</v>
      </c>
      <c r="R56" s="41">
        <v>217.39</v>
      </c>
      <c r="S56" s="95">
        <v>226.95</v>
      </c>
      <c r="T56" s="3">
        <v>134.05000000000001</v>
      </c>
      <c r="U56" s="29">
        <v>586.79999999999995</v>
      </c>
      <c r="V56" s="29">
        <v>705.7</v>
      </c>
      <c r="W56" s="3">
        <v>351.75</v>
      </c>
      <c r="X56" s="98">
        <v>299.05</v>
      </c>
      <c r="Y56" s="182">
        <v>275.75</v>
      </c>
      <c r="Z56" s="1"/>
      <c r="AA56" s="1"/>
      <c r="AB56" s="1"/>
      <c r="AC56" s="1"/>
    </row>
    <row r="57" spans="1:29" ht="18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94" t="s">
        <v>106</v>
      </c>
      <c r="Q57" s="41">
        <f t="shared" ref="Q57:T57" si="53">C32</f>
        <v>33.14</v>
      </c>
      <c r="R57" s="41">
        <f t="shared" si="53"/>
        <v>7.42</v>
      </c>
      <c r="S57" s="95">
        <f t="shared" si="53"/>
        <v>16.98</v>
      </c>
      <c r="T57" s="95">
        <f t="shared" si="53"/>
        <v>25.61</v>
      </c>
      <c r="U57" s="95">
        <f t="shared" ref="U57:X57" si="54">J32</f>
        <v>30.29</v>
      </c>
      <c r="V57" s="95">
        <f t="shared" si="54"/>
        <v>15.84</v>
      </c>
      <c r="W57" s="95">
        <f t="shared" si="54"/>
        <v>5.87</v>
      </c>
      <c r="X57" s="95">
        <f>M32</f>
        <v>2.71</v>
      </c>
      <c r="Y57" s="182">
        <f>N32</f>
        <v>10.199999999999999</v>
      </c>
      <c r="AA57" s="1"/>
      <c r="AB57" s="1"/>
      <c r="AC57" s="1"/>
    </row>
    <row r="58" spans="1:29" ht="18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94" t="s">
        <v>107</v>
      </c>
      <c r="Q58" s="95">
        <f t="shared" ref="Q58:T58" si="55">(Q7*1000000)/C52</f>
        <v>616.51889075932752</v>
      </c>
      <c r="R58" s="95">
        <f t="shared" si="55"/>
        <v>401.23557746136697</v>
      </c>
      <c r="S58" s="95">
        <f t="shared" si="55"/>
        <v>116.4584114330079</v>
      </c>
      <c r="T58" s="95">
        <f t="shared" si="55"/>
        <v>137.91696311857021</v>
      </c>
      <c r="U58" s="95">
        <f t="shared" ref="U58:X58" si="56">(U7*1000000)/J52</f>
        <v>165.59512130300803</v>
      </c>
      <c r="V58" s="95">
        <f t="shared" si="56"/>
        <v>179.83824363865523</v>
      </c>
      <c r="W58" s="95">
        <f t="shared" si="56"/>
        <v>185.69877982654799</v>
      </c>
      <c r="X58" s="98">
        <f>(X7*1000000)/M52</f>
        <v>187.89937806312173</v>
      </c>
      <c r="Y58" s="183">
        <f>(Y7*1000000)/N52</f>
        <v>196.99567736872896</v>
      </c>
      <c r="AA58" s="1"/>
      <c r="AB58" s="1"/>
      <c r="AC58" s="1"/>
    </row>
    <row r="59" spans="1:29" ht="18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94" t="s">
        <v>108</v>
      </c>
      <c r="Q59" s="29">
        <v>1.5</v>
      </c>
      <c r="R59" s="29">
        <v>1.5</v>
      </c>
      <c r="S59" s="29">
        <v>2</v>
      </c>
      <c r="T59" s="29">
        <v>2.5</v>
      </c>
      <c r="U59" s="3">
        <v>2.5</v>
      </c>
      <c r="V59" s="3">
        <f>5*30%</f>
        <v>1.5</v>
      </c>
      <c r="W59" s="3">
        <v>0.5</v>
      </c>
      <c r="X59" s="29">
        <v>0.5</v>
      </c>
      <c r="Y59" s="29"/>
      <c r="AA59" s="1"/>
      <c r="AB59" s="1"/>
      <c r="AC59" s="1"/>
    </row>
    <row r="60" spans="1:29" ht="18.75" customHeight="1" x14ac:dyDescent="0.3">
      <c r="A60" s="1"/>
      <c r="B60" s="1"/>
      <c r="C60" s="1"/>
      <c r="D60" s="1"/>
      <c r="E60" s="1"/>
      <c r="F60" s="1"/>
      <c r="G60" s="1"/>
      <c r="H60" s="37"/>
      <c r="I60" s="37"/>
      <c r="J60" s="37"/>
      <c r="K60" s="1"/>
      <c r="L60" s="1"/>
      <c r="M60" s="1"/>
      <c r="N60" s="1"/>
      <c r="O60" s="1"/>
      <c r="P60" s="94" t="s">
        <v>109</v>
      </c>
      <c r="Q60" s="95">
        <f t="shared" ref="Q60:T60" si="57">(Q56/Q57)</f>
        <v>5.4782739891369951</v>
      </c>
      <c r="R60" s="95">
        <f t="shared" si="57"/>
        <v>29.297843665768191</v>
      </c>
      <c r="S60" s="95">
        <f t="shared" si="57"/>
        <v>13.365724381625441</v>
      </c>
      <c r="T60" s="95">
        <f t="shared" si="57"/>
        <v>5.2342834830144485</v>
      </c>
      <c r="U60" s="95">
        <f t="shared" ref="U60:Y60" si="58">U56/J32</f>
        <v>19.372730274017826</v>
      </c>
      <c r="V60" s="95">
        <f t="shared" si="58"/>
        <v>44.551767676767682</v>
      </c>
      <c r="W60" s="95">
        <f t="shared" si="58"/>
        <v>59.923339011925044</v>
      </c>
      <c r="X60" s="95">
        <f>X56/X57</f>
        <v>110.35055350553506</v>
      </c>
      <c r="Y60" s="182">
        <f>Y56/Y57</f>
        <v>27.034313725490197</v>
      </c>
      <c r="AA60" s="1"/>
      <c r="AB60" s="1"/>
      <c r="AC60" s="1"/>
    </row>
    <row r="61" spans="1:29" ht="18.75" customHeight="1" x14ac:dyDescent="0.3">
      <c r="A61" s="1"/>
      <c r="B61" s="1"/>
      <c r="C61" s="1"/>
      <c r="D61" s="1"/>
      <c r="E61" s="1"/>
      <c r="F61" s="1"/>
      <c r="G61" s="1"/>
      <c r="H61" s="71"/>
      <c r="I61" s="71"/>
      <c r="J61" s="71"/>
      <c r="K61" s="1"/>
      <c r="L61" s="1"/>
      <c r="M61" s="1"/>
      <c r="N61" s="1"/>
      <c r="O61" s="1"/>
      <c r="P61" s="94" t="s">
        <v>110</v>
      </c>
      <c r="Q61" s="95">
        <f t="shared" ref="Q61:Y61" si="59">(Q56/Q58)</f>
        <v>0.29447597262818065</v>
      </c>
      <c r="R61" s="95">
        <f t="shared" si="59"/>
        <v>0.54180140598556825</v>
      </c>
      <c r="S61" s="95">
        <f t="shared" si="59"/>
        <v>1.9487643460648767</v>
      </c>
      <c r="T61" s="95">
        <f t="shared" si="59"/>
        <v>0.97196165699178216</v>
      </c>
      <c r="U61" s="95">
        <f t="shared" si="59"/>
        <v>3.5435826574036922</v>
      </c>
      <c r="V61" s="95">
        <f t="shared" si="59"/>
        <v>3.9240819178480555</v>
      </c>
      <c r="W61" s="95">
        <f t="shared" si="59"/>
        <v>1.8941966141541275</v>
      </c>
      <c r="X61" s="98">
        <f>(X56/X58)</f>
        <v>1.5915433200611182</v>
      </c>
      <c r="Y61" s="183">
        <f>(Y56/Y58)</f>
        <v>1.3997769072052364</v>
      </c>
      <c r="AA61" s="1"/>
      <c r="AB61" s="1"/>
      <c r="AC61" s="1"/>
    </row>
    <row r="62" spans="1:29" ht="18.75" customHeight="1" x14ac:dyDescent="0.3">
      <c r="A62" s="1"/>
      <c r="B62" s="1"/>
      <c r="C62" s="70"/>
      <c r="D62" s="70"/>
      <c r="E62" s="70"/>
      <c r="F62" s="70"/>
      <c r="G62" s="70"/>
      <c r="H62" s="70"/>
      <c r="I62" s="70"/>
      <c r="J62" s="70"/>
      <c r="K62" s="1"/>
      <c r="L62" s="1"/>
      <c r="M62" s="1"/>
      <c r="N62" s="1"/>
      <c r="O62" s="1"/>
      <c r="P62" s="94" t="s">
        <v>111</v>
      </c>
      <c r="Q62" s="95">
        <f t="shared" ref="Q62:T62" si="60">C56/C13</f>
        <v>3.3842215121258881</v>
      </c>
      <c r="R62" s="95">
        <f t="shared" si="60"/>
        <v>4.771435996392059</v>
      </c>
      <c r="S62" s="95">
        <f t="shared" si="60"/>
        <v>8.1808466967224156</v>
      </c>
      <c r="T62" s="95">
        <f t="shared" si="60"/>
        <v>3.7792115138294418</v>
      </c>
      <c r="U62" s="95">
        <f t="shared" ref="U62:X62" si="61">J56/J13</f>
        <v>13.106902122083651</v>
      </c>
      <c r="V62" s="95">
        <f t="shared" si="61"/>
        <v>27.013416566336019</v>
      </c>
      <c r="W62" s="95">
        <f t="shared" si="61"/>
        <v>25.735800296605674</v>
      </c>
      <c r="X62" s="95">
        <f>M56/M13</f>
        <v>25.532792825245842</v>
      </c>
      <c r="Y62" s="182">
        <f>N56/N13</f>
        <v>13.575298834993047</v>
      </c>
      <c r="AA62" s="1"/>
      <c r="AB62" s="1"/>
      <c r="AC62" s="1"/>
    </row>
    <row r="63" spans="1:29" ht="18.75" customHeight="1" x14ac:dyDescent="0.3">
      <c r="A63" s="1"/>
      <c r="B63" s="1"/>
      <c r="C63" s="70"/>
      <c r="D63" s="70"/>
      <c r="E63" s="70"/>
      <c r="F63" s="70"/>
      <c r="G63" s="70"/>
      <c r="H63" s="70"/>
      <c r="I63" s="70"/>
      <c r="J63" s="70"/>
      <c r="K63" s="1"/>
      <c r="L63" s="1"/>
      <c r="M63" s="1"/>
      <c r="N63" s="1"/>
      <c r="O63" s="1"/>
      <c r="P63" s="96" t="s">
        <v>112</v>
      </c>
      <c r="Q63" s="97">
        <f t="shared" ref="Q63:T63" si="62">(C24/Q7)</f>
        <v>8.8106914139526329E-2</v>
      </c>
      <c r="R63" s="97">
        <f t="shared" si="62"/>
        <v>7.4003340884241306E-2</v>
      </c>
      <c r="S63" s="97">
        <f t="shared" si="62"/>
        <v>0.1458353426504411</v>
      </c>
      <c r="T63" s="97">
        <f t="shared" si="62"/>
        <v>0.18569595072520151</v>
      </c>
      <c r="U63" s="97">
        <f t="shared" ref="U63:W63" si="63">(J24/U7)</f>
        <v>0.18291658801177416</v>
      </c>
      <c r="V63" s="97">
        <f t="shared" si="63"/>
        <v>8.8070949406827317E-2</v>
      </c>
      <c r="W63" s="97">
        <f t="shared" si="63"/>
        <v>3.1591531256940496E-2</v>
      </c>
      <c r="X63" s="97">
        <f>(M24/X7)</f>
        <v>1.4397438374972349E-2</v>
      </c>
      <c r="Y63" s="184">
        <f>(N24/Y7)</f>
        <v>5.1780278444777006E-2</v>
      </c>
      <c r="AA63" s="1"/>
      <c r="AB63" s="1"/>
      <c r="AC63" s="1"/>
    </row>
    <row r="64" spans="1:29" ht="18.75" customHeight="1" x14ac:dyDescent="0.3">
      <c r="A64" s="1"/>
      <c r="B64" s="1"/>
      <c r="C64" s="70"/>
      <c r="D64" s="70"/>
      <c r="E64" s="70"/>
      <c r="F64" s="70"/>
      <c r="G64" s="70"/>
      <c r="H64" s="70"/>
      <c r="I64" s="70"/>
      <c r="J64" s="70"/>
      <c r="K64" s="1"/>
      <c r="L64" s="1"/>
      <c r="M64" s="1"/>
      <c r="N64" s="1"/>
      <c r="O64" s="1"/>
      <c r="P64" s="96" t="s">
        <v>113</v>
      </c>
      <c r="Q64" s="97">
        <f t="shared" ref="Q64:S64" si="64">(C13-C17)/Q13</f>
        <v>0.11074654086217157</v>
      </c>
      <c r="R64" s="97">
        <f t="shared" si="64"/>
        <v>0.12910182211257487</v>
      </c>
      <c r="S64" s="97">
        <f t="shared" si="64"/>
        <v>0.22099481927949133</v>
      </c>
      <c r="T64" s="97">
        <f>(F13-F17)/(AVERAGE(S13:T13))</f>
        <v>0.2316315985425384</v>
      </c>
      <c r="U64" s="97">
        <f t="shared" ref="U64:W64" si="65">(J13-J17)/(AVERAGE(T13:U13))</f>
        <v>0.25463037703484342</v>
      </c>
      <c r="V64" s="97">
        <f t="shared" si="65"/>
        <v>0.11930316645073984</v>
      </c>
      <c r="W64" s="97">
        <f t="shared" si="65"/>
        <v>5.0868963072569828E-2</v>
      </c>
      <c r="X64" s="97">
        <f>(M13-M17)/(AVERAGE(W13:X13))</f>
        <v>3.8632903933347576E-2</v>
      </c>
      <c r="Y64" s="184">
        <f>(N13-N17)/(AVERAGE(X13:Y13))</f>
        <v>9.3263363490541554E-2</v>
      </c>
      <c r="AA64" s="1"/>
      <c r="AB64" s="1"/>
      <c r="AC64" s="1"/>
    </row>
    <row r="65" spans="1:29" ht="18.75" customHeight="1" x14ac:dyDescent="0.3">
      <c r="A65" s="1"/>
      <c r="B65" s="1"/>
      <c r="C65" s="70"/>
      <c r="D65" s="70"/>
      <c r="E65" s="70"/>
      <c r="F65" s="70"/>
      <c r="G65" s="70"/>
      <c r="H65" s="70"/>
      <c r="I65" s="70"/>
      <c r="J65" s="70"/>
      <c r="K65" s="1"/>
      <c r="L65" s="1"/>
      <c r="M65" s="1"/>
      <c r="N65" s="1"/>
      <c r="O65" s="1"/>
      <c r="P65" s="94" t="s">
        <v>114</v>
      </c>
      <c r="Q65" s="98">
        <f t="shared" ref="Q65:Y65" si="66">(Q12/Q7)</f>
        <v>0.33109847782327184</v>
      </c>
      <c r="R65" s="98">
        <f t="shared" si="66"/>
        <v>0.39064647206119646</v>
      </c>
      <c r="S65" s="98">
        <f t="shared" si="66"/>
        <v>0.46795196622203983</v>
      </c>
      <c r="T65" s="98">
        <f t="shared" si="66"/>
        <v>0.10932091811111262</v>
      </c>
      <c r="U65" s="98">
        <f t="shared" si="66"/>
        <v>0.13971082753081537</v>
      </c>
      <c r="V65" s="98">
        <f t="shared" si="66"/>
        <v>0.23024486963418259</v>
      </c>
      <c r="W65" s="98">
        <f t="shared" si="66"/>
        <v>0.36617991278561812</v>
      </c>
      <c r="X65" s="98">
        <f>(X12/X7)</f>
        <v>0.32274745290809531</v>
      </c>
      <c r="Y65" s="183">
        <f>(Y12/Y7)</f>
        <v>0.53099375845543828</v>
      </c>
      <c r="AA65" s="1"/>
      <c r="AB65" s="1"/>
      <c r="AC65" s="1"/>
    </row>
    <row r="66" spans="1:29" ht="18.75" customHeight="1" x14ac:dyDescent="0.3">
      <c r="A66" s="1"/>
      <c r="B66" s="1"/>
      <c r="C66" s="70"/>
      <c r="D66" s="70"/>
      <c r="E66" s="70"/>
      <c r="F66" s="70"/>
      <c r="G66" s="70"/>
      <c r="H66" s="70"/>
      <c r="I66" s="70"/>
      <c r="J66" s="70"/>
      <c r="K66" s="1"/>
      <c r="L66" s="1"/>
      <c r="M66" s="1"/>
      <c r="N66" s="1"/>
      <c r="O66" s="1"/>
      <c r="P66" s="94" t="s">
        <v>115</v>
      </c>
      <c r="Q66" s="98">
        <f>(Q12-Q34-Q33)/Q7</f>
        <v>0.31348177113036407</v>
      </c>
      <c r="R66" s="98">
        <f>(R12-R35-R33)/R7</f>
        <v>0.37440002275047968</v>
      </c>
      <c r="S66" s="98">
        <f t="shared" ref="S66:W66" si="67">(S12-S34-S33)/S7</f>
        <v>0.45187054027283841</v>
      </c>
      <c r="T66" s="98">
        <f t="shared" si="67"/>
        <v>6.3836787141118442E-2</v>
      </c>
      <c r="U66" s="98">
        <f t="shared" si="67"/>
        <v>0.1036233049123001</v>
      </c>
      <c r="V66" s="98">
        <f t="shared" si="67"/>
        <v>0.21468424705065925</v>
      </c>
      <c r="W66" s="98">
        <f t="shared" si="67"/>
        <v>0.33836808744736319</v>
      </c>
      <c r="X66" s="98">
        <f>(X12-X34-X33)/X7</f>
        <v>0.30365750789991469</v>
      </c>
      <c r="Y66" s="183">
        <f>(Y12-Y34-Y33)/Y7</f>
        <v>0.51254877927189968</v>
      </c>
      <c r="AA66" s="1"/>
      <c r="AB66" s="1"/>
      <c r="AC66" s="1"/>
    </row>
    <row r="67" spans="1:29" ht="18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94" t="s">
        <v>116</v>
      </c>
      <c r="Q67" s="97">
        <f t="shared" ref="Q67:Y67" si="68">(Q59/Q56)</f>
        <v>8.2621867254199944E-3</v>
      </c>
      <c r="R67" s="97">
        <f t="shared" si="68"/>
        <v>6.9000414002484021E-3</v>
      </c>
      <c r="S67" s="97">
        <f t="shared" si="68"/>
        <v>8.8125137695527645E-3</v>
      </c>
      <c r="T67" s="97">
        <f t="shared" si="68"/>
        <v>1.8649757553151809E-2</v>
      </c>
      <c r="U67" s="97">
        <f t="shared" si="68"/>
        <v>4.2603953646898436E-3</v>
      </c>
      <c r="V67" s="97">
        <f t="shared" si="68"/>
        <v>2.1255491001842142E-3</v>
      </c>
      <c r="W67" s="97">
        <f t="shared" si="68"/>
        <v>1.4214641080312722E-3</v>
      </c>
      <c r="X67" s="97">
        <f>(X59/X56)</f>
        <v>1.6719612104999163E-3</v>
      </c>
      <c r="Y67" s="184">
        <f>(Y59/Y56)</f>
        <v>0</v>
      </c>
      <c r="AA67" s="1"/>
      <c r="AB67" s="1"/>
      <c r="AC67" s="1"/>
    </row>
    <row r="68" spans="1:29" ht="18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94" t="s">
        <v>117</v>
      </c>
      <c r="Q68" s="99">
        <f t="shared" ref="Q68:T68" si="69">(AVERAGE(P32:Q32)/C4*365)</f>
        <v>79.83506855695282</v>
      </c>
      <c r="R68" s="99">
        <f t="shared" si="69"/>
        <v>84.588662777197783</v>
      </c>
      <c r="S68" s="99">
        <f t="shared" si="69"/>
        <v>71.197798301995121</v>
      </c>
      <c r="T68" s="99">
        <f t="shared" si="69"/>
        <v>74.795641039644323</v>
      </c>
      <c r="U68" s="99">
        <f t="shared" ref="U68:W68" si="70">(AVERAGE(T32:U32)/J4*365)</f>
        <v>87.533605093420761</v>
      </c>
      <c r="V68" s="99">
        <f t="shared" si="70"/>
        <v>80.525094674570511</v>
      </c>
      <c r="W68" s="99">
        <f t="shared" si="70"/>
        <v>82.715705641661287</v>
      </c>
      <c r="X68" s="99">
        <f>(AVERAGE(W32:X32)/M4*365)</f>
        <v>80.856340835961348</v>
      </c>
      <c r="Y68" s="185">
        <f>(AVERAGE(X32:Y32)/N4*365)</f>
        <v>72.526696562867016</v>
      </c>
      <c r="Z68" s="1"/>
      <c r="AA68" s="1"/>
      <c r="AB68" s="1"/>
      <c r="AC68" s="1"/>
    </row>
    <row r="69" spans="1:29" ht="18.75" customHeight="1" x14ac:dyDescent="0.3">
      <c r="A69" s="1"/>
      <c r="B69" s="1"/>
      <c r="C69" s="100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94" t="s">
        <v>118</v>
      </c>
      <c r="Q69" s="99">
        <f t="shared" ref="Q69:T69" si="71">AVERAGE(P39:Q39)/(C7)*365</f>
        <v>29.978951994933311</v>
      </c>
      <c r="R69" s="99">
        <f t="shared" si="71"/>
        <v>38.924513411906538</v>
      </c>
      <c r="S69" s="99">
        <f t="shared" si="71"/>
        <v>32.724440545950365</v>
      </c>
      <c r="T69" s="99">
        <f t="shared" si="71"/>
        <v>31.482868224895839</v>
      </c>
      <c r="U69" s="99">
        <f t="shared" ref="U69:Y69" si="72">AVERAGE(T39:U39)/(J7)*365</f>
        <v>41.692379126772877</v>
      </c>
      <c r="V69" s="99">
        <f t="shared" si="72"/>
        <v>35.743964524978281</v>
      </c>
      <c r="W69" s="99">
        <f t="shared" si="72"/>
        <v>38.592936333881532</v>
      </c>
      <c r="X69" s="99">
        <f>AVERAGE(W39:X39)/(M7)*365</f>
        <v>39.037447247696832</v>
      </c>
      <c r="Y69" s="185">
        <f>AVERAGE(X39:Y39)/(N7)*365</f>
        <v>34.519297523363619</v>
      </c>
      <c r="Z69" s="70"/>
      <c r="AA69" s="70"/>
      <c r="AB69" s="70"/>
      <c r="AC69" s="70"/>
    </row>
    <row r="70" spans="1:29" ht="18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94" t="s">
        <v>119</v>
      </c>
      <c r="Q70" s="99">
        <f t="shared" ref="Q70:T70" si="73">(AVERAGE(P30:Q30)/(C7)*365)</f>
        <v>104.20050756673038</v>
      </c>
      <c r="R70" s="99">
        <f t="shared" si="73"/>
        <v>102.26562418562071</v>
      </c>
      <c r="S70" s="99">
        <f t="shared" si="73"/>
        <v>95.784617616510332</v>
      </c>
      <c r="T70" s="99">
        <f t="shared" si="73"/>
        <v>105.3562192974692</v>
      </c>
      <c r="U70" s="99">
        <f t="shared" ref="U70:Y70" si="74">(AVERAGE(T30:U30)/(J7)*365)</f>
        <v>128.50727207717395</v>
      </c>
      <c r="V70" s="99">
        <f t="shared" si="74"/>
        <v>120.96363063105423</v>
      </c>
      <c r="W70" s="99">
        <f t="shared" si="74"/>
        <v>150.31158348547768</v>
      </c>
      <c r="X70" s="99">
        <f>(AVERAGE(W30:X30)/(M7)*365)</f>
        <v>149.08119221820164</v>
      </c>
      <c r="Y70" s="185">
        <f>(AVERAGE(X30:Y30)/(N7)*365)</f>
        <v>140.28924784594224</v>
      </c>
      <c r="Z70" s="70"/>
      <c r="AA70" s="70"/>
      <c r="AB70" s="70"/>
      <c r="AC70" s="70"/>
    </row>
    <row r="71" spans="1:29" ht="18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94" t="s">
        <v>120</v>
      </c>
      <c r="Q71" s="99">
        <f t="shared" ref="Q71:X71" si="75">(Q70+Q68-Q69)</f>
        <v>154.05662412874989</v>
      </c>
      <c r="R71" s="99">
        <f t="shared" si="75"/>
        <v>147.92977355091196</v>
      </c>
      <c r="S71" s="99">
        <f t="shared" si="75"/>
        <v>134.25797537255511</v>
      </c>
      <c r="T71" s="99">
        <f t="shared" si="75"/>
        <v>148.66899211221769</v>
      </c>
      <c r="U71" s="99">
        <f t="shared" si="75"/>
        <v>174.34849804382185</v>
      </c>
      <c r="V71" s="99">
        <f t="shared" si="75"/>
        <v>165.74476078064646</v>
      </c>
      <c r="W71" s="99">
        <f t="shared" si="75"/>
        <v>194.43435279325743</v>
      </c>
      <c r="X71" s="99">
        <f>(X70+X68-X69)</f>
        <v>190.90008580646617</v>
      </c>
      <c r="Y71" s="185">
        <f>(Y70+Y68-Y69)</f>
        <v>178.29664688544563</v>
      </c>
      <c r="Z71" s="1"/>
      <c r="AA71" s="1"/>
      <c r="AB71" s="1"/>
      <c r="AC71" s="1"/>
    </row>
    <row r="72" spans="1:29" ht="18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01" t="s">
        <v>121</v>
      </c>
      <c r="Q72" s="99">
        <f>+AVERAGE(Q46)/C4*365</f>
        <v>118.40340093343362</v>
      </c>
      <c r="R72" s="99">
        <f t="shared" ref="R72:T72" si="76">+AVERAGE(Q46:R46)/D4*365</f>
        <v>100.66528404960066</v>
      </c>
      <c r="S72" s="99">
        <f t="shared" si="76"/>
        <v>76.828780842143971</v>
      </c>
      <c r="T72" s="99">
        <f t="shared" si="76"/>
        <v>104.66413528456911</v>
      </c>
      <c r="U72" s="99">
        <f t="shared" ref="U72:Y72" si="77">+AVERAGE(T46:U46)/J4*365</f>
        <v>146.19387065555361</v>
      </c>
      <c r="V72" s="99">
        <f t="shared" si="77"/>
        <v>144.66328846988557</v>
      </c>
      <c r="W72" s="99">
        <f t="shared" si="77"/>
        <v>152.83564620975872</v>
      </c>
      <c r="X72" s="99">
        <f>+AVERAGE(W46:X46)/M4*365</f>
        <v>126.90534438651522</v>
      </c>
      <c r="Y72" s="185">
        <f>+AVERAGE(X46:Y46)/N4*365</f>
        <v>99.283898130710014</v>
      </c>
      <c r="Z72" s="1"/>
      <c r="AA72" s="1"/>
      <c r="AB72" s="1"/>
      <c r="AC72" s="1"/>
    </row>
    <row r="73" spans="1:29" ht="18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 t="s">
        <v>122</v>
      </c>
      <c r="Q73" s="97">
        <f t="shared" ref="Q73:T73" si="78">C18/Q12</f>
        <v>5.0973873229961185E-2</v>
      </c>
      <c r="R73" s="97">
        <f t="shared" si="78"/>
        <v>5.5480820124878101E-2</v>
      </c>
      <c r="S73" s="97">
        <f t="shared" si="78"/>
        <v>7.0805232448772293E-2</v>
      </c>
      <c r="T73" s="97">
        <f t="shared" si="78"/>
        <v>0.23501286948021488</v>
      </c>
      <c r="U73" s="97">
        <f>J18/U12</f>
        <v>2.9681860799650649E-2</v>
      </c>
      <c r="V73" s="97">
        <f>K18/(V12-450)</f>
        <v>4.2872829331162675E-2</v>
      </c>
      <c r="W73" s="97">
        <f t="shared" ref="W73:Y73" si="79">L18/(W12)</f>
        <v>5.6943342881426669E-2</v>
      </c>
      <c r="X73" s="97">
        <f>M18/(X12)</f>
        <v>9.9800136117152868E-2</v>
      </c>
      <c r="Y73" s="184">
        <f>N18/(Y12)</f>
        <v>7.2090835930427144E-2</v>
      </c>
      <c r="Z73" s="1"/>
      <c r="AA73" s="1"/>
      <c r="AB73" s="1"/>
      <c r="AC73" s="1"/>
    </row>
    <row r="74" spans="1:29" ht="18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 t="s">
        <v>123</v>
      </c>
      <c r="Q74" s="102"/>
      <c r="R74" s="102">
        <f t="shared" ref="R74:S74" si="80">(D24+D17+D18)/(D18+94.118)</f>
        <v>2.8168780861060982</v>
      </c>
      <c r="S74" s="102">
        <f t="shared" si="80"/>
        <v>3.9262822802443123</v>
      </c>
      <c r="T74" s="102">
        <f>(F24+F17+F18)/(F18+61.176)</f>
        <v>6.4921184777909549</v>
      </c>
      <c r="U74" s="102">
        <f>(J24+J17+J18)/J18+0</f>
        <v>52.664214625703146</v>
      </c>
      <c r="V74" s="102">
        <f t="shared" ref="V74:W74" si="81">(K24+K17+K18)/(K18+50)</f>
        <v>8.221061359867333</v>
      </c>
      <c r="W74" s="102">
        <f t="shared" si="81"/>
        <v>2.8951195163884371</v>
      </c>
      <c r="X74" s="102">
        <f>(M24+M17+M18)/(M18)</f>
        <v>2.4188215886607018</v>
      </c>
      <c r="Y74" s="186">
        <f>(N24+N17+N18)/(N18)</f>
        <v>3.285763259516115</v>
      </c>
      <c r="Z74" s="1"/>
      <c r="AA74" s="1"/>
      <c r="AB74" s="1"/>
      <c r="AC74" s="1"/>
    </row>
    <row r="75" spans="1:29" ht="18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88" t="s">
        <v>124</v>
      </c>
      <c r="Q75" s="103"/>
      <c r="R75" s="104">
        <f t="shared" ref="R75:T75" si="82">D48</f>
        <v>-146.35499999999996</v>
      </c>
      <c r="S75" s="66">
        <f t="shared" si="82"/>
        <v>-358.52</v>
      </c>
      <c r="T75" s="66">
        <f t="shared" si="82"/>
        <v>1713.077</v>
      </c>
      <c r="U75" s="66">
        <f t="shared" ref="U75:Y75" si="83">J48</f>
        <v>-176.05299999999997</v>
      </c>
      <c r="V75" s="66">
        <f t="shared" si="83"/>
        <v>-602.58600000000001</v>
      </c>
      <c r="W75" s="66">
        <f t="shared" si="83"/>
        <v>-687.66200000000003</v>
      </c>
      <c r="X75" s="66">
        <f>M48</f>
        <v>428.36899999999991</v>
      </c>
      <c r="Y75" s="187">
        <f>N48</f>
        <v>-1207.9470000000001</v>
      </c>
      <c r="Z75" s="1"/>
      <c r="AA75" s="1"/>
      <c r="AB75" s="1"/>
      <c r="AC75" s="1"/>
    </row>
    <row r="76" spans="1:29" ht="18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70"/>
      <c r="R76" s="87"/>
      <c r="S76" s="70"/>
      <c r="T76" s="1"/>
      <c r="U76" s="1"/>
      <c r="V76" s="1"/>
      <c r="W76" s="1"/>
      <c r="X76" s="1"/>
      <c r="Z76" s="1"/>
      <c r="AA76" s="1"/>
      <c r="AB76" s="1"/>
      <c r="AC76" s="1"/>
    </row>
    <row r="77" spans="1:29" ht="18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70"/>
      <c r="R77" s="105"/>
      <c r="S77" s="70"/>
      <c r="T77" s="1"/>
      <c r="U77" s="1"/>
      <c r="V77" s="1"/>
      <c r="W77" s="1"/>
      <c r="X77" s="1"/>
      <c r="Z77" s="1"/>
      <c r="AA77" s="1"/>
      <c r="AB77" s="1"/>
      <c r="AC77" s="1"/>
    </row>
    <row r="78" spans="1:29" ht="18.75" customHeight="1" x14ac:dyDescent="0.3">
      <c r="A78" s="1"/>
      <c r="B78" s="1"/>
      <c r="C78" s="1"/>
      <c r="D78" s="1"/>
      <c r="E78" s="1"/>
      <c r="F78" s="153"/>
      <c r="G78" s="106"/>
      <c r="H78" s="106"/>
      <c r="I78" s="106"/>
      <c r="J78" s="106"/>
      <c r="K78" s="1"/>
      <c r="L78" s="1"/>
      <c r="M78" s="1"/>
      <c r="N78" s="1"/>
      <c r="O78" s="1"/>
      <c r="P78" s="1"/>
      <c r="Q78" s="70"/>
      <c r="R78" s="105"/>
      <c r="S78" s="70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8.75" customHeight="1" x14ac:dyDescent="0.3">
      <c r="A79" s="1"/>
      <c r="B79" s="1"/>
      <c r="C79" s="1"/>
      <c r="D79" s="1"/>
      <c r="E79" s="1"/>
      <c r="F79" s="154"/>
      <c r="G79" s="106"/>
      <c r="H79" s="106"/>
      <c r="I79" s="106"/>
      <c r="J79" s="106"/>
      <c r="K79" s="1"/>
      <c r="L79" s="1"/>
      <c r="M79" s="1"/>
      <c r="N79" s="1"/>
      <c r="O79" s="1"/>
      <c r="P79" s="1"/>
      <c r="Q79" s="70"/>
      <c r="R79" s="105"/>
      <c r="S79" s="70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8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70"/>
      <c r="R80" s="105"/>
      <c r="S80" s="70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8.75" customHeight="1" x14ac:dyDescent="0.3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</row>
    <row r="82" spans="1:29" ht="18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8.75" customHeight="1" x14ac:dyDescent="0.3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</row>
    <row r="84" spans="1:29" ht="18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8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8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07"/>
      <c r="Z86" s="1"/>
      <c r="AA86" s="1"/>
      <c r="AB86" s="1"/>
      <c r="AC86" s="1"/>
    </row>
    <row r="87" spans="1:29" ht="18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8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8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08"/>
      <c r="Y89" s="1"/>
      <c r="Z89" s="1"/>
      <c r="AA89" s="1"/>
      <c r="AB89" s="1"/>
      <c r="AC89" s="1"/>
    </row>
    <row r="90" spans="1:29" ht="18.75" customHeight="1" x14ac:dyDescent="0.3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</row>
    <row r="91" spans="1:29" ht="18.75" customHeight="1" x14ac:dyDescent="0.3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</row>
    <row r="92" spans="1:29" ht="18.75" customHeight="1" x14ac:dyDescent="0.3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</row>
    <row r="93" spans="1:29" ht="18.75" customHeight="1" x14ac:dyDescent="0.3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</row>
    <row r="94" spans="1:29" ht="18.75" customHeight="1" x14ac:dyDescent="0.3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</row>
    <row r="95" spans="1:29" ht="18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8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8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8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8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8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70"/>
      <c r="R100" s="105"/>
      <c r="S100" s="70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8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70"/>
      <c r="R101" s="105"/>
      <c r="S101" s="70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8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70"/>
      <c r="R102" s="105"/>
      <c r="S102" s="70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8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70"/>
      <c r="R103" s="105"/>
      <c r="S103" s="70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8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70"/>
      <c r="R104" s="105"/>
      <c r="S104" s="70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8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70"/>
      <c r="R105" s="105"/>
      <c r="S105" s="70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8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70"/>
      <c r="R106" s="105"/>
      <c r="S106" s="70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8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70"/>
      <c r="R107" s="105"/>
      <c r="S107" s="70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8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70"/>
      <c r="R108" s="105"/>
      <c r="S108" s="70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8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70"/>
      <c r="R109" s="105"/>
      <c r="S109" s="70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8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70"/>
      <c r="R110" s="105"/>
      <c r="S110" s="70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8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70"/>
      <c r="R111" s="105"/>
      <c r="S111" s="70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8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70"/>
      <c r="R112" s="105"/>
      <c r="S112" s="70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8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70"/>
      <c r="R113" s="105"/>
      <c r="S113" s="70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8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70"/>
      <c r="R114" s="105"/>
      <c r="S114" s="70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8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70"/>
      <c r="R115" s="105"/>
      <c r="S115" s="70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8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70"/>
      <c r="R116" s="105"/>
      <c r="S116" s="70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8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70"/>
      <c r="R117" s="105"/>
      <c r="S117" s="70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8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70"/>
      <c r="R118" s="105"/>
      <c r="S118" s="70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8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70"/>
      <c r="R119" s="105"/>
      <c r="S119" s="70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8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70"/>
      <c r="R120" s="105"/>
      <c r="S120" s="70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8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70"/>
      <c r="R121" s="105"/>
      <c r="S121" s="70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8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70"/>
      <c r="R122" s="105"/>
      <c r="S122" s="70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70"/>
      <c r="R123" s="105"/>
      <c r="S123" s="70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8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70"/>
      <c r="R124" s="105"/>
      <c r="S124" s="70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8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70"/>
      <c r="R125" s="105"/>
      <c r="S125" s="70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8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70"/>
      <c r="R126" s="105"/>
      <c r="S126" s="70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8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70"/>
      <c r="R127" s="105"/>
      <c r="S127" s="70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8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70"/>
      <c r="R128" s="105"/>
      <c r="S128" s="70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8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70"/>
      <c r="R129" s="105"/>
      <c r="S129" s="70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8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70"/>
      <c r="R130" s="105"/>
      <c r="S130" s="70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8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70"/>
      <c r="R131" s="105"/>
      <c r="S131" s="70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8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70"/>
      <c r="R132" s="105"/>
      <c r="S132" s="70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8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70"/>
      <c r="R133" s="105"/>
      <c r="S133" s="70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8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70"/>
      <c r="R134" s="105"/>
      <c r="S134" s="70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8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70"/>
      <c r="R135" s="105"/>
      <c r="S135" s="70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8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70"/>
      <c r="R136" s="105"/>
      <c r="S136" s="70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8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70"/>
      <c r="R137" s="105"/>
      <c r="S137" s="70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8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70"/>
      <c r="R138" s="105"/>
      <c r="S138" s="70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8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70"/>
      <c r="R139" s="105"/>
      <c r="S139" s="70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8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70"/>
      <c r="R140" s="105"/>
      <c r="S140" s="70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8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70"/>
      <c r="R141" s="105"/>
      <c r="S141" s="70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8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70"/>
      <c r="R142" s="105"/>
      <c r="S142" s="70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8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70"/>
      <c r="R143" s="105"/>
      <c r="S143" s="70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8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70"/>
      <c r="R144" s="105"/>
      <c r="S144" s="70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8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70"/>
      <c r="R145" s="105"/>
      <c r="S145" s="70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8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70"/>
      <c r="R146" s="105"/>
      <c r="S146" s="70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8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70"/>
      <c r="R147" s="105"/>
      <c r="S147" s="70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8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70"/>
      <c r="R148" s="105"/>
      <c r="S148" s="70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8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70"/>
      <c r="R149" s="105"/>
      <c r="S149" s="70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8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70"/>
      <c r="R150" s="105"/>
      <c r="S150" s="70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8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70"/>
      <c r="R151" s="105"/>
      <c r="S151" s="70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8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70"/>
      <c r="R152" s="105"/>
      <c r="S152" s="70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8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70"/>
      <c r="R153" s="105"/>
      <c r="S153" s="70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8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70"/>
      <c r="R154" s="105"/>
      <c r="S154" s="70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8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70"/>
      <c r="R155" s="105"/>
      <c r="S155" s="70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8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70"/>
      <c r="R156" s="105"/>
      <c r="S156" s="70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8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70"/>
      <c r="R157" s="105"/>
      <c r="S157" s="70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8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70"/>
      <c r="R158" s="105"/>
      <c r="S158" s="70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8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70"/>
      <c r="R159" s="105"/>
      <c r="S159" s="70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8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70"/>
      <c r="R160" s="105"/>
      <c r="S160" s="70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8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70"/>
      <c r="R161" s="105"/>
      <c r="S161" s="70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8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70"/>
      <c r="R162" s="105"/>
      <c r="S162" s="70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8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70"/>
      <c r="R163" s="105"/>
      <c r="S163" s="70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8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70"/>
      <c r="R164" s="105"/>
      <c r="S164" s="70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8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70"/>
      <c r="R165" s="105"/>
      <c r="S165" s="70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8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70"/>
      <c r="R166" s="105"/>
      <c r="S166" s="70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8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70"/>
      <c r="R167" s="105"/>
      <c r="S167" s="70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8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70"/>
      <c r="R168" s="105"/>
      <c r="S168" s="70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8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70"/>
      <c r="R169" s="105"/>
      <c r="S169" s="70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8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70"/>
      <c r="R170" s="105"/>
      <c r="S170" s="70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8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70"/>
      <c r="R171" s="105"/>
      <c r="S171" s="70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8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70"/>
      <c r="R172" s="105"/>
      <c r="S172" s="70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8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70"/>
      <c r="R173" s="105"/>
      <c r="S173" s="70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8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70"/>
      <c r="R174" s="105"/>
      <c r="S174" s="70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8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70"/>
      <c r="R175" s="105"/>
      <c r="S175" s="70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8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70"/>
      <c r="R176" s="105"/>
      <c r="S176" s="70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8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70"/>
      <c r="R177" s="105"/>
      <c r="S177" s="70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8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70"/>
      <c r="R178" s="105"/>
      <c r="S178" s="70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8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70"/>
      <c r="R179" s="105"/>
      <c r="S179" s="70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8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70"/>
      <c r="R180" s="105"/>
      <c r="S180" s="70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8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70"/>
      <c r="R181" s="105"/>
      <c r="S181" s="70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8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70"/>
      <c r="R182" s="105"/>
      <c r="S182" s="70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8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70"/>
      <c r="R183" s="105"/>
      <c r="S183" s="70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8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70"/>
      <c r="R184" s="105"/>
      <c r="S184" s="70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8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70"/>
      <c r="R185" s="105"/>
      <c r="S185" s="70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8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70"/>
      <c r="R186" s="105"/>
      <c r="S186" s="70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8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70"/>
      <c r="R187" s="105"/>
      <c r="S187" s="70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8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70"/>
      <c r="R188" s="105"/>
      <c r="S188" s="70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8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70"/>
      <c r="R189" s="105"/>
      <c r="S189" s="70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8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70"/>
      <c r="R190" s="105"/>
      <c r="S190" s="70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8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70"/>
      <c r="R191" s="105"/>
      <c r="S191" s="70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8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70"/>
      <c r="R192" s="105"/>
      <c r="S192" s="70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8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70"/>
      <c r="R193" s="105"/>
      <c r="S193" s="70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8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70"/>
      <c r="R194" s="105"/>
      <c r="S194" s="70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8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70"/>
      <c r="R195" s="105"/>
      <c r="S195" s="70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8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70"/>
      <c r="R196" s="105"/>
      <c r="S196" s="70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8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70"/>
      <c r="R197" s="105"/>
      <c r="S197" s="70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8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70"/>
      <c r="R198" s="105"/>
      <c r="S198" s="70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8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70"/>
      <c r="R199" s="105"/>
      <c r="S199" s="70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8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70"/>
      <c r="R200" s="105"/>
      <c r="S200" s="70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8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70"/>
      <c r="R201" s="105"/>
      <c r="S201" s="70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8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70"/>
      <c r="R202" s="105"/>
      <c r="S202" s="70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8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70"/>
      <c r="R203" s="105"/>
      <c r="S203" s="70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8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70"/>
      <c r="R204" s="105"/>
      <c r="S204" s="70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8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70"/>
      <c r="R205" s="105"/>
      <c r="S205" s="70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8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70"/>
      <c r="R206" s="105"/>
      <c r="S206" s="70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8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70"/>
      <c r="R207" s="105"/>
      <c r="S207" s="70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8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70"/>
      <c r="R208" s="105"/>
      <c r="S208" s="70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8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70"/>
      <c r="R209" s="105"/>
      <c r="S209" s="70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8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70"/>
      <c r="R210" s="105"/>
      <c r="S210" s="70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8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70"/>
      <c r="R211" s="105"/>
      <c r="S211" s="70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8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70"/>
      <c r="R212" s="105"/>
      <c r="S212" s="70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8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70"/>
      <c r="R213" s="105"/>
      <c r="S213" s="70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8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70"/>
      <c r="R214" s="105"/>
      <c r="S214" s="70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8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70"/>
      <c r="R215" s="105"/>
      <c r="S215" s="70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8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70"/>
      <c r="R216" s="105"/>
      <c r="S216" s="70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8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70"/>
      <c r="R217" s="105"/>
      <c r="S217" s="70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8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70"/>
      <c r="R218" s="105"/>
      <c r="S218" s="70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8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70"/>
      <c r="R219" s="105"/>
      <c r="S219" s="70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8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70"/>
      <c r="R220" s="105"/>
      <c r="S220" s="70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8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70"/>
      <c r="R221" s="105"/>
      <c r="S221" s="70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8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70"/>
      <c r="R222" s="105"/>
      <c r="S222" s="70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8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70"/>
      <c r="R223" s="105"/>
      <c r="S223" s="70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8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70"/>
      <c r="R224" s="105"/>
      <c r="S224" s="70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8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70"/>
      <c r="R225" s="105"/>
      <c r="S225" s="70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8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70"/>
      <c r="R226" s="105"/>
      <c r="S226" s="70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8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70"/>
      <c r="R227" s="105"/>
      <c r="S227" s="70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8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70"/>
      <c r="R228" s="105"/>
      <c r="S228" s="70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8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70"/>
      <c r="R229" s="105"/>
      <c r="S229" s="70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8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70"/>
      <c r="R230" s="105"/>
      <c r="S230" s="70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8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70"/>
      <c r="R231" s="105"/>
      <c r="S231" s="70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8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70"/>
      <c r="R232" s="105"/>
      <c r="S232" s="70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8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70"/>
      <c r="R233" s="105"/>
      <c r="S233" s="70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8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70"/>
      <c r="R234" s="105"/>
      <c r="S234" s="70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8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70"/>
      <c r="R235" s="105"/>
      <c r="S235" s="70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70"/>
      <c r="R236" s="105"/>
      <c r="S236" s="70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70"/>
      <c r="R237" s="105"/>
      <c r="S237" s="70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70"/>
      <c r="R238" s="105"/>
      <c r="S238" s="70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70"/>
      <c r="R239" s="105"/>
      <c r="S239" s="70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70"/>
      <c r="R240" s="105"/>
      <c r="S240" s="70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70"/>
      <c r="R241" s="105"/>
      <c r="S241" s="70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70"/>
      <c r="R242" s="105"/>
      <c r="S242" s="70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70"/>
      <c r="R243" s="105"/>
      <c r="S243" s="70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70"/>
      <c r="R244" s="105"/>
      <c r="S244" s="70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70"/>
      <c r="R245" s="105"/>
      <c r="S245" s="70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70"/>
      <c r="R246" s="105"/>
      <c r="S246" s="70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70"/>
      <c r="R247" s="105"/>
      <c r="S247" s="70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70"/>
      <c r="R248" s="105"/>
      <c r="S248" s="70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70"/>
      <c r="R249" s="105"/>
      <c r="S249" s="70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70"/>
      <c r="R250" s="105"/>
      <c r="S250" s="70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70"/>
      <c r="R251" s="105"/>
      <c r="S251" s="70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70"/>
      <c r="R252" s="105"/>
      <c r="S252" s="70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70"/>
      <c r="R253" s="105"/>
      <c r="S253" s="70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70"/>
      <c r="R254" s="105"/>
      <c r="S254" s="70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70"/>
      <c r="R255" s="105"/>
      <c r="S255" s="70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70"/>
      <c r="R256" s="105"/>
      <c r="S256" s="70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70"/>
      <c r="R257" s="105"/>
      <c r="S257" s="70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70"/>
      <c r="R258" s="105"/>
      <c r="S258" s="70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70"/>
      <c r="R259" s="105"/>
      <c r="S259" s="70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70"/>
      <c r="R260" s="105"/>
      <c r="S260" s="70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70"/>
      <c r="R261" s="105"/>
      <c r="S261" s="70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70"/>
      <c r="R262" s="105"/>
      <c r="S262" s="70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70"/>
      <c r="R263" s="105"/>
      <c r="S263" s="70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70"/>
      <c r="R264" s="105"/>
      <c r="S264" s="70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70"/>
      <c r="R265" s="105"/>
      <c r="S265" s="70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70"/>
      <c r="R266" s="105"/>
      <c r="S266" s="70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70"/>
      <c r="R267" s="105"/>
      <c r="S267" s="70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70"/>
      <c r="R268" s="105"/>
      <c r="S268" s="70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70"/>
      <c r="R269" s="105"/>
      <c r="S269" s="70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70"/>
      <c r="R270" s="105"/>
      <c r="S270" s="70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70"/>
      <c r="R271" s="105"/>
      <c r="S271" s="70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70"/>
      <c r="R272" s="105"/>
      <c r="S272" s="70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70"/>
      <c r="R273" s="105"/>
      <c r="S273" s="70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70"/>
      <c r="R274" s="105"/>
      <c r="S274" s="70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70"/>
      <c r="R275" s="105"/>
      <c r="S275" s="70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70"/>
      <c r="R276" s="105"/>
      <c r="S276" s="70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70"/>
      <c r="R277" s="105"/>
      <c r="S277" s="70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70"/>
      <c r="R278" s="105"/>
      <c r="S278" s="70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70"/>
      <c r="R279" s="105"/>
      <c r="S279" s="70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70"/>
      <c r="R280" s="105"/>
      <c r="S280" s="70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70"/>
      <c r="R281" s="105"/>
      <c r="S281" s="70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70"/>
      <c r="R282" s="105"/>
      <c r="S282" s="70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70"/>
      <c r="R283" s="105"/>
      <c r="S283" s="70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70"/>
      <c r="R284" s="105"/>
      <c r="S284" s="70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70"/>
      <c r="R285" s="105"/>
      <c r="S285" s="70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70"/>
      <c r="R286" s="105"/>
      <c r="S286" s="70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70"/>
      <c r="R287" s="105"/>
      <c r="S287" s="70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70"/>
      <c r="R288" s="105"/>
      <c r="S288" s="70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70"/>
      <c r="R289" s="105"/>
      <c r="S289" s="70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70"/>
      <c r="R290" s="105"/>
      <c r="S290" s="70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70"/>
      <c r="R291" s="105"/>
      <c r="S291" s="70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70"/>
      <c r="R292" s="105"/>
      <c r="S292" s="70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70"/>
      <c r="R293" s="105"/>
      <c r="S293" s="70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70"/>
      <c r="R294" s="105"/>
      <c r="S294" s="70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70"/>
      <c r="R295" s="105"/>
      <c r="S295" s="70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70"/>
      <c r="R296" s="105"/>
      <c r="S296" s="70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70"/>
      <c r="R297" s="105"/>
      <c r="S297" s="70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70"/>
      <c r="R298" s="105"/>
      <c r="S298" s="70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70"/>
      <c r="R299" s="105"/>
      <c r="S299" s="70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70"/>
      <c r="R300" s="105"/>
      <c r="S300" s="70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70"/>
      <c r="R301" s="105"/>
      <c r="S301" s="70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70"/>
      <c r="R302" s="105"/>
      <c r="S302" s="70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70"/>
      <c r="R303" s="105"/>
      <c r="S303" s="70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70"/>
      <c r="R304" s="105"/>
      <c r="S304" s="70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70"/>
      <c r="R305" s="105"/>
      <c r="S305" s="70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70"/>
      <c r="R306" s="105"/>
      <c r="S306" s="70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70"/>
      <c r="R307" s="105"/>
      <c r="S307" s="70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70"/>
      <c r="R308" s="105"/>
      <c r="S308" s="70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70"/>
      <c r="R309" s="105"/>
      <c r="S309" s="70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70"/>
      <c r="R310" s="105"/>
      <c r="S310" s="70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70"/>
      <c r="R311" s="105"/>
      <c r="S311" s="70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70"/>
      <c r="R312" s="105"/>
      <c r="S312" s="70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70"/>
      <c r="R313" s="105"/>
      <c r="S313" s="70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70"/>
      <c r="R314" s="105"/>
      <c r="S314" s="70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70"/>
      <c r="R315" s="105"/>
      <c r="S315" s="70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70"/>
      <c r="R316" s="105"/>
      <c r="S316" s="70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70"/>
      <c r="R317" s="105"/>
      <c r="S317" s="70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70"/>
      <c r="R318" s="105"/>
      <c r="S318" s="70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70"/>
      <c r="R319" s="105"/>
      <c r="S319" s="70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70"/>
      <c r="R320" s="105"/>
      <c r="S320" s="70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70"/>
      <c r="R321" s="105"/>
      <c r="S321" s="70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70"/>
      <c r="R322" s="105"/>
      <c r="S322" s="70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70"/>
      <c r="R323" s="105"/>
      <c r="S323" s="70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70"/>
      <c r="R324" s="105"/>
      <c r="S324" s="70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70"/>
      <c r="R325" s="105"/>
      <c r="S325" s="70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70"/>
      <c r="R326" s="105"/>
      <c r="S326" s="70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70"/>
      <c r="R327" s="105"/>
      <c r="S327" s="70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70"/>
      <c r="R328" s="105"/>
      <c r="S328" s="70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70"/>
      <c r="R329" s="105"/>
      <c r="S329" s="70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70"/>
      <c r="R330" s="105"/>
      <c r="S330" s="70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70"/>
      <c r="R331" s="105"/>
      <c r="S331" s="70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70"/>
      <c r="R332" s="105"/>
      <c r="S332" s="70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70"/>
      <c r="R333" s="105"/>
      <c r="S333" s="70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70"/>
      <c r="R334" s="105"/>
      <c r="S334" s="70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70"/>
      <c r="R335" s="105"/>
      <c r="S335" s="70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70"/>
      <c r="R336" s="105"/>
      <c r="S336" s="70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70"/>
      <c r="R337" s="105"/>
      <c r="S337" s="70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70"/>
      <c r="R338" s="105"/>
      <c r="S338" s="70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70"/>
      <c r="R339" s="105"/>
      <c r="S339" s="70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70"/>
      <c r="R340" s="105"/>
      <c r="S340" s="70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70"/>
      <c r="R341" s="105"/>
      <c r="S341" s="70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70"/>
      <c r="R342" s="105"/>
      <c r="S342" s="70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70"/>
      <c r="R343" s="105"/>
      <c r="S343" s="70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70"/>
      <c r="R344" s="105"/>
      <c r="S344" s="70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70"/>
      <c r="R345" s="105"/>
      <c r="S345" s="70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70"/>
      <c r="R346" s="105"/>
      <c r="S346" s="70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70"/>
      <c r="R347" s="105"/>
      <c r="S347" s="70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70"/>
      <c r="R348" s="105"/>
      <c r="S348" s="70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70"/>
      <c r="R349" s="105"/>
      <c r="S349" s="70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70"/>
      <c r="R350" s="105"/>
      <c r="S350" s="70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70"/>
      <c r="R351" s="105"/>
      <c r="S351" s="70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70"/>
      <c r="R352" s="105"/>
      <c r="S352" s="70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70"/>
      <c r="R353" s="105"/>
      <c r="S353" s="70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70"/>
      <c r="R354" s="105"/>
      <c r="S354" s="70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70"/>
      <c r="R355" s="105"/>
      <c r="S355" s="70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70"/>
      <c r="R356" s="105"/>
      <c r="S356" s="70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70"/>
      <c r="R357" s="105"/>
      <c r="S357" s="70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70"/>
      <c r="R358" s="105"/>
      <c r="S358" s="70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70"/>
      <c r="R359" s="105"/>
      <c r="S359" s="70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70"/>
      <c r="R360" s="105"/>
      <c r="S360" s="70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70"/>
      <c r="R361" s="105"/>
      <c r="S361" s="70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70"/>
      <c r="R362" s="105"/>
      <c r="S362" s="70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70"/>
      <c r="R363" s="105"/>
      <c r="S363" s="70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70"/>
      <c r="R364" s="105"/>
      <c r="S364" s="70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70"/>
      <c r="R365" s="105"/>
      <c r="S365" s="70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70"/>
      <c r="R366" s="105"/>
      <c r="S366" s="70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70"/>
      <c r="R367" s="105"/>
      <c r="S367" s="70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70"/>
      <c r="R368" s="105"/>
      <c r="S368" s="70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70"/>
      <c r="R369" s="105"/>
      <c r="S369" s="70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70"/>
      <c r="R370" s="105"/>
      <c r="S370" s="70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70"/>
      <c r="R371" s="105"/>
      <c r="S371" s="70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70"/>
      <c r="R372" s="105"/>
      <c r="S372" s="70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70"/>
      <c r="R373" s="105"/>
      <c r="S373" s="70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70"/>
      <c r="R374" s="105"/>
      <c r="S374" s="70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70"/>
      <c r="R375" s="105"/>
      <c r="S375" s="70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70"/>
      <c r="R376" s="105"/>
      <c r="S376" s="70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70"/>
      <c r="R377" s="105"/>
      <c r="S377" s="70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70"/>
      <c r="R378" s="105"/>
      <c r="S378" s="70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70"/>
      <c r="R379" s="105"/>
      <c r="S379" s="70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70"/>
      <c r="R380" s="105"/>
      <c r="S380" s="70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70"/>
      <c r="R381" s="105"/>
      <c r="S381" s="70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70"/>
      <c r="R382" s="105"/>
      <c r="S382" s="70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70"/>
      <c r="R383" s="105"/>
      <c r="S383" s="70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70"/>
      <c r="R384" s="105"/>
      <c r="S384" s="70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70"/>
      <c r="R385" s="105"/>
      <c r="S385" s="70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70"/>
      <c r="R386" s="105"/>
      <c r="S386" s="70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70"/>
      <c r="R387" s="105"/>
      <c r="S387" s="70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70"/>
      <c r="R388" s="105"/>
      <c r="S388" s="70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70"/>
      <c r="R389" s="105"/>
      <c r="S389" s="70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70"/>
      <c r="R390" s="105"/>
      <c r="S390" s="70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70"/>
      <c r="R391" s="105"/>
      <c r="S391" s="70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70"/>
      <c r="R392" s="105"/>
      <c r="S392" s="70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70"/>
      <c r="R393" s="105"/>
      <c r="S393" s="70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70"/>
      <c r="R394" s="105"/>
      <c r="S394" s="70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70"/>
      <c r="R395" s="105"/>
      <c r="S395" s="70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70"/>
      <c r="R396" s="105"/>
      <c r="S396" s="70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70"/>
      <c r="R397" s="105"/>
      <c r="S397" s="70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70"/>
      <c r="R398" s="105"/>
      <c r="S398" s="70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70"/>
      <c r="R399" s="105"/>
      <c r="S399" s="70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70"/>
      <c r="R400" s="105"/>
      <c r="S400" s="70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70"/>
      <c r="R401" s="105"/>
      <c r="S401" s="70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70"/>
      <c r="R402" s="105"/>
      <c r="S402" s="70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70"/>
      <c r="R403" s="105"/>
      <c r="S403" s="70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70"/>
      <c r="R404" s="105"/>
      <c r="S404" s="70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70"/>
      <c r="R405" s="105"/>
      <c r="S405" s="70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70"/>
      <c r="R406" s="105"/>
      <c r="S406" s="70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70"/>
      <c r="R407" s="105"/>
      <c r="S407" s="70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70"/>
      <c r="R408" s="105"/>
      <c r="S408" s="70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70"/>
      <c r="R409" s="105"/>
      <c r="S409" s="70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70"/>
      <c r="R410" s="105"/>
      <c r="S410" s="70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70"/>
      <c r="R411" s="105"/>
      <c r="S411" s="70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70"/>
      <c r="R412" s="105"/>
      <c r="S412" s="70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70"/>
      <c r="R413" s="105"/>
      <c r="S413" s="70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70"/>
      <c r="R414" s="105"/>
      <c r="S414" s="70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70"/>
      <c r="R415" s="105"/>
      <c r="S415" s="70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70"/>
      <c r="R416" s="105"/>
      <c r="S416" s="70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70"/>
      <c r="R417" s="105"/>
      <c r="S417" s="70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70"/>
      <c r="R418" s="105"/>
      <c r="S418" s="70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70"/>
      <c r="R419" s="105"/>
      <c r="S419" s="70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70"/>
      <c r="R420" s="105"/>
      <c r="S420" s="70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70"/>
      <c r="R421" s="105"/>
      <c r="S421" s="70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70"/>
      <c r="R422" s="105"/>
      <c r="S422" s="70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70"/>
      <c r="R423" s="105"/>
      <c r="S423" s="70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70"/>
      <c r="R424" s="105"/>
      <c r="S424" s="70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70"/>
      <c r="R425" s="105"/>
      <c r="S425" s="70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70"/>
      <c r="R426" s="105"/>
      <c r="S426" s="70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70"/>
      <c r="R427" s="105"/>
      <c r="S427" s="70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70"/>
      <c r="R428" s="105"/>
      <c r="S428" s="70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70"/>
      <c r="R429" s="105"/>
      <c r="S429" s="70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70"/>
      <c r="R430" s="105"/>
      <c r="S430" s="70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70"/>
      <c r="R431" s="105"/>
      <c r="S431" s="70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70"/>
      <c r="R432" s="105"/>
      <c r="S432" s="70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70"/>
      <c r="R433" s="105"/>
      <c r="S433" s="70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70"/>
      <c r="R434" s="105"/>
      <c r="S434" s="70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70"/>
      <c r="R435" s="105"/>
      <c r="S435" s="70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70"/>
      <c r="R436" s="105"/>
      <c r="S436" s="70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70"/>
      <c r="R437" s="105"/>
      <c r="S437" s="70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70"/>
      <c r="R438" s="105"/>
      <c r="S438" s="70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70"/>
      <c r="R439" s="105"/>
      <c r="S439" s="70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70"/>
      <c r="R440" s="105"/>
      <c r="S440" s="70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70"/>
      <c r="R441" s="105"/>
      <c r="S441" s="70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70"/>
      <c r="R442" s="105"/>
      <c r="S442" s="70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70"/>
      <c r="R443" s="105"/>
      <c r="S443" s="70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70"/>
      <c r="R444" s="105"/>
      <c r="S444" s="70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70"/>
      <c r="R445" s="105"/>
      <c r="S445" s="70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70"/>
      <c r="R446" s="105"/>
      <c r="S446" s="70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70"/>
      <c r="R447" s="105"/>
      <c r="S447" s="70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70"/>
      <c r="R448" s="105"/>
      <c r="S448" s="70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70"/>
      <c r="R449" s="105"/>
      <c r="S449" s="70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70"/>
      <c r="R450" s="105"/>
      <c r="S450" s="70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70"/>
      <c r="R451" s="105"/>
      <c r="S451" s="70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70"/>
      <c r="R452" s="105"/>
      <c r="S452" s="70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70"/>
      <c r="R453" s="105"/>
      <c r="S453" s="70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70"/>
      <c r="R454" s="105"/>
      <c r="S454" s="70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70"/>
      <c r="R455" s="105"/>
      <c r="S455" s="70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70"/>
      <c r="R456" s="105"/>
      <c r="S456" s="70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70"/>
      <c r="R457" s="105"/>
      <c r="S457" s="70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70"/>
      <c r="R458" s="105"/>
      <c r="S458" s="70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70"/>
      <c r="R459" s="105"/>
      <c r="S459" s="70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70"/>
      <c r="R460" s="105"/>
      <c r="S460" s="70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70"/>
      <c r="R461" s="105"/>
      <c r="S461" s="70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70"/>
      <c r="R462" s="105"/>
      <c r="S462" s="70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70"/>
      <c r="R463" s="105"/>
      <c r="S463" s="70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70"/>
      <c r="R464" s="105"/>
      <c r="S464" s="70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70"/>
      <c r="R465" s="105"/>
      <c r="S465" s="70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70"/>
      <c r="R466" s="105"/>
      <c r="S466" s="70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70"/>
      <c r="R467" s="105"/>
      <c r="S467" s="70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70"/>
      <c r="R468" s="105"/>
      <c r="S468" s="70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70"/>
      <c r="R469" s="105"/>
      <c r="S469" s="70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70"/>
      <c r="R470" s="105"/>
      <c r="S470" s="70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70"/>
      <c r="R471" s="105"/>
      <c r="S471" s="70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70"/>
      <c r="R472" s="105"/>
      <c r="S472" s="70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70"/>
      <c r="R473" s="105"/>
      <c r="S473" s="70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70"/>
      <c r="R474" s="105"/>
      <c r="S474" s="70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70"/>
      <c r="R475" s="105"/>
      <c r="S475" s="70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70"/>
      <c r="R476" s="105"/>
      <c r="S476" s="70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70"/>
      <c r="R477" s="105"/>
      <c r="S477" s="70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70"/>
      <c r="R478" s="105"/>
      <c r="S478" s="70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70"/>
      <c r="R479" s="105"/>
      <c r="S479" s="70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70"/>
      <c r="R480" s="105"/>
      <c r="S480" s="70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70"/>
      <c r="R481" s="105"/>
      <c r="S481" s="70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70"/>
      <c r="R482" s="105"/>
      <c r="S482" s="70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70"/>
      <c r="R483" s="105"/>
      <c r="S483" s="70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70"/>
      <c r="R484" s="105"/>
      <c r="S484" s="70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70"/>
      <c r="R485" s="105"/>
      <c r="S485" s="70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70"/>
      <c r="R486" s="105"/>
      <c r="S486" s="70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70"/>
      <c r="R487" s="105"/>
      <c r="S487" s="70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70"/>
      <c r="R488" s="105"/>
      <c r="S488" s="70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70"/>
      <c r="R489" s="105"/>
      <c r="S489" s="70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70"/>
      <c r="R490" s="105"/>
      <c r="S490" s="70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70"/>
      <c r="R491" s="105"/>
      <c r="S491" s="70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70"/>
      <c r="R492" s="105"/>
      <c r="S492" s="70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70"/>
      <c r="R493" s="105"/>
      <c r="S493" s="70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70"/>
      <c r="R494" s="105"/>
      <c r="S494" s="70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70"/>
      <c r="R495" s="105"/>
      <c r="S495" s="70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70"/>
      <c r="R496" s="105"/>
      <c r="S496" s="70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70"/>
      <c r="R497" s="105"/>
      <c r="S497" s="70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70"/>
      <c r="R498" s="105"/>
      <c r="S498" s="70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70"/>
      <c r="R499" s="105"/>
      <c r="S499" s="70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70"/>
      <c r="R500" s="105"/>
      <c r="S500" s="70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70"/>
      <c r="R501" s="105"/>
      <c r="S501" s="70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70"/>
      <c r="R502" s="105"/>
      <c r="S502" s="70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70"/>
      <c r="R503" s="105"/>
      <c r="S503" s="70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70"/>
      <c r="R504" s="105"/>
      <c r="S504" s="70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70"/>
      <c r="R505" s="105"/>
      <c r="S505" s="70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70"/>
      <c r="R506" s="105"/>
      <c r="S506" s="70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70"/>
      <c r="R507" s="105"/>
      <c r="S507" s="70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70"/>
      <c r="R508" s="105"/>
      <c r="S508" s="70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70"/>
      <c r="R509" s="105"/>
      <c r="S509" s="70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70"/>
      <c r="R510" s="105"/>
      <c r="S510" s="70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70"/>
      <c r="R511" s="105"/>
      <c r="S511" s="70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70"/>
      <c r="R512" s="105"/>
      <c r="S512" s="70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70"/>
      <c r="R513" s="105"/>
      <c r="S513" s="70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70"/>
      <c r="R514" s="105"/>
      <c r="S514" s="70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70"/>
      <c r="R515" s="105"/>
      <c r="S515" s="70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70"/>
      <c r="R516" s="105"/>
      <c r="S516" s="70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70"/>
      <c r="R517" s="105"/>
      <c r="S517" s="70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70"/>
      <c r="R518" s="105"/>
      <c r="S518" s="70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70"/>
      <c r="R519" s="105"/>
      <c r="S519" s="70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70"/>
      <c r="R520" s="105"/>
      <c r="S520" s="70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70"/>
      <c r="R521" s="105"/>
      <c r="S521" s="70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70"/>
      <c r="R522" s="105"/>
      <c r="S522" s="70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70"/>
      <c r="R523" s="105"/>
      <c r="S523" s="70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70"/>
      <c r="R524" s="105"/>
      <c r="S524" s="70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70"/>
      <c r="R525" s="105"/>
      <c r="S525" s="70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70"/>
      <c r="R526" s="105"/>
      <c r="S526" s="70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70"/>
      <c r="R527" s="105"/>
      <c r="S527" s="70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70"/>
      <c r="R528" s="105"/>
      <c r="S528" s="70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70"/>
      <c r="R529" s="105"/>
      <c r="S529" s="70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70"/>
      <c r="R530" s="105"/>
      <c r="S530" s="70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70"/>
      <c r="R531" s="105"/>
      <c r="S531" s="70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70"/>
      <c r="R532" s="105"/>
      <c r="S532" s="70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70"/>
      <c r="R533" s="105"/>
      <c r="S533" s="70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70"/>
      <c r="R534" s="105"/>
      <c r="S534" s="70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70"/>
      <c r="R535" s="105"/>
      <c r="S535" s="70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70"/>
      <c r="R536" s="105"/>
      <c r="S536" s="70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70"/>
      <c r="R537" s="105"/>
      <c r="S537" s="70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70"/>
      <c r="R538" s="105"/>
      <c r="S538" s="70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70"/>
      <c r="R539" s="105"/>
      <c r="S539" s="70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70"/>
      <c r="R540" s="105"/>
      <c r="S540" s="70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70"/>
      <c r="R541" s="105"/>
      <c r="S541" s="70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70"/>
      <c r="R542" s="105"/>
      <c r="S542" s="70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70"/>
      <c r="R543" s="105"/>
      <c r="S543" s="70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70"/>
      <c r="R544" s="105"/>
      <c r="S544" s="70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70"/>
      <c r="R545" s="105"/>
      <c r="S545" s="70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70"/>
      <c r="R546" s="105"/>
      <c r="S546" s="70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70"/>
      <c r="R547" s="105"/>
      <c r="S547" s="70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70"/>
      <c r="R548" s="105"/>
      <c r="S548" s="70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70"/>
      <c r="R549" s="105"/>
      <c r="S549" s="70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70"/>
      <c r="R550" s="105"/>
      <c r="S550" s="70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70"/>
      <c r="R551" s="105"/>
      <c r="S551" s="70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70"/>
      <c r="R552" s="105"/>
      <c r="S552" s="70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70"/>
      <c r="R553" s="105"/>
      <c r="S553" s="70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70"/>
      <c r="R554" s="105"/>
      <c r="S554" s="70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70"/>
      <c r="R555" s="105"/>
      <c r="S555" s="70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70"/>
      <c r="R556" s="105"/>
      <c r="S556" s="70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70"/>
      <c r="R557" s="105"/>
      <c r="S557" s="70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70"/>
      <c r="R558" s="105"/>
      <c r="S558" s="70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70"/>
      <c r="R559" s="105"/>
      <c r="S559" s="70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8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70"/>
      <c r="R560" s="105"/>
      <c r="S560" s="70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8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70"/>
      <c r="R561" s="105"/>
      <c r="S561" s="70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8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70"/>
      <c r="R562" s="105"/>
      <c r="S562" s="70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8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70"/>
      <c r="R563" s="105"/>
      <c r="S563" s="70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8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70"/>
      <c r="R564" s="105"/>
      <c r="S564" s="70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8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70"/>
      <c r="R565" s="105"/>
      <c r="S565" s="70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8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70"/>
      <c r="R566" s="105"/>
      <c r="S566" s="70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8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70"/>
      <c r="R567" s="105"/>
      <c r="S567" s="70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8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70"/>
      <c r="R568" s="105"/>
      <c r="S568" s="70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8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70"/>
      <c r="R569" s="105"/>
      <c r="S569" s="70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8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70"/>
      <c r="R570" s="105"/>
      <c r="S570" s="70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8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70"/>
      <c r="R571" s="105"/>
      <c r="S571" s="70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8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70"/>
      <c r="R572" s="105"/>
      <c r="S572" s="70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8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70"/>
      <c r="R573" s="105"/>
      <c r="S573" s="70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8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70"/>
      <c r="R574" s="105"/>
      <c r="S574" s="70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8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70"/>
      <c r="R575" s="105"/>
      <c r="S575" s="70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8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70"/>
      <c r="R576" s="105"/>
      <c r="S576" s="70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8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70"/>
      <c r="R577" s="105"/>
      <c r="S577" s="70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8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70"/>
      <c r="R578" s="105"/>
      <c r="S578" s="70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8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70"/>
      <c r="R579" s="105"/>
      <c r="S579" s="70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8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70"/>
      <c r="R580" s="105"/>
      <c r="S580" s="70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8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70"/>
      <c r="R581" s="105"/>
      <c r="S581" s="70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8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70"/>
      <c r="R582" s="105"/>
      <c r="S582" s="70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8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70"/>
      <c r="R583" s="105"/>
      <c r="S583" s="70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8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70"/>
      <c r="R584" s="105"/>
      <c r="S584" s="70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8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70"/>
      <c r="R585" s="105"/>
      <c r="S585" s="70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8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70"/>
      <c r="R586" s="105"/>
      <c r="S586" s="70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8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70"/>
      <c r="R587" s="105"/>
      <c r="S587" s="70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8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70"/>
      <c r="R588" s="105"/>
      <c r="S588" s="70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8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70"/>
      <c r="R589" s="105"/>
      <c r="S589" s="70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8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70"/>
      <c r="R590" s="105"/>
      <c r="S590" s="70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8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70"/>
      <c r="R591" s="105"/>
      <c r="S591" s="70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8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70"/>
      <c r="R592" s="105"/>
      <c r="S592" s="70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8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70"/>
      <c r="R593" s="105"/>
      <c r="S593" s="70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8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70"/>
      <c r="R594" s="105"/>
      <c r="S594" s="70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8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70"/>
      <c r="R595" s="105"/>
      <c r="S595" s="70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8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70"/>
      <c r="R596" s="105"/>
      <c r="S596" s="70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8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70"/>
      <c r="R597" s="105"/>
      <c r="S597" s="70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8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70"/>
      <c r="R598" s="105"/>
      <c r="S598" s="70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8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70"/>
      <c r="R599" s="105"/>
      <c r="S599" s="70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8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70"/>
      <c r="R600" s="105"/>
      <c r="S600" s="70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8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70"/>
      <c r="R601" s="105"/>
      <c r="S601" s="70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8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70"/>
      <c r="R602" s="105"/>
      <c r="S602" s="70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8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70"/>
      <c r="R603" s="105"/>
      <c r="S603" s="70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8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70"/>
      <c r="R604" s="105"/>
      <c r="S604" s="70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8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70"/>
      <c r="R605" s="105"/>
      <c r="S605" s="70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8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70"/>
      <c r="R606" s="105"/>
      <c r="S606" s="70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8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70"/>
      <c r="R607" s="105"/>
      <c r="S607" s="70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8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70"/>
      <c r="R608" s="105"/>
      <c r="S608" s="70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8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70"/>
      <c r="R609" s="105"/>
      <c r="S609" s="70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8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70"/>
      <c r="R610" s="105"/>
      <c r="S610" s="70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8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70"/>
      <c r="R611" s="105"/>
      <c r="S611" s="70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8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70"/>
      <c r="R612" s="105"/>
      <c r="S612" s="70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8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70"/>
      <c r="R613" s="105"/>
      <c r="S613" s="70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8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70"/>
      <c r="R614" s="105"/>
      <c r="S614" s="70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8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70"/>
      <c r="R615" s="105"/>
      <c r="S615" s="70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8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70"/>
      <c r="R616" s="105"/>
      <c r="S616" s="70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8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70"/>
      <c r="R617" s="105"/>
      <c r="S617" s="70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8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70"/>
      <c r="R618" s="105"/>
      <c r="S618" s="70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8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70"/>
      <c r="R619" s="105"/>
      <c r="S619" s="70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8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70"/>
      <c r="R620" s="105"/>
      <c r="S620" s="70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8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70"/>
      <c r="R621" s="105"/>
      <c r="S621" s="70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8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70"/>
      <c r="R622" s="105"/>
      <c r="S622" s="70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8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70"/>
      <c r="R623" s="105"/>
      <c r="S623" s="70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8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70"/>
      <c r="R624" s="105"/>
      <c r="S624" s="70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8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70"/>
      <c r="R625" s="105"/>
      <c r="S625" s="70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8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70"/>
      <c r="R626" s="105"/>
      <c r="S626" s="70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8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70"/>
      <c r="R627" s="105"/>
      <c r="S627" s="70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8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70"/>
      <c r="R628" s="105"/>
      <c r="S628" s="70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8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70"/>
      <c r="R629" s="105"/>
      <c r="S629" s="70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8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70"/>
      <c r="R630" s="105"/>
      <c r="S630" s="70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8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70"/>
      <c r="R631" s="105"/>
      <c r="S631" s="70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8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70"/>
      <c r="R632" s="105"/>
      <c r="S632" s="70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8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70"/>
      <c r="R633" s="105"/>
      <c r="S633" s="70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8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70"/>
      <c r="R634" s="105"/>
      <c r="S634" s="70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8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70"/>
      <c r="R635" s="105"/>
      <c r="S635" s="70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8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70"/>
      <c r="R636" s="105"/>
      <c r="S636" s="70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8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70"/>
      <c r="R637" s="105"/>
      <c r="S637" s="70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8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70"/>
      <c r="R638" s="105"/>
      <c r="S638" s="70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8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70"/>
      <c r="R639" s="105"/>
      <c r="S639" s="70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8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70"/>
      <c r="R640" s="105"/>
      <c r="S640" s="70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8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70"/>
      <c r="R641" s="105"/>
      <c r="S641" s="70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8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70"/>
      <c r="R642" s="105"/>
      <c r="S642" s="70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8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70"/>
      <c r="R643" s="105"/>
      <c r="S643" s="70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8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70"/>
      <c r="R644" s="105"/>
      <c r="S644" s="70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8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70"/>
      <c r="R645" s="105"/>
      <c r="S645" s="70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8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70"/>
      <c r="R646" s="105"/>
      <c r="S646" s="70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8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70"/>
      <c r="R647" s="105"/>
      <c r="S647" s="70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8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70"/>
      <c r="R648" s="105"/>
      <c r="S648" s="70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8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70"/>
      <c r="R649" s="105"/>
      <c r="S649" s="70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8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70"/>
      <c r="R650" s="105"/>
      <c r="S650" s="70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8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70"/>
      <c r="R651" s="105"/>
      <c r="S651" s="70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8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70"/>
      <c r="R652" s="105"/>
      <c r="S652" s="70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8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70"/>
      <c r="R653" s="105"/>
      <c r="S653" s="70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8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70"/>
      <c r="R654" s="105"/>
      <c r="S654" s="70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8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70"/>
      <c r="R655" s="105"/>
      <c r="S655" s="70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8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70"/>
      <c r="R656" s="105"/>
      <c r="S656" s="70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8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70"/>
      <c r="R657" s="105"/>
      <c r="S657" s="70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8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70"/>
      <c r="R658" s="105"/>
      <c r="S658" s="70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8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70"/>
      <c r="R659" s="105"/>
      <c r="S659" s="70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8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70"/>
      <c r="R660" s="105"/>
      <c r="S660" s="70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8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70"/>
      <c r="R661" s="105"/>
      <c r="S661" s="70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8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70"/>
      <c r="R662" s="105"/>
      <c r="S662" s="70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8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70"/>
      <c r="R663" s="105"/>
      <c r="S663" s="70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8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70"/>
      <c r="R664" s="105"/>
      <c r="S664" s="70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8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70"/>
      <c r="R665" s="105"/>
      <c r="S665" s="70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8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70"/>
      <c r="R666" s="105"/>
      <c r="S666" s="70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8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70"/>
      <c r="R667" s="105"/>
      <c r="S667" s="70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8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70"/>
      <c r="R668" s="105"/>
      <c r="S668" s="70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8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70"/>
      <c r="R669" s="105"/>
      <c r="S669" s="70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8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70"/>
      <c r="R670" s="105"/>
      <c r="S670" s="70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8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70"/>
      <c r="R671" s="105"/>
      <c r="S671" s="70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8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70"/>
      <c r="R672" s="105"/>
      <c r="S672" s="70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8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70"/>
      <c r="R673" s="105"/>
      <c r="S673" s="70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8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70"/>
      <c r="R674" s="105"/>
      <c r="S674" s="70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8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70"/>
      <c r="R675" s="105"/>
      <c r="S675" s="70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8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70"/>
      <c r="R676" s="105"/>
      <c r="S676" s="70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8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70"/>
      <c r="R677" s="105"/>
      <c r="S677" s="70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8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70"/>
      <c r="R678" s="105"/>
      <c r="S678" s="70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8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70"/>
      <c r="R679" s="105"/>
      <c r="S679" s="70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8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70"/>
      <c r="R680" s="105"/>
      <c r="S680" s="70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8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70"/>
      <c r="R681" s="105"/>
      <c r="S681" s="70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8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70"/>
      <c r="R682" s="105"/>
      <c r="S682" s="70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8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70"/>
      <c r="R683" s="105"/>
      <c r="S683" s="70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8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70"/>
      <c r="R684" s="105"/>
      <c r="S684" s="70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8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70"/>
      <c r="R685" s="105"/>
      <c r="S685" s="70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8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70"/>
      <c r="R686" s="105"/>
      <c r="S686" s="70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8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70"/>
      <c r="R687" s="105"/>
      <c r="S687" s="70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8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70"/>
      <c r="R688" s="105"/>
      <c r="S688" s="70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8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70"/>
      <c r="R689" s="105"/>
      <c r="S689" s="70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8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70"/>
      <c r="R690" s="105"/>
      <c r="S690" s="70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8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70"/>
      <c r="R691" s="105"/>
      <c r="S691" s="70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8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70"/>
      <c r="R692" s="105"/>
      <c r="S692" s="70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8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70"/>
      <c r="R693" s="105"/>
      <c r="S693" s="70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8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70"/>
      <c r="R694" s="105"/>
      <c r="S694" s="70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8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70"/>
      <c r="R695" s="105"/>
      <c r="S695" s="70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8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70"/>
      <c r="R696" s="105"/>
      <c r="S696" s="70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8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70"/>
      <c r="R697" s="105"/>
      <c r="S697" s="70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8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70"/>
      <c r="R698" s="105"/>
      <c r="S698" s="70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8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70"/>
      <c r="R699" s="105"/>
      <c r="S699" s="70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8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70"/>
      <c r="R700" s="105"/>
      <c r="S700" s="70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8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70"/>
      <c r="R701" s="105"/>
      <c r="S701" s="70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8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70"/>
      <c r="R702" s="105"/>
      <c r="S702" s="70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8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70"/>
      <c r="R703" s="105"/>
      <c r="S703" s="70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8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70"/>
      <c r="R704" s="105"/>
      <c r="S704" s="70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8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70"/>
      <c r="R705" s="105"/>
      <c r="S705" s="70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8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70"/>
      <c r="R706" s="105"/>
      <c r="S706" s="70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8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70"/>
      <c r="R707" s="105"/>
      <c r="S707" s="70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8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70"/>
      <c r="R708" s="105"/>
      <c r="S708" s="70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8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70"/>
      <c r="R709" s="105"/>
      <c r="S709" s="70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8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70"/>
      <c r="R710" s="105"/>
      <c r="S710" s="70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8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70"/>
      <c r="R711" s="105"/>
      <c r="S711" s="70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8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70"/>
      <c r="R712" s="105"/>
      <c r="S712" s="70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8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70"/>
      <c r="R713" s="105"/>
      <c r="S713" s="70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8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70"/>
      <c r="R714" s="105"/>
      <c r="S714" s="70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8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70"/>
      <c r="R715" s="105"/>
      <c r="S715" s="70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8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70"/>
      <c r="R716" s="105"/>
      <c r="S716" s="70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8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70"/>
      <c r="R717" s="105"/>
      <c r="S717" s="70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8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70"/>
      <c r="R718" s="105"/>
      <c r="S718" s="70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8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70"/>
      <c r="R719" s="105"/>
      <c r="S719" s="70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8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70"/>
      <c r="R720" s="105"/>
      <c r="S720" s="70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8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70"/>
      <c r="R721" s="105"/>
      <c r="S721" s="70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8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70"/>
      <c r="R722" s="105"/>
      <c r="S722" s="70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8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70"/>
      <c r="R723" s="105"/>
      <c r="S723" s="70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8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70"/>
      <c r="R724" s="105"/>
      <c r="S724" s="70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8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70"/>
      <c r="R725" s="105"/>
      <c r="S725" s="70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8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70"/>
      <c r="R726" s="105"/>
      <c r="S726" s="70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8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70"/>
      <c r="R727" s="105"/>
      <c r="S727" s="70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8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70"/>
      <c r="R728" s="105"/>
      <c r="S728" s="70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8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70"/>
      <c r="R729" s="105"/>
      <c r="S729" s="70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8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70"/>
      <c r="R730" s="105"/>
      <c r="S730" s="70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8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70"/>
      <c r="R731" s="105"/>
      <c r="S731" s="70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8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70"/>
      <c r="R732" s="105"/>
      <c r="S732" s="70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8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70"/>
      <c r="R733" s="105"/>
      <c r="S733" s="70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8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70"/>
      <c r="R734" s="105"/>
      <c r="S734" s="70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8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70"/>
      <c r="R735" s="105"/>
      <c r="S735" s="70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8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70"/>
      <c r="R736" s="105"/>
      <c r="S736" s="70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8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70"/>
      <c r="R737" s="105"/>
      <c r="S737" s="70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8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70"/>
      <c r="R738" s="105"/>
      <c r="S738" s="70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8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70"/>
      <c r="R739" s="105"/>
      <c r="S739" s="70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8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70"/>
      <c r="R740" s="105"/>
      <c r="S740" s="70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8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70"/>
      <c r="R741" s="105"/>
      <c r="S741" s="70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8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70"/>
      <c r="R742" s="105"/>
      <c r="S742" s="70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8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70"/>
      <c r="R743" s="105"/>
      <c r="S743" s="70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8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70"/>
      <c r="R744" s="105"/>
      <c r="S744" s="70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8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70"/>
      <c r="R745" s="105"/>
      <c r="S745" s="70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8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70"/>
      <c r="R746" s="105"/>
      <c r="S746" s="70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8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70"/>
      <c r="R747" s="105"/>
      <c r="S747" s="70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8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70"/>
      <c r="R748" s="105"/>
      <c r="S748" s="70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8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70"/>
      <c r="R749" s="105"/>
      <c r="S749" s="70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8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70"/>
      <c r="R750" s="105"/>
      <c r="S750" s="70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8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70"/>
      <c r="R751" s="105"/>
      <c r="S751" s="70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8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70"/>
      <c r="R752" s="105"/>
      <c r="S752" s="70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8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70"/>
      <c r="R753" s="105"/>
      <c r="S753" s="70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8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70"/>
      <c r="R754" s="105"/>
      <c r="S754" s="70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8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70"/>
      <c r="R755" s="105"/>
      <c r="S755" s="70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8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70"/>
      <c r="R756" s="105"/>
      <c r="S756" s="70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8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70"/>
      <c r="R757" s="105"/>
      <c r="S757" s="70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8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70"/>
      <c r="R758" s="105"/>
      <c r="S758" s="70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8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70"/>
      <c r="R759" s="105"/>
      <c r="S759" s="70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8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70"/>
      <c r="R760" s="105"/>
      <c r="S760" s="70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8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70"/>
      <c r="R761" s="105"/>
      <c r="S761" s="70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8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70"/>
      <c r="R762" s="105"/>
      <c r="S762" s="70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8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70"/>
      <c r="R763" s="105"/>
      <c r="S763" s="70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8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70"/>
      <c r="R764" s="105"/>
      <c r="S764" s="70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8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70"/>
      <c r="R765" s="105"/>
      <c r="S765" s="70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8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70"/>
      <c r="R766" s="105"/>
      <c r="S766" s="70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8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70"/>
      <c r="R767" s="105"/>
      <c r="S767" s="70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8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70"/>
      <c r="R768" s="105"/>
      <c r="S768" s="70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8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70"/>
      <c r="R769" s="105"/>
      <c r="S769" s="70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8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70"/>
      <c r="R770" s="105"/>
      <c r="S770" s="70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8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70"/>
      <c r="R771" s="105"/>
      <c r="S771" s="70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8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70"/>
      <c r="R772" s="105"/>
      <c r="S772" s="70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8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70"/>
      <c r="R773" s="105"/>
      <c r="S773" s="70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8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70"/>
      <c r="R774" s="105"/>
      <c r="S774" s="70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8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70"/>
      <c r="R775" s="105"/>
      <c r="S775" s="70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8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70"/>
      <c r="R776" s="105"/>
      <c r="S776" s="70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8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70"/>
      <c r="R777" s="105"/>
      <c r="S777" s="70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8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70"/>
      <c r="R778" s="105"/>
      <c r="S778" s="70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8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70"/>
      <c r="R779" s="105"/>
      <c r="S779" s="70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8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70"/>
      <c r="R780" s="105"/>
      <c r="S780" s="70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8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70"/>
      <c r="R781" s="105"/>
      <c r="S781" s="70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8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70"/>
      <c r="R782" s="105"/>
      <c r="S782" s="70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8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70"/>
      <c r="R783" s="105"/>
      <c r="S783" s="70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8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70"/>
      <c r="R784" s="105"/>
      <c r="S784" s="70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8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70"/>
      <c r="R785" s="105"/>
      <c r="S785" s="70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8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70"/>
      <c r="R786" s="105"/>
      <c r="S786" s="70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8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70"/>
      <c r="R787" s="105"/>
      <c r="S787" s="70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8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70"/>
      <c r="R788" s="105"/>
      <c r="S788" s="70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8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70"/>
      <c r="R789" s="105"/>
      <c r="S789" s="70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8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70"/>
      <c r="R790" s="105"/>
      <c r="S790" s="70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8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70"/>
      <c r="R791" s="105"/>
      <c r="S791" s="70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8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70"/>
      <c r="R792" s="105"/>
      <c r="S792" s="70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8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70"/>
      <c r="R793" s="105"/>
      <c r="S793" s="70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8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70"/>
      <c r="R794" s="105"/>
      <c r="S794" s="70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8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70"/>
      <c r="R795" s="105"/>
      <c r="S795" s="70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8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70"/>
      <c r="R796" s="105"/>
      <c r="S796" s="70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8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70"/>
      <c r="R797" s="105"/>
      <c r="S797" s="70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8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70"/>
      <c r="R798" s="105"/>
      <c r="S798" s="70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8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70"/>
      <c r="R799" s="105"/>
      <c r="S799" s="70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8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70"/>
      <c r="R800" s="105"/>
      <c r="S800" s="70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8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70"/>
      <c r="R801" s="105"/>
      <c r="S801" s="70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8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70"/>
      <c r="R802" s="105"/>
      <c r="S802" s="70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8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70"/>
      <c r="R803" s="105"/>
      <c r="S803" s="70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8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70"/>
      <c r="R804" s="105"/>
      <c r="S804" s="70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8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70"/>
      <c r="R805" s="105"/>
      <c r="S805" s="70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8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70"/>
      <c r="R806" s="105"/>
      <c r="S806" s="70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8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70"/>
      <c r="R807" s="105"/>
      <c r="S807" s="70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8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70"/>
      <c r="R808" s="105"/>
      <c r="S808" s="70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8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70"/>
      <c r="R809" s="105"/>
      <c r="S809" s="70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8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70"/>
      <c r="R810" s="105"/>
      <c r="S810" s="70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8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70"/>
      <c r="R811" s="105"/>
      <c r="S811" s="70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8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70"/>
      <c r="R812" s="105"/>
      <c r="S812" s="70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8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70"/>
      <c r="R813" s="105"/>
      <c r="S813" s="70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8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70"/>
      <c r="R814" s="105"/>
      <c r="S814" s="70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8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70"/>
      <c r="R815" s="105"/>
      <c r="S815" s="70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8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70"/>
      <c r="R816" s="105"/>
      <c r="S816" s="70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8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70"/>
      <c r="R817" s="105"/>
      <c r="S817" s="70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8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70"/>
      <c r="R818" s="105"/>
      <c r="S818" s="70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8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70"/>
      <c r="R819" s="105"/>
      <c r="S819" s="70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8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70"/>
      <c r="R820" s="105"/>
      <c r="S820" s="70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8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70"/>
      <c r="R821" s="105"/>
      <c r="S821" s="70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8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70"/>
      <c r="R822" s="105"/>
      <c r="S822" s="70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8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70"/>
      <c r="R823" s="105"/>
      <c r="S823" s="70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8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70"/>
      <c r="R824" s="105"/>
      <c r="S824" s="70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8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70"/>
      <c r="R825" s="105"/>
      <c r="S825" s="70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8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70"/>
      <c r="R826" s="105"/>
      <c r="S826" s="70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8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70"/>
      <c r="R827" s="105"/>
      <c r="S827" s="70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8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70"/>
      <c r="R828" s="105"/>
      <c r="S828" s="70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8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70"/>
      <c r="R829" s="105"/>
      <c r="S829" s="70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8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70"/>
      <c r="R830" s="105"/>
      <c r="S830" s="70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8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70"/>
      <c r="R831" s="105"/>
      <c r="S831" s="70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8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70"/>
      <c r="R832" s="105"/>
      <c r="S832" s="70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8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70"/>
      <c r="R833" s="105"/>
      <c r="S833" s="70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8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70"/>
      <c r="R834" s="105"/>
      <c r="S834" s="70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8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70"/>
      <c r="R835" s="105"/>
      <c r="S835" s="70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8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70"/>
      <c r="R836" s="105"/>
      <c r="S836" s="70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8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70"/>
      <c r="R837" s="105"/>
      <c r="S837" s="70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8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70"/>
      <c r="R838" s="105"/>
      <c r="S838" s="70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8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70"/>
      <c r="R839" s="105"/>
      <c r="S839" s="70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8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70"/>
      <c r="R840" s="105"/>
      <c r="S840" s="70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8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70"/>
      <c r="R841" s="105"/>
      <c r="S841" s="70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8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70"/>
      <c r="R842" s="105"/>
      <c r="S842" s="70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8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70"/>
      <c r="R843" s="105"/>
      <c r="S843" s="70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8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70"/>
      <c r="R844" s="105"/>
      <c r="S844" s="70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8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70"/>
      <c r="R845" s="105"/>
      <c r="S845" s="70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8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70"/>
      <c r="R846" s="105"/>
      <c r="S846" s="70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8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70"/>
      <c r="R847" s="105"/>
      <c r="S847" s="70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8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70"/>
      <c r="R848" s="105"/>
      <c r="S848" s="70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8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70"/>
      <c r="R849" s="105"/>
      <c r="S849" s="70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8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70"/>
      <c r="R850" s="105"/>
      <c r="S850" s="70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8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70"/>
      <c r="R851" s="105"/>
      <c r="S851" s="70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8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70"/>
      <c r="R852" s="105"/>
      <c r="S852" s="70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8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70"/>
      <c r="R853" s="105"/>
      <c r="S853" s="70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8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70"/>
      <c r="R854" s="105"/>
      <c r="S854" s="70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8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70"/>
      <c r="R855" s="105"/>
      <c r="S855" s="70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8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70"/>
      <c r="R856" s="105"/>
      <c r="S856" s="70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8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70"/>
      <c r="R857" s="105"/>
      <c r="S857" s="70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8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70"/>
      <c r="R858" s="105"/>
      <c r="S858" s="70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8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70"/>
      <c r="R859" s="105"/>
      <c r="S859" s="70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8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70"/>
      <c r="R860" s="105"/>
      <c r="S860" s="70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8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70"/>
      <c r="R861" s="105"/>
      <c r="S861" s="70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8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70"/>
      <c r="R862" s="105"/>
      <c r="S862" s="70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8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70"/>
      <c r="R863" s="105"/>
      <c r="S863" s="70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8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70"/>
      <c r="R864" s="105"/>
      <c r="S864" s="70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8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70"/>
      <c r="R865" s="105"/>
      <c r="S865" s="70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8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70"/>
      <c r="R866" s="105"/>
      <c r="S866" s="70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8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70"/>
      <c r="R867" s="105"/>
      <c r="S867" s="70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8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70"/>
      <c r="R868" s="105"/>
      <c r="S868" s="70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8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70"/>
      <c r="R869" s="105"/>
      <c r="S869" s="70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8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70"/>
      <c r="R870" s="105"/>
      <c r="S870" s="70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8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70"/>
      <c r="R871" s="105"/>
      <c r="S871" s="70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8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70"/>
      <c r="R872" s="105"/>
      <c r="S872" s="70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8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70"/>
      <c r="R873" s="105"/>
      <c r="S873" s="70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8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70"/>
      <c r="R874" s="105"/>
      <c r="S874" s="70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8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70"/>
      <c r="R875" s="105"/>
      <c r="S875" s="70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8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70"/>
      <c r="R876" s="105"/>
      <c r="S876" s="70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8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70"/>
      <c r="R877" s="105"/>
      <c r="S877" s="70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8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70"/>
      <c r="R878" s="105"/>
      <c r="S878" s="70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8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70"/>
      <c r="R879" s="105"/>
      <c r="S879" s="70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8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70"/>
      <c r="R880" s="105"/>
      <c r="S880" s="70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8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70"/>
      <c r="R881" s="105"/>
      <c r="S881" s="70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8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70"/>
      <c r="R882" s="105"/>
      <c r="S882" s="70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8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70"/>
      <c r="R883" s="105"/>
      <c r="S883" s="70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8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70"/>
      <c r="R884" s="105"/>
      <c r="S884" s="70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8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70"/>
      <c r="R885" s="105"/>
      <c r="S885" s="70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8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70"/>
      <c r="R886" s="105"/>
      <c r="S886" s="70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8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70"/>
      <c r="R887" s="105"/>
      <c r="S887" s="70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8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70"/>
      <c r="R888" s="105"/>
      <c r="S888" s="70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8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70"/>
      <c r="R889" s="105"/>
      <c r="S889" s="70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8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70"/>
      <c r="R890" s="105"/>
      <c r="S890" s="70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8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70"/>
      <c r="R891" s="105"/>
      <c r="S891" s="70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8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70"/>
      <c r="R892" s="105"/>
      <c r="S892" s="70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8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70"/>
      <c r="R893" s="105"/>
      <c r="S893" s="70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8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70"/>
      <c r="R894" s="105"/>
      <c r="S894" s="70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8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70"/>
      <c r="R895" s="105"/>
      <c r="S895" s="70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8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70"/>
      <c r="R896" s="105"/>
      <c r="S896" s="70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8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70"/>
      <c r="R897" s="105"/>
      <c r="S897" s="70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8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70"/>
      <c r="R898" s="105"/>
      <c r="S898" s="70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8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70"/>
      <c r="R899" s="105"/>
      <c r="S899" s="70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8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70"/>
      <c r="R900" s="105"/>
      <c r="S900" s="70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8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70"/>
      <c r="R901" s="105"/>
      <c r="S901" s="70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8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70"/>
      <c r="R902" s="105"/>
      <c r="S902" s="70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8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70"/>
      <c r="R903" s="105"/>
      <c r="S903" s="70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8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70"/>
      <c r="R904" s="105"/>
      <c r="S904" s="70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8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70"/>
      <c r="R905" s="105"/>
      <c r="S905" s="70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8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70"/>
      <c r="R906" s="105"/>
      <c r="S906" s="70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8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70"/>
      <c r="R907" s="105"/>
      <c r="S907" s="70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8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70"/>
      <c r="R908" s="105"/>
      <c r="S908" s="70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8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70"/>
      <c r="R909" s="105"/>
      <c r="S909" s="70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8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70"/>
      <c r="R910" s="105"/>
      <c r="S910" s="70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8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70"/>
      <c r="R911" s="105"/>
      <c r="S911" s="70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8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70"/>
      <c r="R912" s="105"/>
      <c r="S912" s="70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8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70"/>
      <c r="R913" s="105"/>
      <c r="S913" s="70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8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70"/>
      <c r="R914" s="105"/>
      <c r="S914" s="70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8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70"/>
      <c r="R915" s="105"/>
      <c r="S915" s="70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8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70"/>
      <c r="R916" s="105"/>
      <c r="S916" s="70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8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70"/>
      <c r="R917" s="105"/>
      <c r="S917" s="70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8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70"/>
      <c r="R918" s="105"/>
      <c r="S918" s="70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8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70"/>
      <c r="R919" s="105"/>
      <c r="S919" s="70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8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70"/>
      <c r="R920" s="105"/>
      <c r="S920" s="70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8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70"/>
      <c r="R921" s="105"/>
      <c r="S921" s="70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8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70"/>
      <c r="R922" s="105"/>
      <c r="S922" s="70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8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70"/>
      <c r="R923" s="105"/>
      <c r="S923" s="70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8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70"/>
      <c r="R924" s="105"/>
      <c r="S924" s="70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8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70"/>
      <c r="R925" s="105"/>
      <c r="S925" s="70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8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70"/>
      <c r="R926" s="105"/>
      <c r="S926" s="70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8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70"/>
      <c r="R927" s="105"/>
      <c r="S927" s="70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8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70"/>
      <c r="R928" s="105"/>
      <c r="S928" s="70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8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70"/>
      <c r="R929" s="105"/>
      <c r="S929" s="70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8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70"/>
      <c r="R930" s="105"/>
      <c r="S930" s="70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8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70"/>
      <c r="R931" s="105"/>
      <c r="S931" s="70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8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70"/>
      <c r="R932" s="105"/>
      <c r="S932" s="70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8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70"/>
      <c r="R933" s="105"/>
      <c r="S933" s="70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8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70"/>
      <c r="R934" s="105"/>
      <c r="S934" s="70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8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70"/>
      <c r="R935" s="105"/>
      <c r="S935" s="70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8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70"/>
      <c r="R936" s="105"/>
      <c r="S936" s="70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8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70"/>
      <c r="R937" s="105"/>
      <c r="S937" s="70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8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70"/>
      <c r="R938" s="105"/>
      <c r="S938" s="70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8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70"/>
      <c r="R939" s="105"/>
      <c r="S939" s="70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8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70"/>
      <c r="R940" s="105"/>
      <c r="S940" s="70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8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70"/>
      <c r="R941" s="105"/>
      <c r="S941" s="70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8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70"/>
      <c r="R942" s="105"/>
      <c r="S942" s="70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8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70"/>
      <c r="R943" s="105"/>
      <c r="S943" s="70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8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70"/>
      <c r="R944" s="105"/>
      <c r="S944" s="70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8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70"/>
      <c r="R945" s="105"/>
      <c r="S945" s="70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8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70"/>
      <c r="R946" s="105"/>
      <c r="S946" s="70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8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70"/>
      <c r="R947" s="105"/>
      <c r="S947" s="70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8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70"/>
      <c r="R948" s="105"/>
      <c r="S948" s="70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8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70"/>
      <c r="R949" s="105"/>
      <c r="S949" s="70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8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70"/>
      <c r="R950" s="105"/>
      <c r="S950" s="70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8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70"/>
      <c r="R951" s="105"/>
      <c r="S951" s="70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8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70"/>
      <c r="R952" s="105"/>
      <c r="S952" s="70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8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70"/>
      <c r="R953" s="105"/>
      <c r="S953" s="70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8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70"/>
      <c r="R954" s="105"/>
      <c r="S954" s="70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8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70"/>
      <c r="R955" s="105"/>
      <c r="S955" s="70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8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70"/>
      <c r="R956" s="105"/>
      <c r="S956" s="70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8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70"/>
      <c r="R957" s="105"/>
      <c r="S957" s="70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8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70"/>
      <c r="R958" s="105"/>
      <c r="S958" s="70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8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70"/>
      <c r="R959" s="105"/>
      <c r="S959" s="70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8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70"/>
      <c r="R960" s="105"/>
      <c r="S960" s="70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8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70"/>
      <c r="R961" s="105"/>
      <c r="S961" s="70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8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70"/>
      <c r="R962" s="105"/>
      <c r="S962" s="70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8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70"/>
      <c r="R963" s="105"/>
      <c r="S963" s="70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8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70"/>
      <c r="R964" s="105"/>
      <c r="S964" s="70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8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70"/>
      <c r="R965" s="105"/>
      <c r="S965" s="70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8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70"/>
      <c r="R966" s="105"/>
      <c r="S966" s="70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8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70"/>
      <c r="R967" s="105"/>
      <c r="S967" s="70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8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70"/>
      <c r="R968" s="105"/>
      <c r="S968" s="70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8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70"/>
      <c r="R969" s="105"/>
      <c r="S969" s="70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8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70"/>
      <c r="R970" s="105"/>
      <c r="S970" s="70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8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70"/>
      <c r="R971" s="105"/>
      <c r="S971" s="70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8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70"/>
      <c r="R972" s="105"/>
      <c r="S972" s="70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8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70"/>
      <c r="R973" s="105"/>
      <c r="S973" s="70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8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70"/>
      <c r="R974" s="105"/>
      <c r="S974" s="70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8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70"/>
      <c r="R975" s="105"/>
      <c r="S975" s="70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8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70"/>
      <c r="R976" s="105"/>
      <c r="S976" s="70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8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70"/>
      <c r="R977" s="105"/>
      <c r="S977" s="70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8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70"/>
      <c r="R978" s="105"/>
      <c r="S978" s="70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8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70"/>
      <c r="R979" s="105"/>
      <c r="S979" s="70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8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70"/>
      <c r="R980" s="105"/>
      <c r="S980" s="70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8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70"/>
      <c r="R981" s="105"/>
      <c r="S981" s="70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8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70"/>
      <c r="R982" s="105"/>
      <c r="S982" s="70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8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70"/>
      <c r="R983" s="105"/>
      <c r="S983" s="70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8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70"/>
      <c r="R984" s="105"/>
      <c r="S984" s="70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8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70"/>
      <c r="R985" s="105"/>
      <c r="S985" s="70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8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70"/>
      <c r="R986" s="105"/>
      <c r="S986" s="70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8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70"/>
      <c r="R987" s="105"/>
      <c r="S987" s="70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8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70"/>
      <c r="R988" s="105"/>
      <c r="S988" s="70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8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70"/>
      <c r="R989" s="105"/>
      <c r="S989" s="70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8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70"/>
      <c r="R990" s="105"/>
      <c r="S990" s="70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8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70"/>
      <c r="R991" s="105"/>
      <c r="S991" s="70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8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70"/>
      <c r="R992" s="105"/>
      <c r="S992" s="70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8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70"/>
      <c r="R993" s="105"/>
      <c r="S993" s="70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8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70"/>
      <c r="R994" s="105"/>
      <c r="S994" s="70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8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70"/>
      <c r="R995" s="105"/>
      <c r="S995" s="70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8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70"/>
      <c r="R996" s="105"/>
      <c r="S996" s="70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8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70"/>
      <c r="R997" s="105"/>
      <c r="S997" s="70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8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70"/>
      <c r="R998" s="105"/>
      <c r="S998" s="70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8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70"/>
      <c r="R999" s="105"/>
      <c r="S999" s="70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8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70"/>
      <c r="R1000" s="105"/>
      <c r="S1000" s="70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5">
    <mergeCell ref="A2:M2"/>
    <mergeCell ref="P2:X2"/>
    <mergeCell ref="F78:F79"/>
    <mergeCell ref="A36:N36"/>
    <mergeCell ref="A1:Y1"/>
  </mergeCells>
  <printOptions horizontalCentered="1" verticalCentered="1"/>
  <pageMargins left="0" right="0" top="0" bottom="0" header="0" footer="0"/>
  <pageSetup paperSize="9" orientation="landscape" r:id="rId1"/>
  <ignoredErrors>
    <ignoredError sqref="U68 U70 J54:L55 J53 L53 X68:Y70" formulaRange="1"/>
    <ignoredError sqref="K53" formula="1" formulaRange="1"/>
    <ignoredError sqref="J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workbookViewId="0"/>
  </sheetViews>
  <sheetFormatPr defaultColWidth="14.42578125" defaultRowHeight="15" customHeight="1" x14ac:dyDescent="0.25"/>
  <cols>
    <col min="1" max="1" width="38.42578125" customWidth="1"/>
    <col min="2" max="2" width="8.85546875" hidden="1" customWidth="1"/>
    <col min="3" max="4" width="14" customWidth="1"/>
    <col min="5" max="5" width="14.85546875" customWidth="1"/>
    <col min="6" max="8" width="14" customWidth="1"/>
    <col min="9" max="26" width="8.85546875" customWidth="1"/>
  </cols>
  <sheetData>
    <row r="1" spans="1:11" ht="18.75" x14ac:dyDescent="0.3">
      <c r="A1" s="1"/>
      <c r="B1" s="37"/>
      <c r="C1" s="37"/>
      <c r="D1" s="37"/>
      <c r="E1" s="37"/>
      <c r="F1" s="37"/>
      <c r="G1" s="37"/>
      <c r="H1" s="53" t="s">
        <v>125</v>
      </c>
    </row>
    <row r="2" spans="1:11" ht="18.75" x14ac:dyDescent="0.3">
      <c r="A2" s="109" t="s">
        <v>126</v>
      </c>
      <c r="B2" s="110"/>
      <c r="C2" s="109" t="s">
        <v>127</v>
      </c>
      <c r="D2" s="109" t="s">
        <v>128</v>
      </c>
      <c r="E2" s="109" t="s">
        <v>129</v>
      </c>
      <c r="F2" s="109" t="s">
        <v>130</v>
      </c>
      <c r="G2" s="109" t="s">
        <v>131</v>
      </c>
      <c r="H2" s="109" t="s">
        <v>132</v>
      </c>
    </row>
    <row r="3" spans="1:11" ht="18.75" x14ac:dyDescent="0.3">
      <c r="A3" s="111" t="s">
        <v>133</v>
      </c>
      <c r="B3" s="112"/>
      <c r="C3" s="113">
        <f>'Summary sheet- CONSOLIDATED'!R30*10</f>
        <v>13283.21</v>
      </c>
      <c r="D3" s="113">
        <f>'Summary sheet- CONSOLIDATED'!S30*10</f>
        <v>20290.07</v>
      </c>
      <c r="E3" s="113">
        <f>'Summary sheet- CONSOLIDATED'!T30*10</f>
        <v>16234.42</v>
      </c>
      <c r="F3" s="113">
        <f>'Summary sheet- CONSOLIDATED'!U30*10</f>
        <v>22758.699999999997</v>
      </c>
      <c r="G3" s="113">
        <f>'Summary sheet- CONSOLIDATED'!V30*10</f>
        <v>28693.23</v>
      </c>
      <c r="H3" s="113">
        <f>'Summary sheet- CONSOLIDATED'!W30*10</f>
        <v>36773.370000000003</v>
      </c>
    </row>
    <row r="4" spans="1:11" ht="18.75" x14ac:dyDescent="0.3">
      <c r="A4" s="111" t="s">
        <v>134</v>
      </c>
      <c r="B4" s="112"/>
      <c r="C4" s="113">
        <f>'Summary sheet- CONSOLIDATED'!R32*10</f>
        <v>13442.4</v>
      </c>
      <c r="D4" s="113">
        <f>'Summary sheet- CONSOLIDATED'!S32*10</f>
        <v>15999.77</v>
      </c>
      <c r="E4" s="113">
        <f>'Summary sheet- CONSOLIDATED'!T32*10</f>
        <v>15143.68</v>
      </c>
      <c r="F4" s="113">
        <f>'Summary sheet- CONSOLIDATED'!U32*10</f>
        <v>18854.66</v>
      </c>
      <c r="G4" s="113">
        <f>'Summary sheet- CONSOLIDATED'!V32*10</f>
        <v>19479.34</v>
      </c>
      <c r="H4" s="113">
        <f>'Summary sheet- CONSOLIDATED'!W32*10</f>
        <v>19003.75</v>
      </c>
    </row>
    <row r="5" spans="1:11" ht="18.75" x14ac:dyDescent="0.3">
      <c r="A5" s="109" t="s">
        <v>135</v>
      </c>
      <c r="B5" s="110"/>
      <c r="C5" s="114">
        <f t="shared" ref="C5:H5" si="0">C3+C4</f>
        <v>26725.61</v>
      </c>
      <c r="D5" s="114">
        <f t="shared" si="0"/>
        <v>36289.839999999997</v>
      </c>
      <c r="E5" s="114">
        <f t="shared" si="0"/>
        <v>31378.1</v>
      </c>
      <c r="F5" s="114">
        <f t="shared" si="0"/>
        <v>41613.360000000001</v>
      </c>
      <c r="G5" s="114">
        <f t="shared" si="0"/>
        <v>48172.57</v>
      </c>
      <c r="H5" s="114">
        <f t="shared" si="0"/>
        <v>55777.120000000003</v>
      </c>
    </row>
    <row r="6" spans="1:11" ht="18.75" x14ac:dyDescent="0.3">
      <c r="A6" s="111" t="s">
        <v>136</v>
      </c>
      <c r="B6" s="112"/>
      <c r="C6" s="113">
        <f>'Summary sheet- CONSOLIDATED'!R39*10</f>
        <v>6119.29</v>
      </c>
      <c r="D6" s="113">
        <f>'Summary sheet- CONSOLIDATED'!S39*10</f>
        <v>5350.8899999999994</v>
      </c>
      <c r="E6" s="113">
        <f>'Summary sheet- CONSOLIDATED'!T39*10</f>
        <v>5563.4699999999993</v>
      </c>
      <c r="F6" s="113">
        <f>'Summary sheet- CONSOLIDATED'!U39*10</f>
        <v>7087.3</v>
      </c>
      <c r="G6" s="113">
        <f>'Summary sheet- CONSOLIDATED'!V39*10</f>
        <v>8116.4100000000008</v>
      </c>
      <c r="H6" s="113">
        <f>'Summary sheet- CONSOLIDATED'!W39*10</f>
        <v>8692.33</v>
      </c>
    </row>
    <row r="7" spans="1:11" ht="18.75" x14ac:dyDescent="0.3">
      <c r="A7" s="109" t="s">
        <v>137</v>
      </c>
      <c r="B7" s="110"/>
      <c r="C7" s="114">
        <f t="shared" ref="C7:H7" si="1">C6</f>
        <v>6119.29</v>
      </c>
      <c r="D7" s="114">
        <f t="shared" si="1"/>
        <v>5350.8899999999994</v>
      </c>
      <c r="E7" s="114">
        <f t="shared" si="1"/>
        <v>5563.4699999999993</v>
      </c>
      <c r="F7" s="114">
        <f t="shared" si="1"/>
        <v>7087.3</v>
      </c>
      <c r="G7" s="114">
        <f t="shared" si="1"/>
        <v>8116.4100000000008</v>
      </c>
      <c r="H7" s="114">
        <f t="shared" si="1"/>
        <v>8692.33</v>
      </c>
    </row>
    <row r="8" spans="1:11" ht="18.75" x14ac:dyDescent="0.3">
      <c r="A8" s="109" t="s">
        <v>138</v>
      </c>
      <c r="B8" s="112"/>
      <c r="C8" s="114">
        <f t="shared" ref="C8:H8" si="2">C5-C7</f>
        <v>20606.32</v>
      </c>
      <c r="D8" s="114">
        <f t="shared" si="2"/>
        <v>30938.949999999997</v>
      </c>
      <c r="E8" s="114">
        <f t="shared" si="2"/>
        <v>25814.629999999997</v>
      </c>
      <c r="F8" s="114">
        <f t="shared" si="2"/>
        <v>34526.06</v>
      </c>
      <c r="G8" s="114">
        <f t="shared" si="2"/>
        <v>40056.159999999996</v>
      </c>
      <c r="H8" s="114">
        <f t="shared" si="2"/>
        <v>47084.79</v>
      </c>
    </row>
    <row r="9" spans="1:11" ht="37.5" x14ac:dyDescent="0.3">
      <c r="A9" s="115" t="s">
        <v>139</v>
      </c>
      <c r="B9" s="112"/>
      <c r="C9" s="116"/>
      <c r="D9" s="114">
        <f t="shared" ref="D9:H9" si="3">D8-C8</f>
        <v>10332.629999999997</v>
      </c>
      <c r="E9" s="114">
        <f t="shared" si="3"/>
        <v>-5124.32</v>
      </c>
      <c r="F9" s="114">
        <f t="shared" si="3"/>
        <v>8711.43</v>
      </c>
      <c r="G9" s="114">
        <f t="shared" si="3"/>
        <v>5530.0999999999985</v>
      </c>
      <c r="H9" s="114">
        <f t="shared" si="3"/>
        <v>7028.6300000000047</v>
      </c>
    </row>
    <row r="10" spans="1:11" ht="18.75" x14ac:dyDescent="0.3">
      <c r="A10" s="111" t="s">
        <v>140</v>
      </c>
      <c r="B10" s="112"/>
      <c r="C10" s="113">
        <f>('Summary sheet- CONSOLIDATED'!R9+'Summary sheet- CONSOLIDATED'!R11)*10</f>
        <v>3057.6499999999996</v>
      </c>
      <c r="D10" s="113">
        <f>('Summary sheet- CONSOLIDATED'!S9+'Summary sheet- CONSOLIDATED'!S11)*10</f>
        <v>2116.4699999999998</v>
      </c>
      <c r="E10" s="113">
        <f>('Summary sheet- CONSOLIDATED'!T9+'Summary sheet- CONSOLIDATED'!T11)*10</f>
        <v>762.95</v>
      </c>
      <c r="F10" s="113">
        <f>('Summary sheet- CONSOLIDATED'!U9+'Summary sheet- CONSOLIDATED'!U11)*10</f>
        <v>0</v>
      </c>
      <c r="G10" s="113">
        <f>('Summary sheet- CONSOLIDATED'!V9+'Summary sheet- CONSOLIDATED'!V11)*10+500</f>
        <v>5000</v>
      </c>
      <c r="H10" s="113">
        <f>'Summary sheet- CONSOLIDATED'!W9*10+1336</f>
        <v>4500</v>
      </c>
      <c r="K10" s="117"/>
    </row>
    <row r="11" spans="1:11" ht="18.75" x14ac:dyDescent="0.3">
      <c r="A11" s="111" t="s">
        <v>141</v>
      </c>
      <c r="B11" s="112"/>
      <c r="C11" s="113">
        <f>'Summary sheet- CONSOLIDATED'!R10*10</f>
        <v>10129.61</v>
      </c>
      <c r="D11" s="113">
        <f>'Summary sheet- CONSOLIDATED'!S10*10</f>
        <v>16223.699999999999</v>
      </c>
      <c r="E11" s="113">
        <f>'Summary sheet- CONSOLIDATED'!T10*10</f>
        <v>4311.0700000000006</v>
      </c>
      <c r="F11" s="113">
        <f>'Summary sheet- CONSOLIDATED'!U10*10</f>
        <v>7785.9000000000005</v>
      </c>
      <c r="G11" s="113">
        <f>'Summary sheet- CONSOLIDATED'!V10*10-500</f>
        <v>8934.8799999999992</v>
      </c>
      <c r="H11" s="113">
        <f>'Summary sheet- CONSOLIDATED'!W10*10-1336</f>
        <v>18384.150000000001</v>
      </c>
    </row>
    <row r="12" spans="1:11" ht="18.75" x14ac:dyDescent="0.3">
      <c r="A12" s="111" t="s">
        <v>142</v>
      </c>
      <c r="B12" s="112"/>
      <c r="C12" s="113">
        <f>'Summary sheet- CONSOLIDATED'!R33*10</f>
        <v>456.97</v>
      </c>
      <c r="D12" s="113">
        <f>'Summary sheet- CONSOLIDATED'!S33*10</f>
        <v>504.61</v>
      </c>
      <c r="E12" s="113">
        <f>'Summary sheet- CONSOLIDATED'!T33*10</f>
        <v>1729.86</v>
      </c>
      <c r="F12" s="113">
        <f>'Summary sheet- CONSOLIDATED'!U33*10</f>
        <v>1538.6799999999998</v>
      </c>
      <c r="G12" s="113">
        <f>'Summary sheet- CONSOLIDATED'!V33*10</f>
        <v>661.24</v>
      </c>
      <c r="H12" s="113">
        <f>'Summary sheet- CONSOLIDATED'!W33*10</f>
        <v>1599.4399999999998</v>
      </c>
    </row>
    <row r="13" spans="1:11" ht="18.75" x14ac:dyDescent="0.25">
      <c r="A13" s="109" t="s">
        <v>143</v>
      </c>
      <c r="B13" s="109"/>
      <c r="C13" s="114">
        <f t="shared" ref="C13:H13" si="4">C10+C11-C12</f>
        <v>12730.29</v>
      </c>
      <c r="D13" s="114">
        <f t="shared" si="4"/>
        <v>17835.559999999998</v>
      </c>
      <c r="E13" s="114">
        <f t="shared" si="4"/>
        <v>3344.1600000000008</v>
      </c>
      <c r="F13" s="114">
        <f t="shared" si="4"/>
        <v>6247.2200000000012</v>
      </c>
      <c r="G13" s="114">
        <f t="shared" si="4"/>
        <v>13273.64</v>
      </c>
      <c r="H13" s="114">
        <f t="shared" si="4"/>
        <v>21284.710000000003</v>
      </c>
    </row>
    <row r="14" spans="1:11" ht="37.5" x14ac:dyDescent="0.25">
      <c r="A14" s="115" t="s">
        <v>144</v>
      </c>
      <c r="B14" s="109"/>
      <c r="C14" s="116"/>
      <c r="D14" s="114">
        <f t="shared" ref="D14:H14" si="5">D11-C11</f>
        <v>6094.0899999999983</v>
      </c>
      <c r="E14" s="114">
        <f t="shared" si="5"/>
        <v>-11912.629999999997</v>
      </c>
      <c r="F14" s="114">
        <f t="shared" si="5"/>
        <v>3474.83</v>
      </c>
      <c r="G14" s="114">
        <f t="shared" si="5"/>
        <v>1148.9799999999987</v>
      </c>
      <c r="H14" s="114">
        <f t="shared" si="5"/>
        <v>9449.2700000000023</v>
      </c>
    </row>
    <row r="15" spans="1:11" ht="18.75" x14ac:dyDescent="0.25">
      <c r="A15" s="115" t="s">
        <v>145</v>
      </c>
      <c r="B15" s="109"/>
      <c r="C15" s="114">
        <f>('Summary sheet- CONSOLIDATED'!D24+'Summary sheet- CONSOLIDATED'!D17)*10</f>
        <v>3980.4900000000025</v>
      </c>
      <c r="D15" s="114">
        <f>('Summary sheet- CONSOLIDATED'!E24+'Summary sheet- CONSOLIDATED'!E17)*10</f>
        <v>7495.35</v>
      </c>
      <c r="E15" s="114">
        <f>('Summary sheet- CONSOLIDATED'!F24+'Summary sheet- CONSOLIDATED'!F17)*10</f>
        <v>10520.749999999996</v>
      </c>
      <c r="F15" s="114">
        <f>('Summary sheet- CONSOLIDATED'!J24+'Summary sheet- CONSOLIDATED'!J17)*10</f>
        <v>11939.599999999999</v>
      </c>
      <c r="G15" s="114">
        <f>('Summary sheet- CONSOLIDATED'!K24+'Summary sheet- CONSOLIDATED'!K17)*10</f>
        <v>7031.4500000000025</v>
      </c>
      <c r="H15" s="114">
        <f>('Summary sheet- CONSOLIDATED'!L24+'Summary sheet- CONSOLIDATED'!L17)*10</f>
        <v>3917.0899999999915</v>
      </c>
    </row>
    <row r="16" spans="1:11" ht="18.75" x14ac:dyDescent="0.25">
      <c r="A16" s="109" t="s">
        <v>33</v>
      </c>
      <c r="B16" s="109"/>
      <c r="C16" s="114">
        <f>'Summary sheet- CONSOLIDATED'!D13*10</f>
        <v>6474.6100000000024</v>
      </c>
      <c r="D16" s="114">
        <f>'Summary sheet- CONSOLIDATED'!E13*10</f>
        <v>11500.85</v>
      </c>
      <c r="E16" s="114">
        <f>'Summary sheet- CONSOLIDATED'!F13*10</f>
        <v>12721.049999999996</v>
      </c>
      <c r="F16" s="114">
        <f>'Summary sheet- CONSOLIDATED'!J13*10</f>
        <v>15507.399999999998</v>
      </c>
      <c r="G16" s="114">
        <f>'Summary sheet- CONSOLIDATED'!K13*10</f>
        <v>9252.7400000000034</v>
      </c>
      <c r="H16" s="114">
        <f>'Summary sheet- CONSOLIDATED'!L13*10</f>
        <v>5421.3399999999911</v>
      </c>
    </row>
    <row r="17" spans="1:8" ht="18.75" x14ac:dyDescent="0.25">
      <c r="A17" s="109" t="s">
        <v>146</v>
      </c>
      <c r="B17" s="109"/>
      <c r="C17" s="118">
        <f>'Summary sheet- CONSOLIDATED'!R66</f>
        <v>0.37440002275047968</v>
      </c>
      <c r="D17" s="118">
        <f>'Summary sheet- CONSOLIDATED'!S66</f>
        <v>0.45187054027283841</v>
      </c>
      <c r="E17" s="118">
        <f>'Summary sheet- CONSOLIDATED'!T66</f>
        <v>6.3836787141118442E-2</v>
      </c>
      <c r="F17" s="118">
        <f>'Summary sheet- CONSOLIDATED'!U66</f>
        <v>0.1036233049123001</v>
      </c>
      <c r="G17" s="118">
        <f>'Summary sheet- CONSOLIDATED'!V66</f>
        <v>0.21468424705065925</v>
      </c>
      <c r="H17" s="118">
        <f>'Summary sheet- CONSOLIDATED'!W66</f>
        <v>0.33836808744736319</v>
      </c>
    </row>
    <row r="18" spans="1:8" ht="18.75" x14ac:dyDescent="0.25">
      <c r="A18" s="109" t="s">
        <v>147</v>
      </c>
      <c r="B18" s="109"/>
      <c r="C18" s="118">
        <f t="shared" ref="C18:G18" si="6">C13/C16</f>
        <v>1.9661863803379658</v>
      </c>
      <c r="D18" s="118">
        <f t="shared" si="6"/>
        <v>1.5508036362529725</v>
      </c>
      <c r="E18" s="118">
        <f t="shared" si="6"/>
        <v>0.26288396005046766</v>
      </c>
      <c r="F18" s="118">
        <f t="shared" si="6"/>
        <v>0.40285412125823811</v>
      </c>
      <c r="G18" s="118">
        <f t="shared" si="6"/>
        <v>1.4345631672347861</v>
      </c>
      <c r="H18" s="118">
        <f>H13/(H16/9*12)</f>
        <v>2.9445732051485476</v>
      </c>
    </row>
    <row r="19" spans="1:8" ht="18.75" x14ac:dyDescent="0.25">
      <c r="A19" s="109" t="s">
        <v>52</v>
      </c>
      <c r="B19" s="109"/>
      <c r="C19" s="114">
        <f>'Summary sheet- CONSOLIDATED'!D24*10</f>
        <v>2498.1700000000028</v>
      </c>
      <c r="D19" s="114">
        <f>'Summary sheet- CONSOLIDATED'!E24*10</f>
        <v>5715.6400000000012</v>
      </c>
      <c r="E19" s="114">
        <f>'Summary sheet- CONSOLIDATED'!F24*10</f>
        <v>8618.8899999999958</v>
      </c>
      <c r="F19" s="114">
        <f>'Summary sheet- CONSOLIDATED'!J24*10</f>
        <v>10193.699999999999</v>
      </c>
      <c r="G19" s="114">
        <f>'Summary sheet- CONSOLIDATED'!K24*10</f>
        <v>5330.2300000000023</v>
      </c>
      <c r="H19" s="114">
        <f>'Summary sheet- CONSOLIDATED'!L24*10</f>
        <v>1974.2899999999913</v>
      </c>
    </row>
    <row r="20" spans="1:8" ht="18.75" x14ac:dyDescent="0.3">
      <c r="A20" s="109" t="s">
        <v>148</v>
      </c>
      <c r="B20" s="109"/>
      <c r="C20" s="114">
        <f>('Summary sheet- CONSOLIDATED'!R16+'Summary sheet- CONSOLIDATED'!R17+'Summary sheet- CONSOLIDATED'!D17-'Summary sheet- CONSOLIDATED'!Q16-'Summary sheet- CONSOLIDATED'!Q17)*10</f>
        <v>4397.5400000000018</v>
      </c>
      <c r="D20" s="114">
        <f>('Summary sheet- CONSOLIDATED'!S16+'Summary sheet- CONSOLIDATED'!S17+'Summary sheet- CONSOLIDATED'!E17-'Summary sheet- CONSOLIDATED'!R16-'Summary sheet- CONSOLIDATED'!R17)*10</f>
        <v>1441.7600000000004</v>
      </c>
      <c r="E20" s="114">
        <f>('Summary sheet- CONSOLIDATED'!T16+'Summary sheet- CONSOLIDATED'!T17+'Summary sheet- CONSOLIDATED'!F17-'Summary sheet- CONSOLIDATED'!S16-'Summary sheet- CONSOLIDATED'!S17)*10</f>
        <v>734.63999999999885</v>
      </c>
      <c r="F20" s="114">
        <f>('Summary sheet- CONSOLIDATED'!U16+'Summary sheet- CONSOLIDATED'!U17+'Summary sheet- CONSOLIDATED'!J17-'Summary sheet- CONSOLIDATED'!T16-'Summary sheet- CONSOLIDATED'!T17)*10</f>
        <v>3154.619999999999</v>
      </c>
      <c r="G20" s="114">
        <f>('Summary sheet- CONSOLIDATED'!V16+'Summary sheet- CONSOLIDATED'!V17+'Summary sheet- CONSOLIDATED'!K17-'Summary sheet- CONSOLIDATED'!U16-'Summary sheet- CONSOLIDATED'!U17)*10</f>
        <v>5265.1699999999973</v>
      </c>
      <c r="H20" s="119">
        <f>('Summary sheet- CONSOLIDATED'!W16+'Summary sheet- CONSOLIDATED'!W17+'Summary sheet- CONSOLIDATED'!L17-'Summary sheet- CONSOLIDATED'!V16-'Summary sheet- CONSOLIDATED'!V17)*10</f>
        <v>4804.3599999999997</v>
      </c>
    </row>
    <row r="21" spans="1:8" ht="15.75" customHeight="1" x14ac:dyDescent="0.3">
      <c r="A21" s="3" t="s">
        <v>149</v>
      </c>
      <c r="B21" s="3"/>
      <c r="C21" s="120">
        <v>15000</v>
      </c>
      <c r="D21" s="120">
        <v>15000</v>
      </c>
      <c r="E21" s="120">
        <v>15000</v>
      </c>
      <c r="F21" s="120">
        <v>15000</v>
      </c>
      <c r="G21" s="120"/>
      <c r="H21" s="120"/>
    </row>
    <row r="22" spans="1:8" ht="15.75" customHeight="1" x14ac:dyDescent="0.3">
      <c r="A22" s="3" t="s">
        <v>150</v>
      </c>
      <c r="B22" s="3"/>
      <c r="C22" s="120">
        <f t="shared" ref="C22:H22" si="7">C13+C21</f>
        <v>27730.29</v>
      </c>
      <c r="D22" s="120">
        <f t="shared" si="7"/>
        <v>32835.56</v>
      </c>
      <c r="E22" s="120">
        <f t="shared" si="7"/>
        <v>18344.16</v>
      </c>
      <c r="F22" s="120">
        <f t="shared" si="7"/>
        <v>21247.22</v>
      </c>
      <c r="G22" s="120">
        <f t="shared" si="7"/>
        <v>13273.64</v>
      </c>
      <c r="H22" s="120">
        <f t="shared" si="7"/>
        <v>21284.710000000003</v>
      </c>
    </row>
    <row r="23" spans="1:8" ht="15.75" customHeight="1" x14ac:dyDescent="0.3">
      <c r="A23" s="109" t="s">
        <v>151</v>
      </c>
      <c r="B23" s="3"/>
      <c r="C23" s="41">
        <f t="shared" ref="C23:H23" si="8">C22/C16</f>
        <v>4.2829282381487053</v>
      </c>
      <c r="D23" s="41">
        <f t="shared" si="8"/>
        <v>2.8550550611476542</v>
      </c>
      <c r="E23" s="41">
        <f t="shared" si="8"/>
        <v>1.4420319077434651</v>
      </c>
      <c r="F23" s="41">
        <f t="shared" si="8"/>
        <v>1.3701342584830472</v>
      </c>
      <c r="G23" s="41">
        <f t="shared" si="8"/>
        <v>1.4345631672347861</v>
      </c>
      <c r="H23" s="41">
        <f t="shared" si="8"/>
        <v>3.9260976068647304</v>
      </c>
    </row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 x14ac:dyDescent="0.25"/>
  <cols>
    <col min="1" max="1" width="29.7109375" customWidth="1"/>
    <col min="2" max="2" width="12.42578125" customWidth="1"/>
    <col min="3" max="3" width="10.7109375" customWidth="1"/>
    <col min="4" max="4" width="10" customWidth="1"/>
    <col min="5" max="5" width="10.42578125" customWidth="1"/>
    <col min="6" max="6" width="10" customWidth="1"/>
    <col min="7" max="26" width="8.85546875" customWidth="1"/>
  </cols>
  <sheetData>
    <row r="1" spans="1:26" x14ac:dyDescent="0.25">
      <c r="A1" s="121" t="s">
        <v>152</v>
      </c>
      <c r="B1" s="121"/>
      <c r="E1" s="121" t="s">
        <v>125</v>
      </c>
    </row>
    <row r="2" spans="1:26" x14ac:dyDescent="0.25">
      <c r="A2" s="122" t="s">
        <v>153</v>
      </c>
      <c r="B2" s="122" t="s">
        <v>154</v>
      </c>
      <c r="C2" s="122" t="s">
        <v>155</v>
      </c>
      <c r="D2" s="122" t="s">
        <v>156</v>
      </c>
      <c r="E2" s="122" t="s">
        <v>157</v>
      </c>
      <c r="F2" s="122" t="s">
        <v>158</v>
      </c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</row>
    <row r="3" spans="1:26" x14ac:dyDescent="0.25">
      <c r="A3" s="123" t="s">
        <v>159</v>
      </c>
      <c r="B3" s="124">
        <v>-70.983393999975675</v>
      </c>
      <c r="C3" s="124">
        <v>59.174552299999931</v>
      </c>
      <c r="D3" s="124">
        <v>155.1191292</v>
      </c>
      <c r="E3" s="124">
        <v>201.86</v>
      </c>
      <c r="F3" s="124">
        <f t="shared" ref="F3:F4" si="0">C3+D3+E3+B3</f>
        <v>345.1702875000243</v>
      </c>
    </row>
    <row r="4" spans="1:26" x14ac:dyDescent="0.25">
      <c r="A4" s="123" t="s">
        <v>160</v>
      </c>
      <c r="B4" s="124">
        <v>-56.954009699999986</v>
      </c>
      <c r="C4" s="124">
        <v>83.93071479999999</v>
      </c>
      <c r="D4" s="124">
        <v>107.22000000000001</v>
      </c>
      <c r="E4" s="124">
        <v>75.05</v>
      </c>
      <c r="F4" s="124">
        <f t="shared" si="0"/>
        <v>209.24670510000004</v>
      </c>
    </row>
    <row r="5" spans="1:26" x14ac:dyDescent="0.25">
      <c r="A5" s="122" t="s">
        <v>161</v>
      </c>
      <c r="B5" s="125">
        <f>SUM(B3:B4)</f>
        <v>-127.93740369997566</v>
      </c>
      <c r="C5" s="125">
        <f t="shared" ref="C5:F5" si="1">C3-C4</f>
        <v>-24.756162500000059</v>
      </c>
      <c r="D5" s="125">
        <f t="shared" si="1"/>
        <v>47.89912919999999</v>
      </c>
      <c r="E5" s="125">
        <f t="shared" si="1"/>
        <v>126.81000000000002</v>
      </c>
      <c r="F5" s="125">
        <f t="shared" si="1"/>
        <v>135.92358240002426</v>
      </c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</row>
    <row r="8" spans="1:26" x14ac:dyDescent="0.25">
      <c r="A8" s="121" t="s">
        <v>152</v>
      </c>
      <c r="B8" s="121"/>
      <c r="E8" s="121"/>
    </row>
    <row r="9" spans="1:26" x14ac:dyDescent="0.25">
      <c r="A9" s="121" t="s">
        <v>162</v>
      </c>
      <c r="B9" s="121"/>
      <c r="E9" s="121" t="s">
        <v>125</v>
      </c>
    </row>
    <row r="10" spans="1:26" x14ac:dyDescent="0.25">
      <c r="A10" s="122" t="s">
        <v>153</v>
      </c>
      <c r="B10" s="122" t="s">
        <v>163</v>
      </c>
      <c r="C10" s="122" t="s">
        <v>164</v>
      </c>
      <c r="D10" s="122" t="s">
        <v>165</v>
      </c>
      <c r="E10" s="122" t="s">
        <v>166</v>
      </c>
      <c r="F10" s="122" t="s">
        <v>167</v>
      </c>
      <c r="G10" s="122" t="s">
        <v>168</v>
      </c>
    </row>
    <row r="11" spans="1:26" x14ac:dyDescent="0.25">
      <c r="A11" s="123" t="s">
        <v>140</v>
      </c>
      <c r="B11" s="123"/>
      <c r="C11" s="126">
        <v>4833</v>
      </c>
      <c r="D11" s="126">
        <v>3833.33</v>
      </c>
      <c r="E11" s="127">
        <v>4166.67</v>
      </c>
      <c r="F11" s="127">
        <v>4500</v>
      </c>
      <c r="G11" s="127">
        <v>2900</v>
      </c>
    </row>
    <row r="12" spans="1:26" x14ac:dyDescent="0.25">
      <c r="A12" s="123" t="s">
        <v>169</v>
      </c>
      <c r="B12" s="128"/>
      <c r="C12" s="129">
        <v>18112.330827599999</v>
      </c>
      <c r="D12" s="126">
        <v>13194.044861800001</v>
      </c>
      <c r="E12" s="129">
        <v>15615.950000000003</v>
      </c>
      <c r="F12" s="129">
        <v>9434.8799999999992</v>
      </c>
      <c r="G12" s="129">
        <v>8632.1477710999989</v>
      </c>
    </row>
    <row r="13" spans="1:26" x14ac:dyDescent="0.25">
      <c r="A13" s="122" t="s">
        <v>150</v>
      </c>
      <c r="B13" s="130">
        <f t="shared" ref="B13:G13" si="2">SUM(B11:B12)</f>
        <v>0</v>
      </c>
      <c r="C13" s="130">
        <f t="shared" si="2"/>
        <v>22945.330827599999</v>
      </c>
      <c r="D13" s="130">
        <f t="shared" si="2"/>
        <v>17027.374861800003</v>
      </c>
      <c r="E13" s="130">
        <f t="shared" si="2"/>
        <v>19782.620000000003</v>
      </c>
      <c r="F13" s="130">
        <f t="shared" si="2"/>
        <v>13934.88</v>
      </c>
      <c r="G13" s="130">
        <f t="shared" si="2"/>
        <v>11532.147771099999</v>
      </c>
    </row>
    <row r="14" spans="1:26" x14ac:dyDescent="0.25">
      <c r="C14" s="131"/>
    </row>
    <row r="16" spans="1:26" x14ac:dyDescent="0.25">
      <c r="A16" s="122" t="s">
        <v>153</v>
      </c>
      <c r="B16" s="122"/>
      <c r="C16" s="122" t="s">
        <v>164</v>
      </c>
      <c r="D16" s="122" t="s">
        <v>165</v>
      </c>
      <c r="E16" s="122" t="s">
        <v>166</v>
      </c>
      <c r="F16" s="122" t="s">
        <v>167</v>
      </c>
      <c r="G16" s="122" t="s">
        <v>168</v>
      </c>
    </row>
    <row r="17" spans="1:7" x14ac:dyDescent="0.25">
      <c r="A17" s="123" t="s">
        <v>170</v>
      </c>
      <c r="B17" s="123"/>
      <c r="C17" s="126">
        <v>23907.528627700001</v>
      </c>
      <c r="D17" s="126">
        <v>20719.853280099996</v>
      </c>
      <c r="E17" s="127">
        <v>24018.728732099997</v>
      </c>
      <c r="F17" s="127">
        <v>19540.455579400001</v>
      </c>
      <c r="G17" s="127">
        <v>18635.286080799997</v>
      </c>
    </row>
    <row r="18" spans="1:7" x14ac:dyDescent="0.25">
      <c r="A18" s="123" t="s">
        <v>133</v>
      </c>
      <c r="B18" s="128"/>
      <c r="C18" s="129">
        <v>31295.167885351679</v>
      </c>
      <c r="D18" s="126">
        <v>30615.895392984366</v>
      </c>
      <c r="E18" s="129">
        <v>28618.414048610113</v>
      </c>
      <c r="F18" s="129">
        <v>28693.234940443297</v>
      </c>
      <c r="G18" s="129">
        <v>28621.005129068992</v>
      </c>
    </row>
    <row r="19" spans="1:7" x14ac:dyDescent="0.25">
      <c r="A19" s="123" t="s">
        <v>171</v>
      </c>
      <c r="B19" s="126">
        <v>6945.7704791594415</v>
      </c>
      <c r="C19" s="126">
        <v>6945.7704791594415</v>
      </c>
      <c r="D19" s="126">
        <v>8175</v>
      </c>
      <c r="E19" s="126">
        <v>7473.6068700000023</v>
      </c>
      <c r="F19" s="126">
        <v>8170</v>
      </c>
      <c r="G19" s="126">
        <v>7872</v>
      </c>
    </row>
    <row r="21" spans="1:7" ht="15.75" customHeight="1" x14ac:dyDescent="0.25"/>
    <row r="22" spans="1:7" ht="15.75" customHeight="1" x14ac:dyDescent="0.25"/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000"/>
  <sheetViews>
    <sheetView workbookViewId="0"/>
  </sheetViews>
  <sheetFormatPr defaultColWidth="14.42578125" defaultRowHeight="15" customHeight="1" x14ac:dyDescent="0.25"/>
  <cols>
    <col min="1" max="1" width="11.42578125" customWidth="1"/>
    <col min="2" max="5" width="9.140625" customWidth="1"/>
    <col min="6" max="6" width="11" customWidth="1"/>
    <col min="7" max="7" width="9.140625" customWidth="1"/>
    <col min="8" max="8" width="8.85546875" customWidth="1"/>
    <col min="9" max="9" width="13.42578125" customWidth="1"/>
    <col min="10" max="19" width="8.85546875" hidden="1" customWidth="1"/>
    <col min="20" max="26" width="8.85546875" customWidth="1"/>
  </cols>
  <sheetData>
    <row r="2" spans="1:22" x14ac:dyDescent="0.25">
      <c r="A2" s="121" t="s">
        <v>172</v>
      </c>
      <c r="B2" s="132"/>
      <c r="C2" s="132"/>
      <c r="D2" s="132"/>
      <c r="E2" s="132"/>
      <c r="F2" s="132"/>
      <c r="G2" s="132"/>
      <c r="H2" s="133"/>
      <c r="K2" s="134"/>
    </row>
    <row r="3" spans="1:22" x14ac:dyDescent="0.25">
      <c r="A3" s="121" t="s">
        <v>15</v>
      </c>
      <c r="B3" s="132"/>
      <c r="C3" s="132"/>
      <c r="D3" s="132"/>
      <c r="E3" s="132"/>
      <c r="F3" s="132"/>
      <c r="G3" s="132"/>
      <c r="H3" s="121"/>
      <c r="I3" s="121" t="s">
        <v>173</v>
      </c>
    </row>
    <row r="4" spans="1:22" x14ac:dyDescent="0.25">
      <c r="A4" s="163" t="s">
        <v>126</v>
      </c>
      <c r="B4" s="164" t="s">
        <v>174</v>
      </c>
      <c r="C4" s="156"/>
      <c r="D4" s="156"/>
      <c r="E4" s="156"/>
      <c r="F4" s="156"/>
      <c r="G4" s="156"/>
      <c r="H4" s="156"/>
      <c r="I4" s="157"/>
      <c r="J4" s="164" t="s">
        <v>175</v>
      </c>
      <c r="K4" s="156"/>
      <c r="L4" s="156"/>
      <c r="M4" s="156"/>
      <c r="N4" s="156"/>
      <c r="O4" s="156"/>
      <c r="P4" s="156"/>
      <c r="Q4" s="157"/>
    </row>
    <row r="5" spans="1:22" ht="45" x14ac:dyDescent="0.25">
      <c r="A5" s="159"/>
      <c r="B5" s="135" t="s">
        <v>176</v>
      </c>
      <c r="C5" s="135" t="s">
        <v>177</v>
      </c>
      <c r="D5" s="135" t="s">
        <v>178</v>
      </c>
      <c r="E5" s="135" t="s">
        <v>177</v>
      </c>
      <c r="F5" s="135" t="s">
        <v>179</v>
      </c>
      <c r="G5" s="135" t="s">
        <v>177</v>
      </c>
      <c r="H5" s="135" t="s">
        <v>158</v>
      </c>
      <c r="I5" s="136" t="s">
        <v>180</v>
      </c>
      <c r="J5" s="135" t="s">
        <v>176</v>
      </c>
      <c r="K5" s="135" t="s">
        <v>177</v>
      </c>
      <c r="L5" s="135" t="s">
        <v>178</v>
      </c>
      <c r="M5" s="135" t="s">
        <v>177</v>
      </c>
      <c r="N5" s="135" t="s">
        <v>179</v>
      </c>
      <c r="O5" s="135" t="s">
        <v>177</v>
      </c>
      <c r="P5" s="135" t="s">
        <v>158</v>
      </c>
      <c r="Q5" s="136" t="s">
        <v>180</v>
      </c>
    </row>
    <row r="6" spans="1:22" x14ac:dyDescent="0.25">
      <c r="A6" s="123" t="s">
        <v>181</v>
      </c>
      <c r="B6" s="137">
        <v>85.449999999999989</v>
      </c>
      <c r="C6" s="138">
        <f t="shared" ref="C6:C7" si="0">B6/$B$8</f>
        <v>0.25030024312370014</v>
      </c>
      <c r="D6" s="137">
        <v>314</v>
      </c>
      <c r="E6" s="138">
        <f t="shared" ref="E6:E7" si="1">D6/$D$8</f>
        <v>0.86027397260273974</v>
      </c>
      <c r="F6" s="137">
        <v>107.05000000000001</v>
      </c>
      <c r="G6" s="138">
        <f t="shared" ref="G6:G7" si="2">F6/$F$8</f>
        <v>0.76986695433297381</v>
      </c>
      <c r="H6" s="137">
        <f t="shared" ref="H6:H7" si="3">F6+D6+B6</f>
        <v>506.5</v>
      </c>
      <c r="I6" s="139">
        <f>H6/H8</f>
        <v>0.59909632853898553</v>
      </c>
      <c r="J6" s="137"/>
      <c r="K6" s="138"/>
      <c r="L6" s="137"/>
      <c r="M6" s="138"/>
      <c r="N6" s="137"/>
      <c r="O6" s="138"/>
      <c r="P6" s="137"/>
      <c r="Q6" s="140" t="e">
        <f>P6/P8</f>
        <v>#DIV/0!</v>
      </c>
    </row>
    <row r="7" spans="1:22" x14ac:dyDescent="0.25">
      <c r="A7" s="123" t="s">
        <v>182</v>
      </c>
      <c r="B7" s="137">
        <v>255.94</v>
      </c>
      <c r="C7" s="138">
        <f t="shared" si="0"/>
        <v>0.74969975687629986</v>
      </c>
      <c r="D7" s="137">
        <v>51</v>
      </c>
      <c r="E7" s="138">
        <f t="shared" si="1"/>
        <v>0.13972602739726028</v>
      </c>
      <c r="F7" s="137">
        <v>32</v>
      </c>
      <c r="G7" s="138">
        <f t="shared" si="2"/>
        <v>0.23013304566702622</v>
      </c>
      <c r="H7" s="137">
        <f t="shared" si="3"/>
        <v>338.94</v>
      </c>
      <c r="I7" s="139">
        <f>H7/H8</f>
        <v>0.40090367146101435</v>
      </c>
      <c r="J7" s="137"/>
      <c r="K7" s="138"/>
      <c r="L7" s="137"/>
      <c r="M7" s="138"/>
      <c r="N7" s="137"/>
      <c r="O7" s="138"/>
      <c r="P7" s="137"/>
      <c r="Q7" s="140" t="e">
        <f>P7/P8</f>
        <v>#DIV/0!</v>
      </c>
    </row>
    <row r="8" spans="1:22" x14ac:dyDescent="0.25">
      <c r="A8" s="122" t="s">
        <v>158</v>
      </c>
      <c r="B8" s="135">
        <v>341.39</v>
      </c>
      <c r="C8" s="138"/>
      <c r="D8" s="135">
        <f>SUM(D6:D7)</f>
        <v>365</v>
      </c>
      <c r="E8" s="138"/>
      <c r="F8" s="135">
        <v>139.05000000000001</v>
      </c>
      <c r="G8" s="138"/>
      <c r="H8" s="135">
        <f>H6+H7</f>
        <v>845.44</v>
      </c>
      <c r="I8" s="141">
        <f t="shared" ref="I8:O8" si="4">SUM(I6:I7)</f>
        <v>0.99999999999999989</v>
      </c>
      <c r="J8" s="135">
        <f t="shared" si="4"/>
        <v>0</v>
      </c>
      <c r="K8" s="138">
        <f t="shared" si="4"/>
        <v>0</v>
      </c>
      <c r="L8" s="135">
        <f t="shared" si="4"/>
        <v>0</v>
      </c>
      <c r="M8" s="138">
        <f t="shared" si="4"/>
        <v>0</v>
      </c>
      <c r="N8" s="135">
        <f t="shared" si="4"/>
        <v>0</v>
      </c>
      <c r="O8" s="138">
        <f t="shared" si="4"/>
        <v>0</v>
      </c>
      <c r="P8" s="135">
        <f>P6+P7</f>
        <v>0</v>
      </c>
      <c r="Q8" s="141" t="e">
        <f>SUM(Q6:Q7)</f>
        <v>#DIV/0!</v>
      </c>
      <c r="U8" s="142">
        <f>845</f>
        <v>845</v>
      </c>
      <c r="V8" s="133">
        <f>H8-U8</f>
        <v>0.44000000000005457</v>
      </c>
    </row>
    <row r="9" spans="1:22" x14ac:dyDescent="0.25">
      <c r="B9" s="143"/>
      <c r="C9" s="144"/>
      <c r="D9" s="144"/>
      <c r="E9" s="144"/>
      <c r="F9" s="143"/>
      <c r="H9" s="144"/>
    </row>
    <row r="10" spans="1:22" x14ac:dyDescent="0.25">
      <c r="H10" s="133"/>
    </row>
    <row r="11" spans="1:22" x14ac:dyDescent="0.25">
      <c r="A11" s="121" t="s">
        <v>172</v>
      </c>
      <c r="B11" s="132"/>
      <c r="C11" s="132"/>
      <c r="D11" s="132"/>
      <c r="E11" s="132"/>
      <c r="F11" s="132"/>
      <c r="G11" s="132"/>
      <c r="H11" s="132"/>
    </row>
    <row r="12" spans="1:22" x14ac:dyDescent="0.25">
      <c r="A12" s="121" t="s">
        <v>183</v>
      </c>
      <c r="B12" s="132"/>
      <c r="C12" s="132"/>
      <c r="D12" s="132"/>
      <c r="E12" s="132"/>
      <c r="F12" s="132"/>
      <c r="G12" s="132"/>
      <c r="H12" s="121"/>
      <c r="I12" s="121" t="s">
        <v>173</v>
      </c>
      <c r="J12" s="121"/>
    </row>
    <row r="13" spans="1:22" x14ac:dyDescent="0.25">
      <c r="A13" s="158" t="s">
        <v>126</v>
      </c>
      <c r="B13" s="155" t="s">
        <v>184</v>
      </c>
      <c r="C13" s="156"/>
      <c r="D13" s="156"/>
      <c r="E13" s="156"/>
      <c r="F13" s="156"/>
      <c r="G13" s="156"/>
      <c r="H13" s="156"/>
      <c r="I13" s="157"/>
      <c r="J13" s="155" t="s">
        <v>185</v>
      </c>
      <c r="K13" s="156"/>
      <c r="L13" s="156"/>
      <c r="M13" s="156"/>
      <c r="N13" s="156"/>
      <c r="O13" s="156"/>
      <c r="P13" s="156"/>
      <c r="Q13" s="157"/>
    </row>
    <row r="14" spans="1:22" ht="45" x14ac:dyDescent="0.25">
      <c r="A14" s="159"/>
      <c r="B14" s="155" t="s">
        <v>186</v>
      </c>
      <c r="C14" s="156"/>
      <c r="D14" s="157"/>
      <c r="E14" s="145" t="s">
        <v>177</v>
      </c>
      <c r="F14" s="145" t="s">
        <v>179</v>
      </c>
      <c r="G14" s="145" t="s">
        <v>177</v>
      </c>
      <c r="H14" s="145" t="s">
        <v>158</v>
      </c>
      <c r="I14" s="146" t="s">
        <v>187</v>
      </c>
      <c r="J14" s="145" t="s">
        <v>178</v>
      </c>
      <c r="K14" s="145" t="s">
        <v>177</v>
      </c>
      <c r="L14" s="145" t="s">
        <v>176</v>
      </c>
      <c r="M14" s="145" t="s">
        <v>177</v>
      </c>
      <c r="N14" s="145" t="s">
        <v>179</v>
      </c>
      <c r="O14" s="145" t="s">
        <v>177</v>
      </c>
      <c r="P14" s="145" t="s">
        <v>158</v>
      </c>
      <c r="Q14" s="146" t="s">
        <v>188</v>
      </c>
    </row>
    <row r="15" spans="1:22" x14ac:dyDescent="0.25">
      <c r="A15" s="123" t="s">
        <v>181</v>
      </c>
      <c r="B15" s="160">
        <f>630.68-329.24-20-101</f>
        <v>180.43999999999994</v>
      </c>
      <c r="C15" s="161"/>
      <c r="D15" s="162"/>
      <c r="E15" s="138">
        <f t="shared" ref="E15:E16" si="5">B15/$B$17</f>
        <v>0.35402605556427552</v>
      </c>
      <c r="F15" s="137">
        <f>121-20</f>
        <v>101</v>
      </c>
      <c r="G15" s="138">
        <f t="shared" ref="G15:G16" si="6">F15/$F$17</f>
        <v>0.83471074380165289</v>
      </c>
      <c r="H15" s="137">
        <f t="shared" ref="H15:H16" si="7">B15+F15</f>
        <v>281.43999999999994</v>
      </c>
      <c r="I15" s="139">
        <f>H15/H17</f>
        <v>0.4462484936893511</v>
      </c>
      <c r="J15" s="137"/>
      <c r="K15" s="138"/>
      <c r="L15" s="137"/>
      <c r="M15" s="138"/>
      <c r="N15" s="137"/>
      <c r="O15" s="138"/>
      <c r="P15" s="137"/>
      <c r="Q15" s="140" t="e">
        <f>P15/P17</f>
        <v>#DIV/0!</v>
      </c>
    </row>
    <row r="16" spans="1:22" x14ac:dyDescent="0.25">
      <c r="A16" s="123" t="s">
        <v>189</v>
      </c>
      <c r="B16" s="160">
        <v>329.24</v>
      </c>
      <c r="C16" s="161"/>
      <c r="D16" s="162"/>
      <c r="E16" s="138">
        <f t="shared" si="5"/>
        <v>0.64597394443572442</v>
      </c>
      <c r="F16" s="137">
        <v>20</v>
      </c>
      <c r="G16" s="138">
        <f t="shared" si="6"/>
        <v>0.16528925619834711</v>
      </c>
      <c r="H16" s="137">
        <f t="shared" si="7"/>
        <v>349.24</v>
      </c>
      <c r="I16" s="139">
        <f>H16/H17</f>
        <v>0.55375150631064884</v>
      </c>
      <c r="J16" s="137"/>
      <c r="K16" s="138"/>
      <c r="L16" s="137"/>
      <c r="M16" s="138"/>
      <c r="N16" s="137"/>
      <c r="O16" s="138"/>
      <c r="P16" s="137"/>
      <c r="Q16" s="140" t="e">
        <f>P16/P17</f>
        <v>#DIV/0!</v>
      </c>
    </row>
    <row r="17" spans="1:17" x14ac:dyDescent="0.25">
      <c r="A17" s="122" t="s">
        <v>158</v>
      </c>
      <c r="B17" s="160">
        <f>SUM(B15+B16)</f>
        <v>509.67999999999995</v>
      </c>
      <c r="C17" s="161"/>
      <c r="D17" s="162"/>
      <c r="E17" s="138"/>
      <c r="F17" s="135">
        <f>SUM(F15:F16)</f>
        <v>121</v>
      </c>
      <c r="G17" s="138"/>
      <c r="H17" s="135">
        <f t="shared" ref="H17:Q17" si="8">SUM(H15:H16)</f>
        <v>630.67999999999995</v>
      </c>
      <c r="I17" s="141">
        <f t="shared" si="8"/>
        <v>1</v>
      </c>
      <c r="J17" s="135">
        <f t="shared" si="8"/>
        <v>0</v>
      </c>
      <c r="K17" s="138">
        <f t="shared" si="8"/>
        <v>0</v>
      </c>
      <c r="L17" s="135">
        <f t="shared" si="8"/>
        <v>0</v>
      </c>
      <c r="M17" s="138">
        <f t="shared" si="8"/>
        <v>0</v>
      </c>
      <c r="N17" s="135">
        <f t="shared" si="8"/>
        <v>0</v>
      </c>
      <c r="O17" s="138">
        <f t="shared" si="8"/>
        <v>0</v>
      </c>
      <c r="P17" s="135">
        <f t="shared" si="8"/>
        <v>0</v>
      </c>
      <c r="Q17" s="141" t="e">
        <f t="shared" si="8"/>
        <v>#DIV/0!</v>
      </c>
    </row>
    <row r="20" spans="1:17" hidden="1" x14ac:dyDescent="0.25">
      <c r="A20" s="121" t="s">
        <v>172</v>
      </c>
      <c r="B20" s="132"/>
      <c r="C20" s="132"/>
      <c r="D20" s="132"/>
      <c r="E20" s="132"/>
      <c r="F20" s="132"/>
      <c r="G20" s="132"/>
      <c r="H20" s="132"/>
    </row>
    <row r="21" spans="1:17" ht="15.75" hidden="1" customHeight="1" x14ac:dyDescent="0.25">
      <c r="A21" s="121" t="str">
        <f>A3</f>
        <v>Revenue from Operations</v>
      </c>
      <c r="B21" s="132"/>
      <c r="C21" s="132"/>
      <c r="D21" s="132"/>
      <c r="E21" s="132"/>
      <c r="F21" s="132"/>
      <c r="G21" s="132"/>
      <c r="H21" s="121" t="s">
        <v>125</v>
      </c>
      <c r="J21" s="121"/>
    </row>
    <row r="22" spans="1:17" ht="15.75" hidden="1" customHeight="1" x14ac:dyDescent="0.25">
      <c r="A22" s="158" t="s">
        <v>126</v>
      </c>
      <c r="B22" s="155" t="s">
        <v>190</v>
      </c>
      <c r="C22" s="156"/>
      <c r="D22" s="156"/>
      <c r="E22" s="156"/>
      <c r="F22" s="156"/>
      <c r="G22" s="156"/>
      <c r="H22" s="156"/>
      <c r="I22" s="157"/>
      <c r="J22" s="155" t="s">
        <v>191</v>
      </c>
      <c r="K22" s="156"/>
      <c r="L22" s="156"/>
      <c r="M22" s="156"/>
      <c r="N22" s="156"/>
      <c r="O22" s="156"/>
      <c r="P22" s="156"/>
      <c r="Q22" s="157"/>
    </row>
    <row r="23" spans="1:17" ht="15.75" hidden="1" customHeight="1" x14ac:dyDescent="0.25">
      <c r="A23" s="159"/>
      <c r="B23" s="145" t="s">
        <v>178</v>
      </c>
      <c r="C23" s="145" t="s">
        <v>177</v>
      </c>
      <c r="D23" s="145" t="s">
        <v>176</v>
      </c>
      <c r="E23" s="145" t="s">
        <v>177</v>
      </c>
      <c r="F23" s="145" t="s">
        <v>179</v>
      </c>
      <c r="G23" s="145" t="s">
        <v>177</v>
      </c>
      <c r="H23" s="145" t="s">
        <v>158</v>
      </c>
      <c r="I23" s="146" t="s">
        <v>188</v>
      </c>
      <c r="J23" s="145" t="s">
        <v>178</v>
      </c>
      <c r="K23" s="145" t="s">
        <v>177</v>
      </c>
      <c r="L23" s="145" t="s">
        <v>176</v>
      </c>
      <c r="M23" s="145" t="s">
        <v>177</v>
      </c>
      <c r="N23" s="145" t="s">
        <v>179</v>
      </c>
      <c r="O23" s="145" t="s">
        <v>177</v>
      </c>
      <c r="P23" s="145" t="s">
        <v>158</v>
      </c>
      <c r="Q23" s="146" t="s">
        <v>188</v>
      </c>
    </row>
    <row r="24" spans="1:17" ht="15.75" hidden="1" customHeight="1" x14ac:dyDescent="0.25">
      <c r="A24" s="123" t="s">
        <v>181</v>
      </c>
      <c r="B24" s="137">
        <v>8534.9883287500015</v>
      </c>
      <c r="C24" s="138"/>
      <c r="D24" s="137">
        <v>2334</v>
      </c>
      <c r="E24" s="138"/>
      <c r="F24" s="137"/>
      <c r="G24" s="138"/>
      <c r="H24" s="137"/>
      <c r="I24" s="139" t="e">
        <f>H24/H26</f>
        <v>#DIV/0!</v>
      </c>
      <c r="J24" s="137"/>
      <c r="K24" s="138"/>
      <c r="L24" s="137"/>
      <c r="M24" s="138"/>
      <c r="N24" s="137"/>
      <c r="O24" s="138"/>
      <c r="P24" s="137"/>
      <c r="Q24" s="140" t="e">
        <f>P24/P26</f>
        <v>#DIV/0!</v>
      </c>
    </row>
    <row r="25" spans="1:17" ht="15.75" hidden="1" customHeight="1" x14ac:dyDescent="0.25">
      <c r="A25" s="123" t="s">
        <v>189</v>
      </c>
      <c r="B25" s="137">
        <v>922.13357670000016</v>
      </c>
      <c r="C25" s="138"/>
      <c r="D25" s="137">
        <v>5010</v>
      </c>
      <c r="E25" s="138"/>
      <c r="F25" s="137"/>
      <c r="G25" s="138"/>
      <c r="H25" s="137"/>
      <c r="I25" s="139" t="e">
        <f>H25/H26</f>
        <v>#DIV/0!</v>
      </c>
      <c r="J25" s="137"/>
      <c r="K25" s="138"/>
      <c r="L25" s="137"/>
      <c r="M25" s="138"/>
      <c r="N25" s="137"/>
      <c r="O25" s="138"/>
      <c r="P25" s="137"/>
      <c r="Q25" s="140" t="e">
        <f>P25/P26</f>
        <v>#DIV/0!</v>
      </c>
    </row>
    <row r="26" spans="1:17" ht="15.75" hidden="1" customHeight="1" x14ac:dyDescent="0.25">
      <c r="A26" s="122" t="s">
        <v>158</v>
      </c>
      <c r="B26" s="135">
        <f t="shared" ref="B26:Q26" si="9">SUM(B24:B25)</f>
        <v>9457.1219054500016</v>
      </c>
      <c r="C26" s="138">
        <f t="shared" si="9"/>
        <v>0</v>
      </c>
      <c r="D26" s="135">
        <f t="shared" si="9"/>
        <v>7344</v>
      </c>
      <c r="E26" s="138">
        <f t="shared" si="9"/>
        <v>0</v>
      </c>
      <c r="F26" s="135">
        <f t="shared" si="9"/>
        <v>0</v>
      </c>
      <c r="G26" s="138">
        <f t="shared" si="9"/>
        <v>0</v>
      </c>
      <c r="H26" s="135">
        <f t="shared" si="9"/>
        <v>0</v>
      </c>
      <c r="I26" s="141" t="e">
        <f t="shared" si="9"/>
        <v>#DIV/0!</v>
      </c>
      <c r="J26" s="135">
        <f t="shared" si="9"/>
        <v>0</v>
      </c>
      <c r="K26" s="138">
        <f t="shared" si="9"/>
        <v>0</v>
      </c>
      <c r="L26" s="135">
        <f t="shared" si="9"/>
        <v>0</v>
      </c>
      <c r="M26" s="138">
        <f t="shared" si="9"/>
        <v>0</v>
      </c>
      <c r="N26" s="135">
        <f t="shared" si="9"/>
        <v>0</v>
      </c>
      <c r="O26" s="138">
        <f t="shared" si="9"/>
        <v>0</v>
      </c>
      <c r="P26" s="135">
        <f t="shared" si="9"/>
        <v>0</v>
      </c>
      <c r="Q26" s="141" t="e">
        <f t="shared" si="9"/>
        <v>#DIV/0!</v>
      </c>
    </row>
    <row r="27" spans="1:17" ht="15.75" hidden="1" customHeight="1" x14ac:dyDescent="0.25"/>
    <row r="28" spans="1:17" ht="15.75" hidden="1" customHeight="1" x14ac:dyDescent="0.25"/>
    <row r="29" spans="1:17" ht="15.75" hidden="1" customHeight="1" x14ac:dyDescent="0.25"/>
    <row r="30" spans="1:17" ht="15.75" hidden="1" customHeight="1" x14ac:dyDescent="0.25">
      <c r="A30" s="121" t="s">
        <v>172</v>
      </c>
      <c r="B30" s="132"/>
      <c r="C30" s="132"/>
      <c r="D30" s="132"/>
      <c r="E30" s="132"/>
      <c r="F30" s="132"/>
      <c r="G30" s="132"/>
      <c r="H30" s="132"/>
    </row>
    <row r="31" spans="1:17" ht="15.75" hidden="1" customHeight="1" x14ac:dyDescent="0.25">
      <c r="A31" s="121" t="s">
        <v>192</v>
      </c>
      <c r="B31" s="132"/>
      <c r="C31" s="132"/>
      <c r="D31" s="132"/>
      <c r="E31" s="132"/>
      <c r="F31" s="132"/>
      <c r="G31" s="132"/>
      <c r="H31" s="121" t="s">
        <v>125</v>
      </c>
      <c r="J31" s="121"/>
    </row>
    <row r="32" spans="1:17" ht="15.75" hidden="1" customHeight="1" x14ac:dyDescent="0.25">
      <c r="A32" s="158" t="s">
        <v>126</v>
      </c>
      <c r="B32" s="155" t="s">
        <v>190</v>
      </c>
      <c r="C32" s="156"/>
      <c r="D32" s="156"/>
      <c r="E32" s="156"/>
      <c r="F32" s="156"/>
      <c r="G32" s="156"/>
      <c r="H32" s="156"/>
      <c r="I32" s="157"/>
      <c r="J32" s="155" t="s">
        <v>191</v>
      </c>
      <c r="K32" s="156"/>
      <c r="L32" s="156"/>
      <c r="M32" s="156"/>
      <c r="N32" s="156"/>
      <c r="O32" s="156"/>
      <c r="P32" s="156"/>
      <c r="Q32" s="157"/>
    </row>
    <row r="33" spans="1:17" ht="15.75" hidden="1" customHeight="1" x14ac:dyDescent="0.25">
      <c r="A33" s="159"/>
      <c r="B33" s="155" t="s">
        <v>186</v>
      </c>
      <c r="C33" s="156"/>
      <c r="D33" s="157"/>
      <c r="E33" s="145" t="s">
        <v>177</v>
      </c>
      <c r="F33" s="145" t="s">
        <v>179</v>
      </c>
      <c r="G33" s="145" t="s">
        <v>177</v>
      </c>
      <c r="H33" s="145" t="s">
        <v>158</v>
      </c>
      <c r="I33" s="146" t="s">
        <v>188</v>
      </c>
      <c r="J33" s="145" t="s">
        <v>178</v>
      </c>
      <c r="K33" s="145" t="s">
        <v>177</v>
      </c>
      <c r="L33" s="145" t="s">
        <v>176</v>
      </c>
      <c r="M33" s="145" t="s">
        <v>177</v>
      </c>
      <c r="N33" s="145" t="s">
        <v>179</v>
      </c>
      <c r="O33" s="145" t="s">
        <v>177</v>
      </c>
      <c r="P33" s="145" t="s">
        <v>158</v>
      </c>
      <c r="Q33" s="146" t="s">
        <v>188</v>
      </c>
    </row>
    <row r="34" spans="1:17" ht="15.75" hidden="1" customHeight="1" x14ac:dyDescent="0.25">
      <c r="A34" s="123" t="s">
        <v>181</v>
      </c>
      <c r="B34" s="160"/>
      <c r="C34" s="161"/>
      <c r="D34" s="162"/>
      <c r="E34" s="138"/>
      <c r="F34" s="137"/>
      <c r="G34" s="138"/>
      <c r="H34" s="137"/>
      <c r="I34" s="139" t="e">
        <f>H34/H36</f>
        <v>#DIV/0!</v>
      </c>
      <c r="J34" s="137"/>
      <c r="K34" s="138"/>
      <c r="L34" s="137"/>
      <c r="M34" s="138"/>
      <c r="N34" s="137"/>
      <c r="O34" s="138"/>
      <c r="P34" s="137"/>
      <c r="Q34" s="140" t="e">
        <f>P34/P36</f>
        <v>#DIV/0!</v>
      </c>
    </row>
    <row r="35" spans="1:17" ht="15.75" hidden="1" customHeight="1" x14ac:dyDescent="0.25">
      <c r="A35" s="123" t="s">
        <v>189</v>
      </c>
      <c r="B35" s="160"/>
      <c r="C35" s="161"/>
      <c r="D35" s="162"/>
      <c r="E35" s="138"/>
      <c r="F35" s="137"/>
      <c r="G35" s="138"/>
      <c r="H35" s="137"/>
      <c r="I35" s="139" t="e">
        <f>H35/H36</f>
        <v>#DIV/0!</v>
      </c>
      <c r="J35" s="137"/>
      <c r="K35" s="138"/>
      <c r="L35" s="137"/>
      <c r="M35" s="138"/>
      <c r="N35" s="137"/>
      <c r="O35" s="138"/>
      <c r="P35" s="137"/>
      <c r="Q35" s="140" t="e">
        <f>P35/P36</f>
        <v>#DIV/0!</v>
      </c>
    </row>
    <row r="36" spans="1:17" ht="15.75" hidden="1" customHeight="1" x14ac:dyDescent="0.25">
      <c r="A36" s="122" t="s">
        <v>158</v>
      </c>
      <c r="B36" s="160">
        <f>SUM(B34+B35)</f>
        <v>0</v>
      </c>
      <c r="C36" s="161"/>
      <c r="D36" s="162"/>
      <c r="E36" s="138">
        <f t="shared" ref="E36:Q36" si="10">SUM(E34:E35)</f>
        <v>0</v>
      </c>
      <c r="F36" s="135">
        <f t="shared" si="10"/>
        <v>0</v>
      </c>
      <c r="G36" s="138">
        <f t="shared" si="10"/>
        <v>0</v>
      </c>
      <c r="H36" s="135">
        <f t="shared" si="10"/>
        <v>0</v>
      </c>
      <c r="I36" s="141" t="e">
        <f t="shared" si="10"/>
        <v>#DIV/0!</v>
      </c>
      <c r="J36" s="135">
        <f t="shared" si="10"/>
        <v>0</v>
      </c>
      <c r="K36" s="138">
        <f t="shared" si="10"/>
        <v>0</v>
      </c>
      <c r="L36" s="135">
        <f t="shared" si="10"/>
        <v>0</v>
      </c>
      <c r="M36" s="138">
        <f t="shared" si="10"/>
        <v>0</v>
      </c>
      <c r="N36" s="135">
        <f t="shared" si="10"/>
        <v>0</v>
      </c>
      <c r="O36" s="138">
        <f t="shared" si="10"/>
        <v>0</v>
      </c>
      <c r="P36" s="135">
        <f t="shared" si="10"/>
        <v>0</v>
      </c>
      <c r="Q36" s="141" t="e">
        <f t="shared" si="10"/>
        <v>#DIV/0!</v>
      </c>
    </row>
    <row r="37" spans="1:17" ht="15.75" hidden="1" customHeight="1" x14ac:dyDescent="0.25"/>
    <row r="38" spans="1:17" ht="15.75" hidden="1" customHeight="1" x14ac:dyDescent="0.25"/>
    <row r="39" spans="1:17" ht="15.75" hidden="1" customHeight="1" x14ac:dyDescent="0.25"/>
    <row r="40" spans="1:17" ht="15.75" hidden="1" customHeight="1" x14ac:dyDescent="0.25"/>
    <row r="41" spans="1:17" ht="15.75" hidden="1" customHeight="1" x14ac:dyDescent="0.25"/>
    <row r="42" spans="1:17" ht="15.75" hidden="1" customHeight="1" x14ac:dyDescent="0.25"/>
    <row r="43" spans="1:17" ht="15.75" hidden="1" customHeight="1" x14ac:dyDescent="0.25"/>
    <row r="44" spans="1:17" ht="15.75" hidden="1" customHeight="1" x14ac:dyDescent="0.25"/>
    <row r="45" spans="1:17" ht="15.75" hidden="1" customHeight="1" x14ac:dyDescent="0.25"/>
    <row r="46" spans="1:17" ht="15.75" hidden="1" customHeight="1" x14ac:dyDescent="0.25"/>
    <row r="47" spans="1:17" ht="15.75" hidden="1" customHeight="1" x14ac:dyDescent="0.25"/>
    <row r="48" spans="1:17" ht="15.75" hidden="1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0">
    <mergeCell ref="A4:A5"/>
    <mergeCell ref="B4:I4"/>
    <mergeCell ref="J4:Q4"/>
    <mergeCell ref="A13:A14"/>
    <mergeCell ref="B13:I13"/>
    <mergeCell ref="J13:Q13"/>
    <mergeCell ref="B14:D14"/>
    <mergeCell ref="J22:Q22"/>
    <mergeCell ref="A32:A33"/>
    <mergeCell ref="B36:D36"/>
    <mergeCell ref="B15:D15"/>
    <mergeCell ref="B16:D16"/>
    <mergeCell ref="B17:D17"/>
    <mergeCell ref="A22:A23"/>
    <mergeCell ref="B22:I22"/>
    <mergeCell ref="B32:I32"/>
    <mergeCell ref="J32:Q32"/>
    <mergeCell ref="B33:D33"/>
    <mergeCell ref="B34:D34"/>
    <mergeCell ref="B35:D3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sheet- CONSOLIDATED</vt:lpstr>
      <vt:lpstr>ES</vt:lpstr>
      <vt:lpstr>Forex Gain Loss</vt:lpstr>
      <vt:lpstr>Import 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dcterms:created xsi:type="dcterms:W3CDTF">2025-02-20T11:00:49Z</dcterms:created>
  <dcterms:modified xsi:type="dcterms:W3CDTF">2025-06-12T07:32:29Z</dcterms:modified>
</cp:coreProperties>
</file>