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Harshit\Aarvi Encon\Summary Sheet\Q4-FY25\"/>
    </mc:Choice>
  </mc:AlternateContent>
  <bookViews>
    <workbookView xWindow="0" yWindow="0" windowWidth="20490" windowHeight="7020" firstSheet="1" activeTab="1"/>
  </bookViews>
  <sheets>
    <sheet name="Standalone" sheetId="4" state="hidden" r:id="rId1"/>
    <sheet name="Consolidated" sheetId="5" r:id="rId2"/>
    <sheet name="Peer Analysis working" sheetId="6" state="hidden" r:id="rId3"/>
    <sheet name="Peer Analysis Final" sheetId="7" state="hidden" r:id="rId4"/>
  </sheets>
  <externalReferences>
    <externalReference r:id="rId5"/>
  </externalReferences>
  <definedNames>
    <definedName name="_xlnm.Print_Area" localSheetId="1">Consolidated!$A$1:$Z$79</definedName>
    <definedName name="_xlnm.Print_Area" localSheetId="3">'Peer Analysis Final'!$A$1:$I$51</definedName>
    <definedName name="_xlnm.Print_Area" localSheetId="0">Standalone!$A$1:$T$78</definedName>
  </definedNames>
  <calcPr calcId="162913"/>
</workbook>
</file>

<file path=xl/calcChain.xml><?xml version="1.0" encoding="utf-8"?>
<calcChain xmlns="http://schemas.openxmlformats.org/spreadsheetml/2006/main">
  <c r="AC62" i="5" l="1"/>
  <c r="AC63" i="5"/>
  <c r="AC65" i="5"/>
  <c r="AC66" i="5"/>
  <c r="AC67" i="5"/>
  <c r="AC68" i="5"/>
  <c r="AC69" i="5"/>
  <c r="AC70" i="5"/>
  <c r="AC71" i="5"/>
  <c r="AC72" i="5"/>
  <c r="AC73" i="5"/>
  <c r="AC76" i="5" s="1"/>
  <c r="AC74" i="5"/>
  <c r="AC77" i="5"/>
  <c r="AC78" i="5"/>
  <c r="AC79" i="5"/>
  <c r="AB79" i="5"/>
  <c r="AB78" i="5"/>
  <c r="AB77" i="5"/>
  <c r="AB76" i="5"/>
  <c r="AB74" i="5"/>
  <c r="AB73" i="5"/>
  <c r="AB72" i="5"/>
  <c r="AB71" i="5"/>
  <c r="AB70" i="5"/>
  <c r="AB69" i="5"/>
  <c r="AB68" i="5"/>
  <c r="AB67" i="5"/>
  <c r="AB66" i="5"/>
  <c r="AB65" i="5"/>
  <c r="AB63" i="5"/>
  <c r="AB62" i="5"/>
  <c r="AC49" i="5"/>
  <c r="AB49" i="5"/>
  <c r="AC41" i="5"/>
  <c r="AB41" i="5"/>
  <c r="AC30" i="5"/>
  <c r="AB30" i="5"/>
  <c r="AC15" i="5"/>
  <c r="AB15" i="5"/>
  <c r="AC11" i="5"/>
  <c r="AB11" i="5"/>
  <c r="AC10" i="5"/>
  <c r="AB10" i="5"/>
  <c r="AC6" i="5"/>
  <c r="AB6" i="5"/>
  <c r="L64" i="5"/>
  <c r="M64" i="5"/>
  <c r="M63" i="5"/>
  <c r="M62" i="5"/>
  <c r="M61" i="5"/>
  <c r="M56" i="5"/>
  <c r="L56" i="5"/>
  <c r="M54" i="5"/>
  <c r="L54" i="5"/>
  <c r="M44" i="5"/>
  <c r="M40" i="5"/>
  <c r="L45" i="5"/>
  <c r="L40" i="5"/>
  <c r="M35" i="5"/>
  <c r="L35" i="5"/>
  <c r="M34" i="5"/>
  <c r="L34" i="5"/>
  <c r="M32" i="5"/>
  <c r="L32" i="5"/>
  <c r="M31" i="5"/>
  <c r="L31" i="5"/>
  <c r="M27" i="5"/>
  <c r="L27" i="5"/>
  <c r="M26" i="5"/>
  <c r="L26" i="5"/>
  <c r="M25" i="5"/>
  <c r="L25" i="5"/>
  <c r="M24" i="5"/>
  <c r="L24" i="5"/>
  <c r="M22" i="5"/>
  <c r="L22" i="5"/>
  <c r="M16" i="5"/>
  <c r="L16" i="5"/>
  <c r="M15" i="5"/>
  <c r="L15" i="5"/>
  <c r="M14" i="5"/>
  <c r="L14" i="5"/>
  <c r="M13" i="5"/>
  <c r="L13" i="5"/>
  <c r="M7" i="5"/>
  <c r="L7" i="5"/>
  <c r="M6" i="5"/>
  <c r="L6" i="5"/>
  <c r="M5" i="5"/>
  <c r="L5" i="5"/>
  <c r="AC43" i="5" l="1"/>
  <c r="AC56" i="5"/>
  <c r="U11" i="5"/>
  <c r="U10" i="5"/>
  <c r="U41" i="5"/>
  <c r="U30" i="5"/>
  <c r="U49" i="5" s="1"/>
  <c r="U6" i="5"/>
  <c r="M55" i="5"/>
  <c r="M45" i="5"/>
  <c r="AC55" i="5" l="1"/>
  <c r="AC12" i="5" s="1"/>
  <c r="T41" i="5"/>
  <c r="V41" i="5"/>
  <c r="W41" i="5"/>
  <c r="X41" i="5"/>
  <c r="Y41" i="5"/>
  <c r="Z41" i="5"/>
  <c r="L61" i="5" l="1"/>
  <c r="M30" i="5" l="1"/>
  <c r="L44" i="5" l="1"/>
  <c r="K35" i="5"/>
  <c r="K34" i="5"/>
  <c r="L63" i="5" l="1"/>
  <c r="K5" i="5"/>
  <c r="K6" i="5"/>
  <c r="AB55" i="5"/>
  <c r="AB12" i="5" s="1"/>
  <c r="K7" i="5"/>
  <c r="K13" i="5" s="1"/>
  <c r="K22" i="5" s="1"/>
  <c r="J7" i="5"/>
  <c r="J13" i="5" s="1"/>
  <c r="L62" i="5"/>
  <c r="C5" i="5"/>
  <c r="D5" i="5"/>
  <c r="G5" i="5"/>
  <c r="H5" i="5"/>
  <c r="I5" i="5"/>
  <c r="J5" i="5"/>
  <c r="H6" i="5"/>
  <c r="I6" i="5"/>
  <c r="J6" i="5"/>
  <c r="P6" i="5"/>
  <c r="P11" i="5" s="1"/>
  <c r="Q6" i="5"/>
  <c r="Q11" i="5" s="1"/>
  <c r="R6" i="5"/>
  <c r="R11" i="5" s="1"/>
  <c r="S6" i="5"/>
  <c r="S11" i="5" s="1"/>
  <c r="T6" i="5"/>
  <c r="T11" i="5" s="1"/>
  <c r="V6" i="5"/>
  <c r="V11" i="5" s="1"/>
  <c r="W6" i="5"/>
  <c r="W11" i="5" s="1"/>
  <c r="X6" i="5"/>
  <c r="X11" i="5" s="1"/>
  <c r="Y6" i="5"/>
  <c r="Y11" i="5" s="1"/>
  <c r="Z6" i="5"/>
  <c r="Z11" i="5" s="1"/>
  <c r="AA6" i="5"/>
  <c r="B7" i="5"/>
  <c r="C7" i="5"/>
  <c r="C13" i="5" s="1"/>
  <c r="D7" i="5"/>
  <c r="F7" i="5"/>
  <c r="F13" i="5" s="1"/>
  <c r="G7" i="5"/>
  <c r="G13" i="5" s="1"/>
  <c r="H7" i="5"/>
  <c r="H13" i="5" s="1"/>
  <c r="I7" i="5"/>
  <c r="I13" i="5" s="1"/>
  <c r="P10" i="5"/>
  <c r="Q10" i="5"/>
  <c r="R10" i="5"/>
  <c r="S10" i="5"/>
  <c r="T10" i="5"/>
  <c r="V10" i="5"/>
  <c r="W10" i="5"/>
  <c r="X10" i="5"/>
  <c r="Y10" i="5"/>
  <c r="Z10" i="5"/>
  <c r="AA10" i="5"/>
  <c r="D13" i="5"/>
  <c r="D16" i="5" s="1"/>
  <c r="P15" i="5"/>
  <c r="Q15" i="5"/>
  <c r="R15" i="5"/>
  <c r="S15" i="5"/>
  <c r="T15" i="5"/>
  <c r="U15" i="5"/>
  <c r="V15" i="5"/>
  <c r="W15" i="5"/>
  <c r="X15" i="5"/>
  <c r="Y15" i="5"/>
  <c r="Z15" i="5"/>
  <c r="AA15" i="5"/>
  <c r="B16" i="5"/>
  <c r="B22" i="5"/>
  <c r="B24" i="5" s="1"/>
  <c r="C23" i="5"/>
  <c r="D23" i="5"/>
  <c r="B26" i="5"/>
  <c r="B30" i="5"/>
  <c r="P30" i="5"/>
  <c r="Q30" i="5"/>
  <c r="R30" i="5"/>
  <c r="S30" i="5"/>
  <c r="T30" i="5"/>
  <c r="V30" i="5"/>
  <c r="W30" i="5"/>
  <c r="X30" i="5"/>
  <c r="Y30" i="5"/>
  <c r="Z30" i="5"/>
  <c r="AA30" i="5"/>
  <c r="C34" i="5"/>
  <c r="D34" i="5"/>
  <c r="G34" i="5"/>
  <c r="H34" i="5"/>
  <c r="I34" i="5"/>
  <c r="J34" i="5"/>
  <c r="H35" i="5"/>
  <c r="I35" i="5"/>
  <c r="J35" i="5"/>
  <c r="F40" i="5"/>
  <c r="G40" i="5"/>
  <c r="H40" i="5"/>
  <c r="F41" i="5"/>
  <c r="F54" i="5" s="1"/>
  <c r="G41" i="5"/>
  <c r="G54" i="5" s="1"/>
  <c r="H41" i="5"/>
  <c r="H54" i="5" s="1"/>
  <c r="P41" i="5"/>
  <c r="Q41" i="5"/>
  <c r="R41" i="5"/>
  <c r="S41" i="5"/>
  <c r="V49" i="5"/>
  <c r="AA41" i="5"/>
  <c r="F42" i="5"/>
  <c r="G42" i="5"/>
  <c r="H42" i="5"/>
  <c r="F43" i="5"/>
  <c r="G43" i="5"/>
  <c r="H43" i="5"/>
  <c r="B44" i="5"/>
  <c r="B45" i="5" s="1"/>
  <c r="C44" i="5"/>
  <c r="C45" i="5" s="1"/>
  <c r="D44" i="5"/>
  <c r="D45" i="5" s="1"/>
  <c r="F44" i="5"/>
  <c r="G44" i="5"/>
  <c r="H44" i="5"/>
  <c r="J44" i="5"/>
  <c r="J45" i="5" s="1"/>
  <c r="K44" i="5"/>
  <c r="K45" i="5" s="1"/>
  <c r="I45" i="5"/>
  <c r="B54" i="5"/>
  <c r="C54" i="5"/>
  <c r="D54" i="5"/>
  <c r="I54" i="5"/>
  <c r="I56" i="5" s="1"/>
  <c r="J54" i="5"/>
  <c r="J56" i="5" s="1"/>
  <c r="K54" i="5"/>
  <c r="K56" i="5" s="1"/>
  <c r="C55" i="5"/>
  <c r="D55" i="5"/>
  <c r="F55" i="5"/>
  <c r="G55" i="5"/>
  <c r="H55" i="5"/>
  <c r="AA72" i="5"/>
  <c r="Z72" i="5"/>
  <c r="Z73" i="5"/>
  <c r="K63" i="5"/>
  <c r="K61" i="5"/>
  <c r="AA62" i="5"/>
  <c r="AA65" i="5" s="1"/>
  <c r="AA73" i="5"/>
  <c r="Z62" i="5"/>
  <c r="Z65" i="5" s="1"/>
  <c r="D56" i="5" l="1"/>
  <c r="C56" i="5"/>
  <c r="D22" i="5"/>
  <c r="D24" i="5" s="1"/>
  <c r="D14" i="5"/>
  <c r="J22" i="5"/>
  <c r="X55" i="5"/>
  <c r="X12" i="5" s="1"/>
  <c r="AA63" i="5"/>
  <c r="AA66" i="5" s="1"/>
  <c r="AA11" i="5"/>
  <c r="AB56" i="5"/>
  <c r="F56" i="5"/>
  <c r="H56" i="5"/>
  <c r="U56" i="5"/>
  <c r="Y56" i="5"/>
  <c r="Q56" i="5"/>
  <c r="T49" i="5"/>
  <c r="X56" i="5"/>
  <c r="P49" i="5"/>
  <c r="F16" i="5"/>
  <c r="F22" i="5"/>
  <c r="AA55" i="5"/>
  <c r="AA12" i="5" s="1"/>
  <c r="S55" i="5"/>
  <c r="S12" i="5" s="1"/>
  <c r="V56" i="5"/>
  <c r="T55" i="5"/>
  <c r="T12" i="5" s="1"/>
  <c r="P55" i="5"/>
  <c r="P12" i="5" s="1"/>
  <c r="P13" i="5" s="1"/>
  <c r="H45" i="5"/>
  <c r="W49" i="5"/>
  <c r="D25" i="5"/>
  <c r="D26" i="5" s="1"/>
  <c r="AA56" i="5"/>
  <c r="V55" i="5"/>
  <c r="V12" i="5" s="1"/>
  <c r="Z56" i="5"/>
  <c r="R56" i="5"/>
  <c r="F45" i="5"/>
  <c r="U55" i="5"/>
  <c r="U12" i="5" s="1"/>
  <c r="I15" i="5"/>
  <c r="I22" i="5"/>
  <c r="I24" i="5" s="1"/>
  <c r="H14" i="5"/>
  <c r="H15" i="5"/>
  <c r="H22" i="5"/>
  <c r="H24" i="5" s="1"/>
  <c r="H16" i="5"/>
  <c r="G16" i="5"/>
  <c r="G14" i="5"/>
  <c r="G22" i="5"/>
  <c r="G24" i="5" s="1"/>
  <c r="G56" i="5"/>
  <c r="C14" i="5"/>
  <c r="P56" i="5"/>
  <c r="C22" i="5"/>
  <c r="W55" i="5"/>
  <c r="W12" i="5" s="1"/>
  <c r="AA49" i="5"/>
  <c r="S49" i="5"/>
  <c r="Z55" i="5"/>
  <c r="Z12" i="5" s="1"/>
  <c r="R55" i="5"/>
  <c r="R12" i="5" s="1"/>
  <c r="Z49" i="5"/>
  <c r="R49" i="5"/>
  <c r="C16" i="5"/>
  <c r="X49" i="5"/>
  <c r="Y49" i="5"/>
  <c r="Q49" i="5"/>
  <c r="S56" i="5"/>
  <c r="G45" i="5"/>
  <c r="W56" i="5"/>
  <c r="J16" i="5"/>
  <c r="J24" i="5"/>
  <c r="J25" i="5"/>
  <c r="K16" i="5"/>
  <c r="K15" i="5"/>
  <c r="K14" i="5"/>
  <c r="I14" i="5"/>
  <c r="Y55" i="5"/>
  <c r="Y12" i="5" s="1"/>
  <c r="Q55" i="5"/>
  <c r="Q12" i="5" s="1"/>
  <c r="I16" i="5"/>
  <c r="J14" i="5"/>
  <c r="T56" i="5"/>
  <c r="J15" i="5"/>
  <c r="K62" i="5"/>
  <c r="K64" i="5" s="1"/>
  <c r="AA67" i="5" s="1"/>
  <c r="AA78" i="5"/>
  <c r="Y74" i="5"/>
  <c r="AA71" i="5"/>
  <c r="AA70" i="5"/>
  <c r="AA69" i="5"/>
  <c r="Y73" i="5"/>
  <c r="D30" i="5" l="1"/>
  <c r="G25" i="5"/>
  <c r="J27" i="5" s="1"/>
  <c r="I25" i="5"/>
  <c r="F25" i="5"/>
  <c r="F24" i="5"/>
  <c r="C25" i="5"/>
  <c r="C24" i="5"/>
  <c r="H25" i="5"/>
  <c r="H26" i="5" s="1"/>
  <c r="H30" i="5"/>
  <c r="I30" i="5"/>
  <c r="I26" i="5"/>
  <c r="J30" i="5"/>
  <c r="J26" i="5"/>
  <c r="K25" i="5"/>
  <c r="K24" i="5"/>
  <c r="G30" i="5"/>
  <c r="G26" i="5"/>
  <c r="Y79" i="5"/>
  <c r="Y67" i="5"/>
  <c r="G34" i="7"/>
  <c r="I34" i="7"/>
  <c r="I33" i="7"/>
  <c r="G33" i="7"/>
  <c r="E33" i="7"/>
  <c r="I28" i="7"/>
  <c r="G28" i="7"/>
  <c r="E28" i="7"/>
  <c r="I38" i="7"/>
  <c r="G38" i="7"/>
  <c r="E38" i="7"/>
  <c r="E34" i="7"/>
  <c r="H38" i="7"/>
  <c r="D38" i="7"/>
  <c r="F38" i="7"/>
  <c r="I27" i="5" l="1"/>
  <c r="F26" i="5"/>
  <c r="F30" i="5"/>
  <c r="G31" i="5" s="1"/>
  <c r="H27" i="5"/>
  <c r="K27" i="5"/>
  <c r="AA68" i="5"/>
  <c r="C30" i="5"/>
  <c r="C26" i="5"/>
  <c r="I31" i="5"/>
  <c r="K30" i="5"/>
  <c r="K26" i="5"/>
  <c r="J32" i="5"/>
  <c r="J31" i="5"/>
  <c r="H31" i="5"/>
  <c r="C37" i="7"/>
  <c r="C27" i="7"/>
  <c r="C24" i="7"/>
  <c r="C21" i="7"/>
  <c r="C43" i="7"/>
  <c r="C25" i="7"/>
  <c r="J63" i="5"/>
  <c r="J61" i="5"/>
  <c r="C28" i="7" s="1"/>
  <c r="C14" i="7"/>
  <c r="C6" i="7"/>
  <c r="C32" i="7"/>
  <c r="C31" i="7"/>
  <c r="I32" i="5" l="1"/>
  <c r="K32" i="5"/>
  <c r="K31" i="5"/>
  <c r="H32" i="5"/>
  <c r="C31" i="5"/>
  <c r="D31" i="5"/>
  <c r="Z78" i="5"/>
  <c r="J62" i="5" l="1"/>
  <c r="Z71" i="5"/>
  <c r="C49" i="7" s="1"/>
  <c r="Z70" i="5"/>
  <c r="C18" i="7"/>
  <c r="C38" i="7" s="1"/>
  <c r="Z63" i="5"/>
  <c r="J64" i="5"/>
  <c r="C51" i="7"/>
  <c r="C19" i="7"/>
  <c r="AA77" i="5"/>
  <c r="C48" i="7"/>
  <c r="C39" i="7" l="1"/>
  <c r="Z66" i="5"/>
  <c r="C33" i="7" s="1"/>
  <c r="C29" i="7"/>
  <c r="B37" i="7"/>
  <c r="B24" i="7"/>
  <c r="B21" i="7"/>
  <c r="B20" i="7"/>
  <c r="B14" i="7"/>
  <c r="B6" i="7"/>
  <c r="W73" i="5"/>
  <c r="X73" i="5"/>
  <c r="W72" i="5"/>
  <c r="X72" i="5"/>
  <c r="Y72" i="5"/>
  <c r="B32" i="7" s="1"/>
  <c r="I63" i="5"/>
  <c r="H63" i="5"/>
  <c r="I61" i="5"/>
  <c r="B28" i="7" s="1"/>
  <c r="B25" i="7"/>
  <c r="Y62" i="5"/>
  <c r="Y65" i="5" s="1"/>
  <c r="B31" i="7" s="1"/>
  <c r="W62" i="5"/>
  <c r="W65" i="5" s="1"/>
  <c r="X62" i="5"/>
  <c r="X65" i="5" s="1"/>
  <c r="B43" i="7" l="1"/>
  <c r="B7" i="7"/>
  <c r="Y63" i="5" l="1"/>
  <c r="I62" i="5" l="1"/>
  <c r="Y78" i="5"/>
  <c r="B51" i="7"/>
  <c r="B19" i="7"/>
  <c r="I64" i="5"/>
  <c r="B18" i="7"/>
  <c r="B38" i="7" s="1"/>
  <c r="Y71" i="5"/>
  <c r="B49" i="7" s="1"/>
  <c r="Y70" i="5"/>
  <c r="B48" i="7" s="1"/>
  <c r="B29" i="7" l="1"/>
  <c r="Z77" i="5"/>
  <c r="C47" i="7" s="1"/>
  <c r="B39" i="7"/>
  <c r="Y66" i="5"/>
  <c r="B33" i="7" s="1"/>
  <c r="E19" i="7" l="1"/>
  <c r="H61" i="5" l="1"/>
  <c r="J60" i="4"/>
  <c r="T73" i="4"/>
  <c r="T62" i="4"/>
  <c r="J62" i="4"/>
  <c r="I51" i="4"/>
  <c r="J54" i="4"/>
  <c r="J53" i="4"/>
  <c r="J52" i="4"/>
  <c r="J49" i="4"/>
  <c r="J44" i="4"/>
  <c r="T29" i="4"/>
  <c r="J34" i="4"/>
  <c r="J33" i="4"/>
  <c r="J7" i="4"/>
  <c r="J13" i="4" s="1"/>
  <c r="J6" i="4"/>
  <c r="J5" i="4"/>
  <c r="X78" i="5"/>
  <c r="X63" i="5" l="1"/>
  <c r="X66" i="5" s="1"/>
  <c r="J55" i="4"/>
  <c r="T74" i="4"/>
  <c r="J63" i="4"/>
  <c r="T67" i="4" s="1"/>
  <c r="X70" i="5"/>
  <c r="X71" i="5"/>
  <c r="J16" i="4"/>
  <c r="J21" i="4"/>
  <c r="T79" i="4"/>
  <c r="Y77" i="5" l="1"/>
  <c r="B47" i="7" s="1"/>
  <c r="J48" i="4"/>
  <c r="J23" i="4"/>
  <c r="J24" i="4"/>
  <c r="I54" i="4"/>
  <c r="H54" i="4"/>
  <c r="G54" i="4"/>
  <c r="H53" i="4"/>
  <c r="G53" i="4"/>
  <c r="I43" i="4"/>
  <c r="I42" i="4"/>
  <c r="I41" i="4"/>
  <c r="I39" i="4"/>
  <c r="I40" i="4"/>
  <c r="I53" i="4" s="1"/>
  <c r="T73" i="5"/>
  <c r="U73" i="5"/>
  <c r="T72" i="5"/>
  <c r="U72" i="5"/>
  <c r="J29" i="4" l="1"/>
  <c r="J25" i="4"/>
  <c r="V73" i="5"/>
  <c r="V72" i="5"/>
  <c r="V62" i="5"/>
  <c r="V65" i="5" s="1"/>
  <c r="B29" i="6" l="1"/>
  <c r="L19" i="6" l="1"/>
  <c r="L18" i="6"/>
  <c r="L15" i="6"/>
  <c r="L14" i="6"/>
  <c r="L11" i="6"/>
  <c r="L10" i="6"/>
  <c r="L7" i="6"/>
  <c r="L6" i="6"/>
  <c r="K7" i="6"/>
  <c r="J11" i="6"/>
  <c r="J10" i="6"/>
  <c r="I16" i="6"/>
  <c r="J7" i="6"/>
  <c r="J6" i="6"/>
  <c r="I6" i="6"/>
  <c r="I7" i="6"/>
  <c r="B20" i="6"/>
  <c r="B19" i="6"/>
  <c r="B17" i="6"/>
  <c r="B16" i="6"/>
  <c r="B14" i="6"/>
  <c r="B7" i="6"/>
  <c r="H50" i="4"/>
  <c r="I50" i="4"/>
  <c r="G50" i="4"/>
  <c r="H51" i="4"/>
  <c r="G51" i="4"/>
  <c r="H34" i="4" l="1"/>
  <c r="G63" i="5"/>
  <c r="F63" i="5"/>
  <c r="B61" i="5"/>
  <c r="C61" i="5"/>
  <c r="D61" i="5"/>
  <c r="F61" i="5"/>
  <c r="G61" i="5"/>
  <c r="B63" i="5"/>
  <c r="C63" i="5"/>
  <c r="D63" i="5"/>
  <c r="H62" i="4"/>
  <c r="I62" i="4"/>
  <c r="G62" i="4"/>
  <c r="H6" i="4" l="1"/>
  <c r="G44" i="4" l="1"/>
  <c r="I44" i="4"/>
  <c r="H44" i="4"/>
  <c r="I42" i="6" l="1"/>
  <c r="I31" i="6"/>
  <c r="I29" i="6"/>
  <c r="I26" i="6"/>
  <c r="I44" i="6" l="1"/>
  <c r="I43" i="6"/>
  <c r="I27" i="6"/>
  <c r="T72" i="4"/>
  <c r="H60" i="4"/>
  <c r="I63" i="4"/>
  <c r="U62" i="5" l="1"/>
  <c r="U65" i="5" s="1"/>
  <c r="T65" i="4" l="1"/>
  <c r="I34" i="4"/>
  <c r="I33" i="4"/>
  <c r="I6" i="4"/>
  <c r="I5" i="4"/>
  <c r="T41" i="4" l="1"/>
  <c r="T6" i="4"/>
  <c r="T10" i="4"/>
  <c r="T15" i="4"/>
  <c r="W78" i="5"/>
  <c r="W63" i="5" l="1"/>
  <c r="W66" i="5" s="1"/>
  <c r="I49" i="6"/>
  <c r="W70" i="5"/>
  <c r="I40" i="6" s="1"/>
  <c r="W71" i="5"/>
  <c r="I41" i="6" s="1"/>
  <c r="T63" i="4"/>
  <c r="T66" i="4" s="1"/>
  <c r="T68" i="4"/>
  <c r="T56" i="4"/>
  <c r="T71" i="4"/>
  <c r="T70" i="4"/>
  <c r="T11" i="4"/>
  <c r="T69" i="4" s="1"/>
  <c r="T55" i="4"/>
  <c r="T12" i="4" s="1"/>
  <c r="T49" i="4"/>
  <c r="X77" i="5"/>
  <c r="I33" i="6" l="1"/>
  <c r="I35" i="6"/>
  <c r="I7" i="4" l="1"/>
  <c r="I13" i="4" l="1"/>
  <c r="J14" i="4" s="1"/>
  <c r="T75" i="4"/>
  <c r="T76" i="4" l="1"/>
  <c r="I46" i="6"/>
  <c r="I16" i="4"/>
  <c r="I21" i="4"/>
  <c r="I23" i="4" s="1"/>
  <c r="S73" i="4"/>
  <c r="R73" i="4"/>
  <c r="Q73" i="4"/>
  <c r="P73" i="4"/>
  <c r="O73" i="4"/>
  <c r="I55" i="4" l="1"/>
  <c r="I24" i="4"/>
  <c r="H5" i="4"/>
  <c r="G5" i="4"/>
  <c r="F5" i="4"/>
  <c r="E5" i="4"/>
  <c r="D5" i="4"/>
  <c r="R73" i="5"/>
  <c r="Q73" i="5"/>
  <c r="P73" i="5"/>
  <c r="I29" i="4" l="1"/>
  <c r="J30" i="4" s="1"/>
  <c r="I25" i="4"/>
  <c r="D27" i="6" l="1"/>
  <c r="E27" i="6"/>
  <c r="C27" i="6"/>
  <c r="F21" i="7"/>
  <c r="F20" i="7"/>
  <c r="D13" i="7" l="1"/>
  <c r="H13" i="7"/>
  <c r="B27" i="7"/>
  <c r="I19" i="6"/>
  <c r="I18" i="6"/>
  <c r="I15" i="6"/>
  <c r="I14" i="6"/>
  <c r="I13" i="6"/>
  <c r="I12" i="6"/>
  <c r="C7" i="6"/>
  <c r="D7" i="6"/>
  <c r="E7" i="6"/>
  <c r="J8" i="6"/>
  <c r="K8" i="6"/>
  <c r="L8" i="6"/>
  <c r="J46" i="6"/>
  <c r="J9" i="6"/>
  <c r="K9" i="6"/>
  <c r="L9" i="6"/>
  <c r="C14" i="6"/>
  <c r="D9" i="7" s="1"/>
  <c r="E14" i="6"/>
  <c r="H9" i="7" s="1"/>
  <c r="J29" i="6"/>
  <c r="J20" i="6"/>
  <c r="J48" i="6" s="1"/>
  <c r="K20" i="6"/>
  <c r="K48" i="6" s="1"/>
  <c r="L20" i="6"/>
  <c r="L48" i="6" s="1"/>
  <c r="J27" i="6"/>
  <c r="L29" i="6"/>
  <c r="J32" i="6"/>
  <c r="J34" i="6" s="1"/>
  <c r="K32" i="6"/>
  <c r="K34" i="6" s="1"/>
  <c r="L32" i="6"/>
  <c r="L34" i="6" s="1"/>
  <c r="J33" i="6"/>
  <c r="K33" i="6"/>
  <c r="L33" i="6"/>
  <c r="J37" i="6"/>
  <c r="K37" i="6"/>
  <c r="L37" i="6"/>
  <c r="J43" i="6"/>
  <c r="K43" i="6"/>
  <c r="L43" i="6"/>
  <c r="J44" i="6"/>
  <c r="K44" i="6"/>
  <c r="L44" i="6"/>
  <c r="L45" i="6"/>
  <c r="L46" i="6"/>
  <c r="J39" i="6"/>
  <c r="K39" i="6"/>
  <c r="L39" i="6"/>
  <c r="J50" i="6"/>
  <c r="K50" i="6"/>
  <c r="L50" i="6"/>
  <c r="K38" i="6" l="1"/>
  <c r="J38" i="6"/>
  <c r="L40" i="6"/>
  <c r="L49" i="6"/>
  <c r="K40" i="6"/>
  <c r="K49" i="6"/>
  <c r="L38" i="6"/>
  <c r="J28" i="6"/>
  <c r="J30" i="6" s="1"/>
  <c r="J49" i="6"/>
  <c r="L28" i="6"/>
  <c r="L35" i="6"/>
  <c r="K35" i="6"/>
  <c r="J35" i="6"/>
  <c r="K41" i="6"/>
  <c r="F10" i="7"/>
  <c r="F13" i="7"/>
  <c r="I32" i="6"/>
  <c r="J45" i="6"/>
  <c r="H10" i="7"/>
  <c r="D10" i="7"/>
  <c r="I8" i="6"/>
  <c r="K29" i="6"/>
  <c r="J40" i="6"/>
  <c r="D14" i="6"/>
  <c r="F9" i="7" s="1"/>
  <c r="K45" i="6"/>
  <c r="L30" i="6"/>
  <c r="H19" i="7"/>
  <c r="D19" i="7"/>
  <c r="L47" i="6"/>
  <c r="K28" i="6"/>
  <c r="I19" i="7"/>
  <c r="F19" i="7"/>
  <c r="K46" i="6"/>
  <c r="L41" i="6"/>
  <c r="J41" i="6"/>
  <c r="L36" i="6" l="1"/>
  <c r="J36" i="6"/>
  <c r="J47" i="6"/>
  <c r="K47" i="6"/>
  <c r="K30" i="6"/>
  <c r="I10" i="7"/>
  <c r="I13" i="7"/>
  <c r="K36" i="6" l="1"/>
  <c r="D54" i="4"/>
  <c r="R29" i="4" l="1"/>
  <c r="C22" i="4" l="1"/>
  <c r="S72" i="4"/>
  <c r="I10" i="6" l="1"/>
  <c r="I39" i="6" s="1"/>
  <c r="B42" i="7" s="1"/>
  <c r="S29" i="4"/>
  <c r="P15" i="4"/>
  <c r="Q15" i="4"/>
  <c r="R15" i="4"/>
  <c r="S15" i="4"/>
  <c r="O15" i="4"/>
  <c r="H33" i="4"/>
  <c r="H7" i="4"/>
  <c r="R75" i="5"/>
  <c r="Q75" i="5"/>
  <c r="R74" i="5"/>
  <c r="Q74" i="5"/>
  <c r="S72" i="5"/>
  <c r="R72" i="5"/>
  <c r="Q72" i="5"/>
  <c r="P72" i="5"/>
  <c r="T62" i="5"/>
  <c r="T65" i="5" s="1"/>
  <c r="S62" i="5"/>
  <c r="S65" i="5" s="1"/>
  <c r="R62" i="5"/>
  <c r="R65" i="5" s="1"/>
  <c r="Q62" i="5"/>
  <c r="Q65" i="5" s="1"/>
  <c r="P62" i="5"/>
  <c r="P65" i="5" s="1"/>
  <c r="V78" i="5"/>
  <c r="U78" i="5"/>
  <c r="T78" i="5"/>
  <c r="D62" i="5"/>
  <c r="D64" i="5" s="1"/>
  <c r="C62" i="5"/>
  <c r="C64" i="5" s="1"/>
  <c r="B62" i="5"/>
  <c r="B64" i="5" s="1"/>
  <c r="S74" i="5"/>
  <c r="V63" i="5"/>
  <c r="U63" i="5"/>
  <c r="U66" i="5" s="1"/>
  <c r="T63" i="5"/>
  <c r="T66" i="5" s="1"/>
  <c r="S63" i="5"/>
  <c r="S66" i="5" s="1"/>
  <c r="H62" i="5" l="1"/>
  <c r="H64" i="5" s="1"/>
  <c r="G62" i="5"/>
  <c r="G64" i="5" s="1"/>
  <c r="U70" i="5"/>
  <c r="U71" i="5"/>
  <c r="V70" i="5"/>
  <c r="V71" i="5"/>
  <c r="V66" i="5"/>
  <c r="F62" i="5"/>
  <c r="F64" i="5" s="1"/>
  <c r="T71" i="5"/>
  <c r="T70" i="5"/>
  <c r="I5" i="6"/>
  <c r="I34" i="6"/>
  <c r="I28" i="6"/>
  <c r="I11" i="6"/>
  <c r="I17" i="6"/>
  <c r="H13" i="4"/>
  <c r="S74" i="4"/>
  <c r="S75" i="4"/>
  <c r="S73" i="5"/>
  <c r="P63" i="5"/>
  <c r="P66" i="5" s="1"/>
  <c r="R63" i="5"/>
  <c r="R66" i="5" s="1"/>
  <c r="Q63" i="5"/>
  <c r="Q66" i="5" s="1"/>
  <c r="S78" i="5"/>
  <c r="S75" i="5"/>
  <c r="Q76" i="5"/>
  <c r="R70" i="5"/>
  <c r="P71" i="5"/>
  <c r="R76" i="5"/>
  <c r="R78" i="5"/>
  <c r="Q78" i="5"/>
  <c r="Q71" i="5"/>
  <c r="Q70" i="5"/>
  <c r="S71" i="5"/>
  <c r="S70" i="5"/>
  <c r="W77" i="5"/>
  <c r="P70" i="5"/>
  <c r="R71" i="5"/>
  <c r="V77" i="5" l="1"/>
  <c r="I48" i="6"/>
  <c r="I30" i="6"/>
  <c r="I20" i="6"/>
  <c r="I9" i="6"/>
  <c r="H21" i="4"/>
  <c r="H55" i="4" s="1"/>
  <c r="I14" i="4"/>
  <c r="R77" i="5"/>
  <c r="B44" i="7"/>
  <c r="H16" i="4"/>
  <c r="U77" i="5"/>
  <c r="S76" i="5"/>
  <c r="Q77" i="5"/>
  <c r="P67" i="5"/>
  <c r="S67" i="5"/>
  <c r="T77" i="5" l="1"/>
  <c r="S77" i="5"/>
  <c r="S79" i="5"/>
  <c r="S69" i="5"/>
  <c r="P69" i="5"/>
  <c r="P68" i="5"/>
  <c r="S68" i="5" l="1"/>
  <c r="S62" i="4" l="1"/>
  <c r="D22" i="4"/>
  <c r="Q29" i="4"/>
  <c r="P29" i="4"/>
  <c r="N75" i="4" l="1"/>
  <c r="O75" i="4"/>
  <c r="P75" i="4"/>
  <c r="O74" i="4"/>
  <c r="P74" i="4"/>
  <c r="S65" i="4"/>
  <c r="N41" i="4"/>
  <c r="O41" i="4"/>
  <c r="P41" i="4"/>
  <c r="Q41" i="4"/>
  <c r="R41" i="4"/>
  <c r="N29" i="4"/>
  <c r="O29" i="4"/>
  <c r="O55" i="4" s="1"/>
  <c r="P55" i="4"/>
  <c r="N10" i="4"/>
  <c r="O10" i="4"/>
  <c r="P10" i="4"/>
  <c r="Q10" i="4"/>
  <c r="G61" i="4" s="1"/>
  <c r="R10" i="4"/>
  <c r="N6" i="4"/>
  <c r="N11" i="4" s="1"/>
  <c r="O6" i="4"/>
  <c r="O11" i="4" s="1"/>
  <c r="P6" i="4"/>
  <c r="P11" i="4" s="1"/>
  <c r="Q6" i="4"/>
  <c r="Q11" i="4" s="1"/>
  <c r="R6" i="4"/>
  <c r="R11" i="4" s="1"/>
  <c r="C7" i="4"/>
  <c r="C13" i="4" s="1"/>
  <c r="D7" i="4"/>
  <c r="D13" i="4" s="1"/>
  <c r="E7" i="4"/>
  <c r="E13" i="4" s="1"/>
  <c r="Q56" i="4" l="1"/>
  <c r="R56" i="4"/>
  <c r="E16" i="4"/>
  <c r="P69" i="4"/>
  <c r="E21" i="4"/>
  <c r="D16" i="4"/>
  <c r="D21" i="4"/>
  <c r="C16" i="4"/>
  <c r="C21" i="4"/>
  <c r="S76" i="4"/>
  <c r="N49" i="4"/>
  <c r="P49" i="4"/>
  <c r="O56" i="4"/>
  <c r="O79" i="4"/>
  <c r="P79" i="4"/>
  <c r="O49" i="4"/>
  <c r="P56" i="4"/>
  <c r="N56" i="4"/>
  <c r="P76" i="4"/>
  <c r="O76" i="4"/>
  <c r="M29" i="4"/>
  <c r="P77" i="4" l="1"/>
  <c r="O77" i="4"/>
  <c r="D51" i="4"/>
  <c r="E25" i="4"/>
  <c r="D14" i="4"/>
  <c r="D23" i="4"/>
  <c r="E14" i="4"/>
  <c r="C24" i="4"/>
  <c r="C25" i="4" s="1"/>
  <c r="C23" i="4"/>
  <c r="N73" i="4"/>
  <c r="D62" i="4"/>
  <c r="C62" i="4"/>
  <c r="B62" i="4"/>
  <c r="N74" i="4"/>
  <c r="G60" i="4"/>
  <c r="D60" i="4"/>
  <c r="C60" i="4"/>
  <c r="B60" i="4"/>
  <c r="R72" i="4"/>
  <c r="Q72" i="4"/>
  <c r="P72" i="4"/>
  <c r="O72" i="4"/>
  <c r="N72" i="4"/>
  <c r="M72" i="4"/>
  <c r="C54" i="4"/>
  <c r="D52" i="4"/>
  <c r="C52" i="4"/>
  <c r="B52" i="4"/>
  <c r="D50" i="4"/>
  <c r="C50" i="4"/>
  <c r="B50" i="4"/>
  <c r="D49" i="4"/>
  <c r="C49" i="4"/>
  <c r="B49" i="4"/>
  <c r="R62" i="4"/>
  <c r="R65" i="4" s="1"/>
  <c r="Q62" i="4"/>
  <c r="Q65" i="4" s="1"/>
  <c r="P62" i="4"/>
  <c r="P65" i="4" s="1"/>
  <c r="O62" i="4"/>
  <c r="O65" i="4" s="1"/>
  <c r="N62" i="4"/>
  <c r="N65" i="4" s="1"/>
  <c r="M62" i="4"/>
  <c r="M65" i="4" s="1"/>
  <c r="D43" i="4"/>
  <c r="D44" i="4" s="1"/>
  <c r="C43" i="4"/>
  <c r="C44" i="4" s="1"/>
  <c r="B43" i="4"/>
  <c r="B44" i="4" s="1"/>
  <c r="G33" i="4"/>
  <c r="F33" i="4"/>
  <c r="E33" i="4"/>
  <c r="D33" i="4"/>
  <c r="C33" i="4"/>
  <c r="M41" i="4"/>
  <c r="M55" i="4"/>
  <c r="P78" i="4"/>
  <c r="M10" i="4"/>
  <c r="B7" i="4"/>
  <c r="B13" i="4" s="1"/>
  <c r="B16" i="4" s="1"/>
  <c r="R63" i="4"/>
  <c r="R66" i="4" s="1"/>
  <c r="Q63" i="4"/>
  <c r="Q66" i="4" s="1"/>
  <c r="P63" i="4"/>
  <c r="P66" i="4" s="1"/>
  <c r="O63" i="4"/>
  <c r="O66" i="4" s="1"/>
  <c r="N63" i="4"/>
  <c r="N66" i="4" s="1"/>
  <c r="M6" i="4"/>
  <c r="M11" i="4" s="1"/>
  <c r="S6" i="4"/>
  <c r="S11" i="4" s="1"/>
  <c r="S79" i="4" l="1"/>
  <c r="E23" i="4"/>
  <c r="H23" i="4"/>
  <c r="R49" i="4"/>
  <c r="R55" i="4"/>
  <c r="R12" i="4" s="1"/>
  <c r="Q49" i="4"/>
  <c r="Q55" i="4"/>
  <c r="D24" i="4"/>
  <c r="S55" i="4"/>
  <c r="M56" i="4"/>
  <c r="C5" i="4"/>
  <c r="Q74" i="4"/>
  <c r="F7" i="4"/>
  <c r="Q75" i="4"/>
  <c r="R75" i="4"/>
  <c r="R74" i="4"/>
  <c r="G7" i="4"/>
  <c r="S10" i="4"/>
  <c r="S41" i="4"/>
  <c r="B21" i="4"/>
  <c r="B24" i="4" s="1"/>
  <c r="B25" i="4" s="1"/>
  <c r="E29" i="4"/>
  <c r="P68" i="4"/>
  <c r="C29" i="4"/>
  <c r="N68" i="4"/>
  <c r="C61" i="4"/>
  <c r="C63" i="4" s="1"/>
  <c r="N67" i="4" s="1"/>
  <c r="N78" i="4"/>
  <c r="G63" i="4"/>
  <c r="O69" i="4"/>
  <c r="M49" i="4"/>
  <c r="C51" i="4" s="1"/>
  <c r="M63" i="4"/>
  <c r="M66" i="4" s="1"/>
  <c r="N76" i="4"/>
  <c r="M12" i="4"/>
  <c r="O12" i="4"/>
  <c r="S63" i="4"/>
  <c r="S66" i="4" s="1"/>
  <c r="B61" i="4"/>
  <c r="B63" i="4" s="1"/>
  <c r="M70" i="4"/>
  <c r="O78" i="4"/>
  <c r="D61" i="4"/>
  <c r="O70" i="4"/>
  <c r="Q78" i="4"/>
  <c r="Q70" i="4"/>
  <c r="N55" i="4"/>
  <c r="N12" i="4" s="1"/>
  <c r="P12" i="4"/>
  <c r="P70" i="4"/>
  <c r="M71" i="4"/>
  <c r="Q71" i="4"/>
  <c r="N71" i="4"/>
  <c r="P71" i="4"/>
  <c r="R71" i="4"/>
  <c r="N70" i="4"/>
  <c r="R70" i="4"/>
  <c r="O71" i="4"/>
  <c r="S56" i="4" l="1"/>
  <c r="R77" i="4"/>
  <c r="Q77" i="4"/>
  <c r="O68" i="4"/>
  <c r="D25" i="4"/>
  <c r="G13" i="4"/>
  <c r="R69" i="4" s="1"/>
  <c r="F13" i="4"/>
  <c r="S12" i="4"/>
  <c r="D29" i="4"/>
  <c r="M67" i="4"/>
  <c r="Q76" i="4"/>
  <c r="S70" i="4"/>
  <c r="R76" i="4"/>
  <c r="H24" i="4"/>
  <c r="S71" i="4"/>
  <c r="S49" i="4"/>
  <c r="P67" i="4"/>
  <c r="D63" i="4"/>
  <c r="O67" i="4" s="1"/>
  <c r="H63" i="4"/>
  <c r="S67" i="4" s="1"/>
  <c r="C48" i="4"/>
  <c r="C14" i="4"/>
  <c r="D48" i="4"/>
  <c r="B29" i="4"/>
  <c r="N77" i="4"/>
  <c r="Q12" i="4"/>
  <c r="M69" i="4"/>
  <c r="B48" i="4"/>
  <c r="B53" i="4" s="1"/>
  <c r="B55" i="4" s="1"/>
  <c r="B23" i="4"/>
  <c r="S69" i="4"/>
  <c r="N69" i="4"/>
  <c r="R67" i="4" l="1"/>
  <c r="G21" i="4"/>
  <c r="J15" i="4"/>
  <c r="I15" i="4"/>
  <c r="H15" i="4"/>
  <c r="H25" i="4"/>
  <c r="H14" i="4"/>
  <c r="S77" i="4"/>
  <c r="T77" i="4"/>
  <c r="G14" i="4"/>
  <c r="Q67" i="4"/>
  <c r="F16" i="4"/>
  <c r="F21" i="4"/>
  <c r="F23" i="4" s="1"/>
  <c r="G16" i="4"/>
  <c r="G24" i="4"/>
  <c r="F14" i="4"/>
  <c r="Q79" i="4"/>
  <c r="Q69" i="4"/>
  <c r="R79" i="4"/>
  <c r="H29" i="4"/>
  <c r="S68" i="4"/>
  <c r="D53" i="4"/>
  <c r="D55" i="4" s="1"/>
  <c r="C53" i="4"/>
  <c r="C55" i="4" s="1"/>
  <c r="M68" i="4"/>
  <c r="G25" i="4" l="1"/>
  <c r="J26" i="4"/>
  <c r="I30" i="4"/>
  <c r="F24" i="4"/>
  <c r="G23" i="4"/>
  <c r="G55" i="4"/>
  <c r="R68" i="4"/>
  <c r="G29" i="4"/>
  <c r="D30" i="4"/>
  <c r="C30" i="4"/>
  <c r="H30" i="4" l="1"/>
  <c r="J31" i="4"/>
  <c r="Q68" i="4"/>
  <c r="H26" i="4"/>
  <c r="F29" i="4"/>
  <c r="F25" i="4"/>
  <c r="I26" i="4"/>
  <c r="E30" i="4"/>
  <c r="F30" i="4" l="1"/>
  <c r="H31" i="4"/>
  <c r="G30" i="4"/>
  <c r="I31" i="4"/>
  <c r="V74" i="5" l="1"/>
  <c r="V76" i="5" s="1"/>
  <c r="T74" i="5"/>
  <c r="T76" i="5" s="1"/>
  <c r="U74" i="5"/>
  <c r="U76" i="5" s="1"/>
  <c r="Z74" i="5" l="1"/>
  <c r="W74" i="5"/>
  <c r="AA74" i="5"/>
  <c r="AA76" i="5" s="1"/>
  <c r="X74" i="5"/>
  <c r="X76" i="5" s="1"/>
  <c r="R67" i="5"/>
  <c r="W76" i="5"/>
  <c r="W67" i="5"/>
  <c r="I36" i="6" s="1"/>
  <c r="Z76" i="5"/>
  <c r="C46" i="7" s="1"/>
  <c r="C45" i="7"/>
  <c r="B34" i="7"/>
  <c r="Q67" i="5"/>
  <c r="C10" i="7"/>
  <c r="C8" i="7"/>
  <c r="I45" i="6"/>
  <c r="I47" i="6" s="1"/>
  <c r="B10" i="7"/>
  <c r="AA79" i="5" l="1"/>
  <c r="X79" i="5"/>
  <c r="Z67" i="5"/>
  <c r="C34" i="7" s="1"/>
  <c r="X67" i="5"/>
  <c r="Z69" i="5"/>
  <c r="C41" i="7" s="1"/>
  <c r="B9" i="7"/>
  <c r="B8" i="7"/>
  <c r="T67" i="5"/>
  <c r="V67" i="5"/>
  <c r="B45" i="7"/>
  <c r="Y76" i="5"/>
  <c r="B46" i="7" s="1"/>
  <c r="R79" i="5"/>
  <c r="R69" i="5"/>
  <c r="U67" i="5"/>
  <c r="Q69" i="5"/>
  <c r="Q79" i="5"/>
  <c r="B50" i="7"/>
  <c r="W69" i="5"/>
  <c r="Z79" i="5" l="1"/>
  <c r="C50" i="7" s="1"/>
  <c r="W79" i="5"/>
  <c r="I50" i="6" s="1"/>
  <c r="Z68" i="5"/>
  <c r="C40" i="7" s="1"/>
  <c r="T79" i="5"/>
  <c r="B23" i="6"/>
  <c r="T69" i="5"/>
  <c r="Y69" i="5"/>
  <c r="B41" i="7" s="1"/>
  <c r="X69" i="5"/>
  <c r="V79" i="5"/>
  <c r="V69" i="5"/>
  <c r="I38" i="6" s="1"/>
  <c r="B22" i="6"/>
  <c r="C13" i="7"/>
  <c r="C11" i="7"/>
  <c r="W68" i="5"/>
  <c r="Q68" i="5"/>
  <c r="U69" i="5"/>
  <c r="U79" i="5"/>
  <c r="R68" i="5"/>
  <c r="B12" i="7" l="1"/>
  <c r="B11" i="7"/>
  <c r="B13" i="7" s="1"/>
  <c r="Y68" i="5"/>
  <c r="B40" i="7" s="1"/>
  <c r="B26" i="6"/>
  <c r="T68" i="5"/>
  <c r="X68" i="5"/>
  <c r="B27" i="6"/>
  <c r="V68" i="5"/>
  <c r="I37" i="6" s="1"/>
  <c r="B25" i="6"/>
  <c r="U68" i="5"/>
  <c r="L30" i="5" l="1"/>
</calcChain>
</file>

<file path=xl/sharedStrings.xml><?xml version="1.0" encoding="utf-8"?>
<sst xmlns="http://schemas.openxmlformats.org/spreadsheetml/2006/main" count="552" uniqueCount="238">
  <si>
    <t>Y/E, Mar (Rs. mn)</t>
  </si>
  <si>
    <t>Income</t>
  </si>
  <si>
    <t>Growth (%)</t>
  </si>
  <si>
    <t>Expenditure</t>
  </si>
  <si>
    <t>EBITDA</t>
  </si>
  <si>
    <t>EBITDA margin (%)</t>
  </si>
  <si>
    <t>Other Income</t>
  </si>
  <si>
    <t>Depreciation</t>
  </si>
  <si>
    <t>Interest</t>
  </si>
  <si>
    <t>Excp Item</t>
  </si>
  <si>
    <t>PBT</t>
  </si>
  <si>
    <t>Tax</t>
  </si>
  <si>
    <t>Effective tax rate (%)</t>
  </si>
  <si>
    <t>PAT</t>
  </si>
  <si>
    <t>Minority Interest</t>
  </si>
  <si>
    <t>PAT After MI</t>
  </si>
  <si>
    <t>EPS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</si>
  <si>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</si>
  <si>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</si>
  <si>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</si>
  <si>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</si>
  <si>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>Our Calculations</t>
  </si>
  <si>
    <t xml:space="preserve">Pre-Tax Profit </t>
  </si>
  <si>
    <t xml:space="preserve">Depreciation </t>
  </si>
  <si>
    <t xml:space="preserve">Other Adjustments </t>
  </si>
  <si>
    <t xml:space="preserve">Change in Working capital </t>
  </si>
  <si>
    <t xml:space="preserve">Taxes Paid </t>
  </si>
  <si>
    <t xml:space="preserve">Operating Cash Inflow </t>
  </si>
  <si>
    <t>Capital Expenditure</t>
  </si>
  <si>
    <t>FCF</t>
  </si>
  <si>
    <t xml:space="preserve"> </t>
  </si>
  <si>
    <t>FY13</t>
  </si>
  <si>
    <t>FY14</t>
  </si>
  <si>
    <t>FY15</t>
  </si>
  <si>
    <t>FY16</t>
  </si>
  <si>
    <t>FY17</t>
  </si>
  <si>
    <t>Share Capital</t>
  </si>
  <si>
    <t>Reserves &amp; Surplus</t>
  </si>
  <si>
    <t>Networth/Shareholders Fund/ Book Value</t>
  </si>
  <si>
    <t>Minority Int</t>
  </si>
  <si>
    <t>Long Term Debt</t>
  </si>
  <si>
    <t>Short Term Debt</t>
  </si>
  <si>
    <t>Loans</t>
  </si>
  <si>
    <t>Capital Employed</t>
  </si>
  <si>
    <t>CURRENT ASSETS, LOANS &amp; ADVANCES</t>
  </si>
  <si>
    <t>Inventories</t>
  </si>
  <si>
    <t>CURRENT LIABILITIES &amp; PROVISIONS</t>
  </si>
  <si>
    <t>NET CURRENT ASSETS</t>
  </si>
  <si>
    <t>Deferred Tax Liability</t>
  </si>
  <si>
    <t>Key ratios</t>
  </si>
  <si>
    <t xml:space="preserve">Y/E, Mar 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</si>
  <si>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</si>
  <si>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</si>
  <si>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</si>
  <si>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</si>
  <si>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</si>
  <si>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</si>
  <si>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</si>
  <si>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</si>
  <si>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</si>
  <si>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</si>
  <si>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</si>
  <si>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</si>
  <si>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</si>
  <si>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</si>
  <si>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</si>
  <si>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Working Capital Days</t>
  </si>
  <si>
    <t>Employee Benefit Expense</t>
  </si>
  <si>
    <t>Other Expenses</t>
  </si>
  <si>
    <t>Other Comprehensive Income</t>
  </si>
  <si>
    <t>Short term Provisions</t>
  </si>
  <si>
    <t>Long term Provision</t>
  </si>
  <si>
    <t>Cash and Cash Equivalents at End of the year</t>
  </si>
  <si>
    <t>No. of Shares</t>
  </si>
  <si>
    <t>Market Cap</t>
  </si>
  <si>
    <t>Cash</t>
  </si>
  <si>
    <t>EV</t>
  </si>
  <si>
    <t>Total Debt</t>
  </si>
  <si>
    <t>Other Current liabilities</t>
  </si>
  <si>
    <t>Cash Flow from Investing Activities</t>
  </si>
  <si>
    <t>PAT margin (%)</t>
  </si>
  <si>
    <t>Cash Conversion cycle</t>
  </si>
  <si>
    <t>Trade Payables</t>
  </si>
  <si>
    <t>Other Financial liabilities</t>
  </si>
  <si>
    <t>Other financial liabilities</t>
  </si>
  <si>
    <t>FY18</t>
  </si>
  <si>
    <t>Interest Cost</t>
  </si>
  <si>
    <t>Gross Block</t>
  </si>
  <si>
    <t>TOTAL ASSETS</t>
  </si>
  <si>
    <t>TOTAL LIABILITIES</t>
  </si>
  <si>
    <t>FY19</t>
  </si>
  <si>
    <t>Property, plant and equipment</t>
  </si>
  <si>
    <t>Financial assets</t>
  </si>
  <si>
    <t>Other non-current assets</t>
  </si>
  <si>
    <t>(i) Trade Receivable</t>
  </si>
  <si>
    <t>Current Tax Liabilities (Net)</t>
  </si>
  <si>
    <t>Property, plant &amp; equipment</t>
  </si>
  <si>
    <t>Other Current Assets</t>
  </si>
  <si>
    <t>Interest Coverage</t>
  </si>
  <si>
    <t>Standalone - Income Statement</t>
  </si>
  <si>
    <t>Standalone - Balance Sheet</t>
  </si>
  <si>
    <t>Key Ratios</t>
  </si>
  <si>
    <t>NON-CURRENT ASSETS</t>
  </si>
  <si>
    <t>Cash Flow Statement</t>
  </si>
  <si>
    <t>Consolidated Income Statement</t>
  </si>
  <si>
    <t>Consolidated Balance Sheet</t>
  </si>
  <si>
    <t>Interest Coverage (x)</t>
  </si>
  <si>
    <t>Long term Provisions</t>
  </si>
  <si>
    <t>Name of Agency:</t>
  </si>
  <si>
    <t>Long term Bank Facilities</t>
  </si>
  <si>
    <t>Long term / Short term Bank Facilities</t>
  </si>
  <si>
    <t>Short term Bank Facilities</t>
  </si>
  <si>
    <t>Total Income</t>
  </si>
  <si>
    <t>CAGR (%) - 3 Years</t>
  </si>
  <si>
    <t>Interest Coverage Ratio</t>
  </si>
  <si>
    <t>Asset T/O ratio</t>
  </si>
  <si>
    <t>DPS</t>
  </si>
  <si>
    <t>CAGR 3 YRS</t>
  </si>
  <si>
    <t>Trade Payables 2019</t>
  </si>
  <si>
    <t>Current Liabilites</t>
  </si>
  <si>
    <t>Cash &amp; Bank Balances</t>
  </si>
  <si>
    <t>Sundry Debtors 2019</t>
  </si>
  <si>
    <t>Inventories 2018</t>
  </si>
  <si>
    <t>Inventories 2019</t>
  </si>
  <si>
    <t>Current Asset</t>
  </si>
  <si>
    <t>Non Current Asset</t>
  </si>
  <si>
    <t>Change in Inventories</t>
  </si>
  <si>
    <t>Purchase</t>
  </si>
  <si>
    <t>Net Worth</t>
  </si>
  <si>
    <t>Balance Sheet</t>
  </si>
  <si>
    <t>Income Statement</t>
  </si>
  <si>
    <t>Interest Cost (%)</t>
  </si>
  <si>
    <t>Net Debt/Equity</t>
  </si>
  <si>
    <t>Gross Debt/Equity</t>
  </si>
  <si>
    <t>Cash Conversion Cycle</t>
  </si>
  <si>
    <t>Payable days</t>
  </si>
  <si>
    <t>Receivable days</t>
  </si>
  <si>
    <t>Fixed Asset Turnover</t>
  </si>
  <si>
    <t>ROCE</t>
  </si>
  <si>
    <t>ROE</t>
  </si>
  <si>
    <t>Book Value per Share</t>
  </si>
  <si>
    <t>OPERATIONAL RATIOS COMPARISION</t>
  </si>
  <si>
    <t>EV/ EBITDA</t>
  </si>
  <si>
    <t>Price:Book Value</t>
  </si>
  <si>
    <t>Stock P:E</t>
  </si>
  <si>
    <t>Enterprise Value</t>
  </si>
  <si>
    <t>CFO</t>
  </si>
  <si>
    <t>Cash Flow</t>
  </si>
  <si>
    <t>Short Term</t>
  </si>
  <si>
    <t>Long Term</t>
  </si>
  <si>
    <t>Total Networth</t>
  </si>
  <si>
    <t>Balance Sheet Comparision</t>
  </si>
  <si>
    <t>PAT Margin (%)</t>
  </si>
  <si>
    <t>3 Years CAGR (%)</t>
  </si>
  <si>
    <t>EBITDA Margin (%)</t>
  </si>
  <si>
    <t>P&amp;L Comparision</t>
  </si>
  <si>
    <t>INR Mn</t>
  </si>
  <si>
    <t>Book Value</t>
  </si>
  <si>
    <t>Share of expenses from producing oil&amp;gas blocks</t>
  </si>
  <si>
    <t>Royalty, Cess &amp; NCCD</t>
  </si>
  <si>
    <t xml:space="preserve">(Increase)/ Decrease in stock of crude oil </t>
  </si>
  <si>
    <t>Income Tax Assets (Net)</t>
  </si>
  <si>
    <t>(iii) Cash and cash equivalents</t>
  </si>
  <si>
    <t>(iv) Other bank balances</t>
  </si>
  <si>
    <t>Other current liabilities</t>
  </si>
  <si>
    <t>Share of profit of associate</t>
  </si>
  <si>
    <t xml:space="preserve">   (i) Investments</t>
  </si>
  <si>
    <t>(ii) Trade Receivable</t>
  </si>
  <si>
    <t>Other non-current liabilities</t>
  </si>
  <si>
    <t>FY20</t>
  </si>
  <si>
    <t>Rs in Millions</t>
  </si>
  <si>
    <t>Q1FY21</t>
  </si>
  <si>
    <t>Goodwill on Consolidation</t>
  </si>
  <si>
    <t>Right to use Asset</t>
  </si>
  <si>
    <t>Other Intangible Assets</t>
  </si>
  <si>
    <t>Intangible Assets Under Developments</t>
  </si>
  <si>
    <t>(i) Loans</t>
  </si>
  <si>
    <t>(ii) Other Financial Assets</t>
  </si>
  <si>
    <t>Deferred Tax Asset</t>
  </si>
  <si>
    <t>(v) Loans and Advance</t>
  </si>
  <si>
    <t>(vi) Others</t>
  </si>
  <si>
    <t>Lease Liability</t>
  </si>
  <si>
    <t>Liabilities for current tax (net)    </t>
  </si>
  <si>
    <t>Lease Liabitilies</t>
  </si>
  <si>
    <t>AARVI ENCON Limited</t>
  </si>
  <si>
    <t>Aarvi Encon Limited</t>
  </si>
  <si>
    <t>Intangible Assets Under Development</t>
  </si>
  <si>
    <t>Right of use Asset</t>
  </si>
  <si>
    <t>(i) Investments</t>
  </si>
  <si>
    <t>(ii)Loans</t>
  </si>
  <si>
    <t>(iii)Other Financial Assets</t>
  </si>
  <si>
    <t>(ii) Cash and cash equivalents</t>
  </si>
  <si>
    <t>(iii) Investments</t>
  </si>
  <si>
    <t>(v) Loans</t>
  </si>
  <si>
    <t>(vi) Other financial assets</t>
  </si>
  <si>
    <t>CRISIL BBB/Stable (Reaffirmed)</t>
  </si>
  <si>
    <t>CRISIL</t>
  </si>
  <si>
    <t>Peer Analysis Working - Aarvi Encon</t>
  </si>
  <si>
    <t>Aarvi Encon</t>
  </si>
  <si>
    <t>Ani Integrated Service</t>
  </si>
  <si>
    <t>Teamlease</t>
  </si>
  <si>
    <t>Quess corp</t>
  </si>
  <si>
    <t>EBITDA 2020</t>
  </si>
  <si>
    <t>Depreciation 2020</t>
  </si>
  <si>
    <t>Interest 2020</t>
  </si>
  <si>
    <t>PBT 2020</t>
  </si>
  <si>
    <t>PAT 2020</t>
  </si>
  <si>
    <t>EPS 2020</t>
  </si>
  <si>
    <t>Total Income 2020</t>
  </si>
  <si>
    <t>Peer Comparison Analysis - Aarvi Encon</t>
  </si>
  <si>
    <t>ANI Integrated Services</t>
  </si>
  <si>
    <t>Quess Corp</t>
  </si>
  <si>
    <t>Total Income 2017</t>
  </si>
  <si>
    <t>EBITDA 2017</t>
  </si>
  <si>
    <t>Depreciation 2017</t>
  </si>
  <si>
    <t>Interest 2017</t>
  </si>
  <si>
    <t>PBT 2017</t>
  </si>
  <si>
    <t>Sundry Debtors 2020</t>
  </si>
  <si>
    <t>Trade Payables 2020</t>
  </si>
  <si>
    <t>PAT 2017</t>
  </si>
  <si>
    <t>ANI Integrated Service</t>
  </si>
  <si>
    <t>-</t>
  </si>
  <si>
    <t>Q1-FY21</t>
  </si>
  <si>
    <t>H1-FY21</t>
  </si>
  <si>
    <t>FY21</t>
  </si>
  <si>
    <t>FY21
Consol</t>
  </si>
  <si>
    <t>H1-FY22</t>
  </si>
  <si>
    <t>CMP (As on 30.03.2021)</t>
  </si>
  <si>
    <t>NA</t>
  </si>
  <si>
    <t>FY22</t>
  </si>
  <si>
    <t>Please add short term borrowings here</t>
  </si>
  <si>
    <t>TTM</t>
  </si>
  <si>
    <t>FY23</t>
  </si>
  <si>
    <t>FY24</t>
  </si>
  <si>
    <t>TOTAL LIABILITIES AND EQUITY</t>
  </si>
  <si>
    <t>FY25</t>
  </si>
  <si>
    <t>Credit Rating: As on 31st March 2025</t>
  </si>
  <si>
    <t>CRISIL A3+ (Reaffirmed)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</si>
</sst>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3" formatCode="_ * #,##0.00_ ;_ * \-#,##0.00_ ;_ * &quot;-&quot;??_ ;_ @_ "/>
    <numFmt numFmtId="164" formatCode="_(* #,##0_);_(* \(#,##0\);_(* &quot;-&quot;_);_(@_)"/>
    <numFmt numFmtId="165" formatCode="_(* #,##0.00_);_(* \(#,##0.00\);_(* &quot;-&quot;??_);_(@_)"/>
    <numFmt numFmtId="166" formatCode="0.0"/>
    <numFmt numFmtId="167" formatCode="0.0%"/>
    <numFmt numFmtId="168" formatCode="_ * #,##0.0_ ;_ * \-#,##0.0_ ;_ * &quot;-&quot;??_ ;_ @_ "/>
    <numFmt numFmtId="169" formatCode="#,##0;\(#,##0\)"/>
    <numFmt numFmtId="170" formatCode="#,##0.00;\(#,##0.00\)"/>
    <numFmt numFmtId="171" formatCode="#,##0.000000000000"/>
    <numFmt numFmtId="172" formatCode="#,##0.0;\(#,##0.0\)"/>
    <numFmt numFmtId="173" formatCode="_(* #,##0.0_);_(* \(#,##0.0\);_(* &quot;-&quot;??_);_(@_)"/>
    <numFmt numFmtId="174" formatCode="_(* #,##0_);_(* \(#,##0\);_(* &quot;-&quot;??_);_(@_)"/>
    <numFmt numFmtId="175" formatCode="_ * #,##0_ ;_ * \-#,##0_ ;_ * &quot;-&quot;??_ ;_ @_ "/>
    <numFmt numFmtId="176" formatCode="_(* #,##0.00_);_(* \(#,##0.00\);_(* &quot;-&quot;_);_(@_)"/>
    <numFmt numFmtId="177" formatCode="_ * #,##0.000_ ;_ * \-#,##0.000_ ;_ * &quot;-&quot;??_ ;_ @_ "/>
    <numFmt numFmtId="179" formatCode="#,##0.000"/>
    <numFmt numFmtId="180" formatCode="0.000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FFFF"/>
      <name val="Tahoma"/>
      <family val="2"/>
    </font>
    <font>
      <sz val="10"/>
      <color theme="1"/>
      <name val="Tahoma"/>
      <family val="2"/>
    </font>
    <font>
      <b/>
      <u/>
      <sz val="11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b/>
      <sz val="1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i/>
      <sz val="10"/>
      <color theme="1"/>
      <name val="Tahoma"/>
      <family val="2"/>
    </font>
    <font>
      <i/>
      <sz val="10"/>
      <color rgb="FFFF0000"/>
      <name val="Tahoma"/>
      <family val="2"/>
    </font>
    <font>
      <sz val="10"/>
      <color rgb="FFFF0000"/>
      <name val="Tahoma"/>
      <family val="2"/>
    </font>
    <font>
      <b/>
      <sz val="10"/>
      <color rgb="FFFF0000"/>
      <name val="Tahoma"/>
      <family val="2"/>
    </font>
    <font>
      <i/>
      <sz val="10"/>
      <name val="Tahoma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MyFirstFont"/>
    </font>
    <font>
      <b/>
      <sz val="12"/>
      <color rgb="FFFFFFFF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i/>
      <sz val="12"/>
      <color theme="1"/>
      <name val="Calibri"/>
      <family val="2"/>
    </font>
    <font>
      <i/>
      <sz val="12"/>
      <color rgb="FFFF0000"/>
      <name val="Calibri"/>
      <family val="2"/>
    </font>
    <font>
      <i/>
      <sz val="12"/>
      <name val="Calibri"/>
      <family val="2"/>
    </font>
    <font>
      <sz val="12"/>
      <color rgb="FFFF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94">
    <xf numFmtId="0" fontId="0" fillId="0" borderId="0" xfId="0"/>
    <xf numFmtId="0" fontId="3" fillId="0" borderId="0" xfId="0" applyFont="1"/>
    <xf numFmtId="0" fontId="7" fillId="3" borderId="1" xfId="0" applyFont="1" applyFill="1" applyBorder="1" applyAlignment="1">
      <alignment horizontal="center"/>
    </xf>
    <xf numFmtId="166" fontId="7" fillId="3" borderId="1" xfId="0" applyNumberFormat="1" applyFont="1" applyFill="1" applyBorder="1" applyAlignment="1">
      <alignment horizontal="center"/>
    </xf>
    <xf numFmtId="168" fontId="5" fillId="0" borderId="1" xfId="2" applyNumberFormat="1" applyFont="1" applyFill="1" applyBorder="1"/>
    <xf numFmtId="170" fontId="5" fillId="0" borderId="1" xfId="2" applyNumberFormat="1" applyFont="1" applyFill="1" applyBorder="1"/>
    <xf numFmtId="168" fontId="3" fillId="0" borderId="1" xfId="2" applyNumberFormat="1" applyFont="1" applyFill="1" applyBorder="1"/>
    <xf numFmtId="170" fontId="3" fillId="0" borderId="1" xfId="2" applyNumberFormat="1" applyFont="1" applyFill="1" applyBorder="1"/>
    <xf numFmtId="170" fontId="9" fillId="0" borderId="1" xfId="2" applyNumberFormat="1" applyFont="1" applyFill="1" applyBorder="1"/>
    <xf numFmtId="167" fontId="11" fillId="0" borderId="1" xfId="0" applyNumberFormat="1" applyFont="1" applyBorder="1"/>
    <xf numFmtId="10" fontId="10" fillId="0" borderId="1" xfId="0" applyNumberFormat="1" applyFont="1" applyBorder="1"/>
    <xf numFmtId="10" fontId="11" fillId="0" borderId="1" xfId="0" applyNumberFormat="1" applyFont="1" applyBorder="1"/>
    <xf numFmtId="168" fontId="9" fillId="0" borderId="1" xfId="2" applyNumberFormat="1" applyFont="1" applyFill="1" applyBorder="1"/>
    <xf numFmtId="171" fontId="3" fillId="0" borderId="0" xfId="0" applyNumberFormat="1" applyFont="1"/>
    <xf numFmtId="168" fontId="12" fillId="0" borderId="1" xfId="2" applyNumberFormat="1" applyFont="1" applyFill="1" applyBorder="1"/>
    <xf numFmtId="166" fontId="3" fillId="0" borderId="1" xfId="0" applyNumberFormat="1" applyFont="1" applyBorder="1"/>
    <xf numFmtId="167" fontId="10" fillId="0" borderId="1" xfId="0" applyNumberFormat="1" applyFont="1" applyBorder="1"/>
    <xf numFmtId="165" fontId="5" fillId="0" borderId="1" xfId="2" applyFont="1" applyFill="1" applyBorder="1"/>
    <xf numFmtId="0" fontId="12" fillId="0" borderId="0" xfId="0" applyFont="1"/>
    <xf numFmtId="0" fontId="5" fillId="0" borderId="0" xfId="0" applyFont="1"/>
    <xf numFmtId="168" fontId="8" fillId="0" borderId="0" xfId="2" applyNumberFormat="1" applyFont="1" applyFill="1" applyBorder="1"/>
    <xf numFmtId="165" fontId="8" fillId="0" borderId="0" xfId="2" applyFont="1" applyFill="1" applyBorder="1"/>
    <xf numFmtId="0" fontId="6" fillId="3" borderId="2" xfId="0" applyFont="1" applyFill="1" applyBorder="1" applyAlignment="1">
      <alignment horizontal="right"/>
    </xf>
    <xf numFmtId="0" fontId="6" fillId="3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165" fontId="3" fillId="0" borderId="1" xfId="2" applyFont="1" applyFill="1" applyBorder="1"/>
    <xf numFmtId="169" fontId="3" fillId="0" borderId="1" xfId="2" applyNumberFormat="1" applyFont="1" applyFill="1" applyBorder="1"/>
    <xf numFmtId="166" fontId="9" fillId="0" borderId="0" xfId="0" applyNumberFormat="1" applyFont="1"/>
    <xf numFmtId="0" fontId="9" fillId="0" borderId="0" xfId="0" applyFont="1"/>
    <xf numFmtId="1" fontId="3" fillId="0" borderId="0" xfId="0" applyNumberFormat="1" applyFont="1"/>
    <xf numFmtId="165" fontId="9" fillId="0" borderId="1" xfId="2" applyFont="1" applyFill="1" applyBorder="1"/>
    <xf numFmtId="0" fontId="6" fillId="3" borderId="6" xfId="0" applyFont="1" applyFill="1" applyBorder="1"/>
    <xf numFmtId="0" fontId="5" fillId="0" borderId="6" xfId="0" applyFont="1" applyBorder="1"/>
    <xf numFmtId="0" fontId="3" fillId="0" borderId="6" xfId="0" applyFont="1" applyBorder="1"/>
    <xf numFmtId="0" fontId="10" fillId="0" borderId="6" xfId="0" applyFont="1" applyBorder="1"/>
    <xf numFmtId="0" fontId="3" fillId="0" borderId="8" xfId="0" applyFont="1" applyBorder="1"/>
    <xf numFmtId="0" fontId="12" fillId="0" borderId="9" xfId="0" applyFont="1" applyBorder="1"/>
    <xf numFmtId="167" fontId="12" fillId="0" borderId="9" xfId="0" applyNumberFormat="1" applyFont="1" applyBorder="1"/>
    <xf numFmtId="167" fontId="3" fillId="0" borderId="9" xfId="0" applyNumberFormat="1" applyFont="1" applyBorder="1"/>
    <xf numFmtId="10" fontId="3" fillId="0" borderId="9" xfId="0" applyNumberFormat="1" applyFont="1" applyBorder="1"/>
    <xf numFmtId="0" fontId="3" fillId="0" borderId="6" xfId="0" applyFont="1" applyBorder="1" applyAlignment="1">
      <alignment horizontal="left" indent="1"/>
    </xf>
    <xf numFmtId="0" fontId="5" fillId="0" borderId="8" xfId="0" applyFont="1" applyBorder="1"/>
    <xf numFmtId="170" fontId="5" fillId="0" borderId="7" xfId="2" applyNumberFormat="1" applyFont="1" applyFill="1" applyBorder="1"/>
    <xf numFmtId="170" fontId="3" fillId="0" borderId="7" xfId="2" applyNumberFormat="1" applyFont="1" applyFill="1" applyBorder="1"/>
    <xf numFmtId="0" fontId="6" fillId="3" borderId="3" xfId="0" applyFont="1" applyFill="1" applyBorder="1"/>
    <xf numFmtId="0" fontId="7" fillId="3" borderId="4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11" xfId="0" applyFont="1" applyFill="1" applyBorder="1"/>
    <xf numFmtId="166" fontId="5" fillId="0" borderId="6" xfId="0" applyNumberFormat="1" applyFont="1" applyBorder="1"/>
    <xf numFmtId="166" fontId="3" fillId="0" borderId="6" xfId="0" applyNumberFormat="1" applyFont="1" applyBorder="1"/>
    <xf numFmtId="167" fontId="3" fillId="0" borderId="6" xfId="0" applyNumberFormat="1" applyFont="1" applyBorder="1"/>
    <xf numFmtId="0" fontId="9" fillId="0" borderId="6" xfId="0" applyFont="1" applyBorder="1"/>
    <xf numFmtId="0" fontId="6" fillId="3" borderId="1" xfId="0" applyFont="1" applyFill="1" applyBorder="1" applyAlignment="1">
      <alignment horizontal="center"/>
    </xf>
    <xf numFmtId="170" fontId="8" fillId="4" borderId="1" xfId="2" applyNumberFormat="1" applyFont="1" applyFill="1" applyBorder="1"/>
    <xf numFmtId="10" fontId="10" fillId="4" borderId="1" xfId="0" applyNumberFormat="1" applyFont="1" applyFill="1" applyBorder="1"/>
    <xf numFmtId="10" fontId="5" fillId="4" borderId="1" xfId="0" applyNumberFormat="1" applyFont="1" applyFill="1" applyBorder="1"/>
    <xf numFmtId="10" fontId="5" fillId="4" borderId="1" xfId="1" applyNumberFormat="1" applyFont="1" applyFill="1" applyBorder="1"/>
    <xf numFmtId="10" fontId="14" fillId="4" borderId="1" xfId="0" applyNumberFormat="1" applyFont="1" applyFill="1" applyBorder="1"/>
    <xf numFmtId="10" fontId="3" fillId="4" borderId="1" xfId="0" applyNumberFormat="1" applyFont="1" applyFill="1" applyBorder="1"/>
    <xf numFmtId="167" fontId="11" fillId="4" borderId="1" xfId="0" applyNumberFormat="1" applyFont="1" applyFill="1" applyBorder="1"/>
    <xf numFmtId="170" fontId="5" fillId="4" borderId="1" xfId="2" applyNumberFormat="1" applyFont="1" applyFill="1" applyBorder="1"/>
    <xf numFmtId="170" fontId="5" fillId="4" borderId="7" xfId="2" applyNumberFormat="1" applyFont="1" applyFill="1" applyBorder="1"/>
    <xf numFmtId="170" fontId="5" fillId="4" borderId="9" xfId="2" applyNumberFormat="1" applyFont="1" applyFill="1" applyBorder="1"/>
    <xf numFmtId="170" fontId="5" fillId="4" borderId="10" xfId="2" applyNumberFormat="1" applyFont="1" applyFill="1" applyBorder="1"/>
    <xf numFmtId="170" fontId="3" fillId="4" borderId="1" xfId="2" applyNumberFormat="1" applyFont="1" applyFill="1" applyBorder="1"/>
    <xf numFmtId="10" fontId="9" fillId="4" borderId="1" xfId="0" applyNumberFormat="1" applyFont="1" applyFill="1" applyBorder="1"/>
    <xf numFmtId="10" fontId="3" fillId="4" borderId="1" xfId="1" applyNumberFormat="1" applyFont="1" applyFill="1" applyBorder="1"/>
    <xf numFmtId="10" fontId="9" fillId="4" borderId="1" xfId="1" applyNumberFormat="1" applyFont="1" applyFill="1" applyBorder="1"/>
    <xf numFmtId="169" fontId="3" fillId="4" borderId="1" xfId="2" applyNumberFormat="1" applyFont="1" applyFill="1" applyBorder="1"/>
    <xf numFmtId="168" fontId="5" fillId="4" borderId="1" xfId="2" applyNumberFormat="1" applyFont="1" applyFill="1" applyBorder="1"/>
    <xf numFmtId="168" fontId="8" fillId="4" borderId="1" xfId="2" applyNumberFormat="1" applyFont="1" applyFill="1" applyBorder="1"/>
    <xf numFmtId="166" fontId="5" fillId="4" borderId="1" xfId="0" applyNumberFormat="1" applyFont="1" applyFill="1" applyBorder="1"/>
    <xf numFmtId="167" fontId="10" fillId="4" borderId="1" xfId="0" applyNumberFormat="1" applyFont="1" applyFill="1" applyBorder="1"/>
    <xf numFmtId="0" fontId="12" fillId="4" borderId="1" xfId="0" applyFont="1" applyFill="1" applyBorder="1"/>
    <xf numFmtId="170" fontId="12" fillId="4" borderId="1" xfId="2" applyNumberFormat="1" applyFont="1" applyFill="1" applyBorder="1"/>
    <xf numFmtId="165" fontId="5" fillId="4" borderId="1" xfId="2" applyFont="1" applyFill="1" applyBorder="1"/>
    <xf numFmtId="165" fontId="3" fillId="4" borderId="1" xfId="2" applyFont="1" applyFill="1" applyBorder="1"/>
    <xf numFmtId="2" fontId="3" fillId="4" borderId="1" xfId="0" applyNumberFormat="1" applyFont="1" applyFill="1" applyBorder="1"/>
    <xf numFmtId="166" fontId="3" fillId="4" borderId="1" xfId="0" applyNumberFormat="1" applyFont="1" applyFill="1" applyBorder="1"/>
    <xf numFmtId="1" fontId="3" fillId="4" borderId="1" xfId="0" applyNumberFormat="1" applyFont="1" applyFill="1" applyBorder="1"/>
    <xf numFmtId="168" fontId="8" fillId="4" borderId="9" xfId="2" applyNumberFormat="1" applyFont="1" applyFill="1" applyBorder="1"/>
    <xf numFmtId="0" fontId="5" fillId="4" borderId="6" xfId="0" applyFont="1" applyFill="1" applyBorder="1"/>
    <xf numFmtId="168" fontId="13" fillId="4" borderId="1" xfId="2" applyNumberFormat="1" applyFont="1" applyFill="1" applyBorder="1"/>
    <xf numFmtId="0" fontId="3" fillId="5" borderId="6" xfId="0" applyFont="1" applyFill="1" applyBorder="1"/>
    <xf numFmtId="170" fontId="9" fillId="5" borderId="1" xfId="2" applyNumberFormat="1" applyFont="1" applyFill="1" applyBorder="1"/>
    <xf numFmtId="168" fontId="12" fillId="5" borderId="1" xfId="2" applyNumberFormat="1" applyFont="1" applyFill="1" applyBorder="1"/>
    <xf numFmtId="0" fontId="0" fillId="0" borderId="0" xfId="0" applyAlignment="1">
      <alignment vertical="top"/>
    </xf>
    <xf numFmtId="173" fontId="1" fillId="6" borderId="10" xfId="3" applyNumberFormat="1" applyFont="1" applyFill="1" applyBorder="1" applyAlignment="1">
      <alignment vertical="top"/>
    </xf>
    <xf numFmtId="173" fontId="1" fillId="6" borderId="9" xfId="3" applyNumberFormat="1" applyFont="1" applyFill="1" applyBorder="1" applyAlignment="1">
      <alignment vertical="top"/>
    </xf>
    <xf numFmtId="0" fontId="0" fillId="0" borderId="8" xfId="0" applyBorder="1" applyAlignment="1">
      <alignment vertical="top"/>
    </xf>
    <xf numFmtId="173" fontId="1" fillId="6" borderId="7" xfId="3" applyNumberFormat="1" applyFont="1" applyFill="1" applyBorder="1" applyAlignment="1">
      <alignment vertical="top"/>
    </xf>
    <xf numFmtId="173" fontId="1" fillId="6" borderId="1" xfId="3" applyNumberFormat="1" applyFont="1" applyFill="1" applyBorder="1" applyAlignment="1">
      <alignment vertical="top"/>
    </xf>
    <xf numFmtId="0" fontId="0" fillId="0" borderId="6" xfId="0" applyBorder="1" applyAlignment="1">
      <alignment vertical="top"/>
    </xf>
    <xf numFmtId="167" fontId="1" fillId="6" borderId="7" xfId="1" applyNumberFormat="1" applyFont="1" applyFill="1" applyBorder="1" applyAlignment="1">
      <alignment vertical="top"/>
    </xf>
    <xf numFmtId="167" fontId="1" fillId="6" borderId="1" xfId="1" applyNumberFormat="1" applyFont="1" applyFill="1" applyBorder="1" applyAlignment="1">
      <alignment vertical="top"/>
    </xf>
    <xf numFmtId="174" fontId="1" fillId="6" borderId="7" xfId="3" applyNumberFormat="1" applyFont="1" applyFill="1" applyBorder="1" applyAlignment="1">
      <alignment vertical="top"/>
    </xf>
    <xf numFmtId="174" fontId="1" fillId="6" borderId="1" xfId="3" applyNumberFormat="1" applyFont="1" applyFill="1" applyBorder="1" applyAlignment="1">
      <alignment vertical="top"/>
    </xf>
    <xf numFmtId="164" fontId="1" fillId="0" borderId="7" xfId="3" applyNumberFormat="1" applyFont="1" applyBorder="1" applyAlignment="1">
      <alignment vertical="top"/>
    </xf>
    <xf numFmtId="164" fontId="1" fillId="0" borderId="1" xfId="3" applyNumberFormat="1" applyFont="1" applyBorder="1" applyAlignment="1">
      <alignment vertical="top"/>
    </xf>
    <xf numFmtId="165" fontId="1" fillId="6" borderId="7" xfId="3" applyNumberFormat="1" applyFont="1" applyFill="1" applyBorder="1" applyAlignment="1">
      <alignment vertical="top"/>
    </xf>
    <xf numFmtId="165" fontId="1" fillId="6" borderId="1" xfId="3" applyNumberFormat="1" applyFont="1" applyFill="1" applyBorder="1" applyAlignment="1">
      <alignment vertical="top"/>
    </xf>
    <xf numFmtId="165" fontId="0" fillId="0" borderId="7" xfId="3" applyNumberFormat="1" applyFont="1" applyBorder="1" applyAlignment="1">
      <alignment vertical="top"/>
    </xf>
    <xf numFmtId="165" fontId="0" fillId="0" borderId="1" xfId="3" applyNumberFormat="1" applyFont="1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" xfId="0" applyBorder="1" applyAlignment="1">
      <alignment vertical="top"/>
    </xf>
    <xf numFmtId="167" fontId="0" fillId="6" borderId="7" xfId="1" applyNumberFormat="1" applyFont="1" applyFill="1" applyBorder="1" applyAlignment="1">
      <alignment vertical="top"/>
    </xf>
    <xf numFmtId="167" fontId="0" fillId="6" borderId="1" xfId="1" applyNumberFormat="1" applyFont="1" applyFill="1" applyBorder="1" applyAlignment="1">
      <alignment vertical="top"/>
    </xf>
    <xf numFmtId="0" fontId="0" fillId="6" borderId="6" xfId="0" applyFill="1" applyBorder="1" applyAlignment="1">
      <alignment vertical="top"/>
    </xf>
    <xf numFmtId="0" fontId="15" fillId="5" borderId="5" xfId="0" applyFont="1" applyFill="1" applyBorder="1" applyAlignment="1">
      <alignment horizontal="center" vertical="top" wrapText="1"/>
    </xf>
    <xf numFmtId="0" fontId="15" fillId="5" borderId="4" xfId="0" applyFont="1" applyFill="1" applyBorder="1" applyAlignment="1">
      <alignment horizontal="center" vertical="top" wrapText="1"/>
    </xf>
    <xf numFmtId="0" fontId="15" fillId="5" borderId="3" xfId="0" applyFont="1" applyFill="1" applyBorder="1" applyAlignment="1">
      <alignment vertical="top"/>
    </xf>
    <xf numFmtId="0" fontId="15" fillId="0" borderId="0" xfId="0" applyFont="1" applyAlignment="1">
      <alignment horizontal="center" vertical="top"/>
    </xf>
    <xf numFmtId="165" fontId="0" fillId="6" borderId="9" xfId="3" applyNumberFormat="1" applyFont="1" applyFill="1" applyBorder="1" applyAlignment="1">
      <alignment vertical="top"/>
    </xf>
    <xf numFmtId="0" fontId="0" fillId="6" borderId="8" xfId="0" applyFill="1" applyBorder="1" applyAlignment="1">
      <alignment vertical="top"/>
    </xf>
    <xf numFmtId="165" fontId="0" fillId="6" borderId="7" xfId="3" applyNumberFormat="1" applyFont="1" applyFill="1" applyBorder="1" applyAlignment="1">
      <alignment vertical="top"/>
    </xf>
    <xf numFmtId="165" fontId="0" fillId="6" borderId="1" xfId="3" applyNumberFormat="1" applyFont="1" applyFill="1" applyBorder="1" applyAlignment="1">
      <alignment vertical="top"/>
    </xf>
    <xf numFmtId="165" fontId="0" fillId="0" borderId="1" xfId="0" applyNumberFormat="1" applyBorder="1" applyAlignment="1">
      <alignment vertical="top"/>
    </xf>
    <xf numFmtId="10" fontId="0" fillId="0" borderId="1" xfId="1" applyNumberFormat="1" applyFont="1" applyBorder="1" applyAlignment="1">
      <alignment vertical="top"/>
    </xf>
    <xf numFmtId="0" fontId="15" fillId="5" borderId="3" xfId="0" applyFont="1" applyFill="1" applyBorder="1" applyAlignment="1">
      <alignment vertical="top" wrapText="1"/>
    </xf>
    <xf numFmtId="0" fontId="15" fillId="0" borderId="0" xfId="0" applyFont="1" applyAlignment="1">
      <alignment vertical="top"/>
    </xf>
    <xf numFmtId="0" fontId="0" fillId="7" borderId="0" xfId="0" applyFill="1" applyAlignment="1">
      <alignment vertical="top"/>
    </xf>
    <xf numFmtId="0" fontId="16" fillId="7" borderId="0" xfId="0" applyFont="1" applyFill="1" applyAlignment="1">
      <alignment vertical="top"/>
    </xf>
    <xf numFmtId="167" fontId="16" fillId="7" borderId="1" xfId="1" applyNumberFormat="1" applyFont="1" applyFill="1" applyBorder="1" applyAlignment="1">
      <alignment vertical="top"/>
    </xf>
    <xf numFmtId="167" fontId="0" fillId="7" borderId="1" xfId="1" applyNumberFormat="1" applyFont="1" applyFill="1" applyBorder="1" applyAlignment="1">
      <alignment vertical="top"/>
    </xf>
    <xf numFmtId="0" fontId="0" fillId="7" borderId="1" xfId="0" applyFill="1" applyBorder="1" applyAlignment="1">
      <alignment vertical="top"/>
    </xf>
    <xf numFmtId="174" fontId="0" fillId="0" borderId="1" xfId="0" applyNumberFormat="1" applyBorder="1" applyAlignment="1">
      <alignment vertical="top"/>
    </xf>
    <xf numFmtId="173" fontId="0" fillId="0" borderId="1" xfId="0" applyNumberFormat="1" applyBorder="1" applyAlignment="1">
      <alignment vertical="top"/>
    </xf>
    <xf numFmtId="0" fontId="15" fillId="7" borderId="1" xfId="0" applyFont="1" applyFill="1" applyBorder="1" applyAlignment="1">
      <alignment vertical="top"/>
    </xf>
    <xf numFmtId="0" fontId="16" fillId="7" borderId="1" xfId="0" applyFont="1" applyFill="1" applyBorder="1" applyAlignment="1">
      <alignment vertical="top"/>
    </xf>
    <xf numFmtId="167" fontId="0" fillId="7" borderId="1" xfId="0" applyNumberFormat="1" applyFill="1" applyBorder="1" applyAlignment="1">
      <alignment vertical="top"/>
    </xf>
    <xf numFmtId="0" fontId="15" fillId="7" borderId="0" xfId="0" applyFont="1" applyFill="1" applyAlignment="1">
      <alignment vertical="top"/>
    </xf>
    <xf numFmtId="43" fontId="15" fillId="7" borderId="1" xfId="3" applyFont="1" applyFill="1" applyBorder="1" applyAlignment="1">
      <alignment vertical="top"/>
    </xf>
    <xf numFmtId="175" fontId="16" fillId="7" borderId="1" xfId="3" applyNumberFormat="1" applyFont="1" applyFill="1" applyBorder="1" applyAlignment="1">
      <alignment vertical="top"/>
    </xf>
    <xf numFmtId="0" fontId="16" fillId="0" borderId="1" xfId="0" applyFont="1" applyBorder="1" applyAlignment="1">
      <alignment vertical="top"/>
    </xf>
    <xf numFmtId="0" fontId="0" fillId="7" borderId="1" xfId="0" applyFill="1" applyBorder="1" applyAlignment="1">
      <alignment horizontal="right" vertical="top"/>
    </xf>
    <xf numFmtId="165" fontId="15" fillId="0" borderId="1" xfId="0" applyNumberFormat="1" applyFont="1" applyBorder="1" applyAlignment="1">
      <alignment vertical="top"/>
    </xf>
    <xf numFmtId="10" fontId="15" fillId="7" borderId="1" xfId="1" applyNumberFormat="1" applyFont="1" applyFill="1" applyBorder="1" applyAlignment="1">
      <alignment vertical="top"/>
    </xf>
    <xf numFmtId="165" fontId="15" fillId="7" borderId="1" xfId="0" applyNumberFormat="1" applyFont="1" applyFill="1" applyBorder="1" applyAlignment="1">
      <alignment vertical="top"/>
    </xf>
    <xf numFmtId="165" fontId="15" fillId="7" borderId="1" xfId="3" applyNumberFormat="1" applyFont="1" applyFill="1" applyBorder="1" applyAlignment="1">
      <alignment vertical="top"/>
    </xf>
    <xf numFmtId="165" fontId="0" fillId="7" borderId="1" xfId="3" applyNumberFormat="1" applyFont="1" applyFill="1" applyBorder="1" applyAlignment="1">
      <alignment vertical="top"/>
    </xf>
    <xf numFmtId="0" fontId="17" fillId="7" borderId="1" xfId="0" applyFont="1" applyFill="1" applyBorder="1" applyAlignment="1">
      <alignment horizontal="center" vertical="top"/>
    </xf>
    <xf numFmtId="0" fontId="18" fillId="7" borderId="1" xfId="0" applyFont="1" applyFill="1" applyBorder="1" applyAlignment="1">
      <alignment horizontal="center" vertical="top"/>
    </xf>
    <xf numFmtId="0" fontId="0" fillId="0" borderId="0" xfId="0" applyAlignment="1">
      <alignment vertical="top" wrapText="1"/>
    </xf>
    <xf numFmtId="0" fontId="18" fillId="8" borderId="1" xfId="0" applyFont="1" applyFill="1" applyBorder="1" applyAlignment="1">
      <alignment horizontal="center" vertical="center" wrapText="1"/>
    </xf>
    <xf numFmtId="167" fontId="0" fillId="0" borderId="1" xfId="1" applyNumberFormat="1" applyFont="1" applyFill="1" applyBorder="1" applyAlignment="1">
      <alignment vertical="top"/>
    </xf>
    <xf numFmtId="176" fontId="1" fillId="0" borderId="1" xfId="3" applyNumberFormat="1" applyFont="1" applyBorder="1" applyAlignment="1">
      <alignment vertical="top"/>
    </xf>
    <xf numFmtId="176" fontId="1" fillId="0" borderId="7" xfId="3" applyNumberFormat="1" applyFont="1" applyBorder="1" applyAlignment="1">
      <alignment vertical="top"/>
    </xf>
    <xf numFmtId="167" fontId="0" fillId="6" borderId="1" xfId="1" applyNumberFormat="1" applyFont="1" applyFill="1" applyBorder="1" applyAlignment="1">
      <alignment horizontal="right" vertical="top"/>
    </xf>
    <xf numFmtId="0" fontId="4" fillId="3" borderId="0" xfId="0" applyFont="1" applyFill="1" applyAlignment="1">
      <alignment horizontal="center"/>
    </xf>
    <xf numFmtId="0" fontId="7" fillId="3" borderId="16" xfId="0" applyFont="1" applyFill="1" applyBorder="1" applyAlignment="1">
      <alignment horizontal="center"/>
    </xf>
    <xf numFmtId="10" fontId="10" fillId="4" borderId="16" xfId="0" applyNumberFormat="1" applyFont="1" applyFill="1" applyBorder="1"/>
    <xf numFmtId="170" fontId="5" fillId="4" borderId="16" xfId="2" applyNumberFormat="1" applyFont="1" applyFill="1" applyBorder="1"/>
    <xf numFmtId="170" fontId="3" fillId="0" borderId="16" xfId="2" applyNumberFormat="1" applyFont="1" applyFill="1" applyBorder="1"/>
    <xf numFmtId="170" fontId="8" fillId="4" borderId="16" xfId="2" applyNumberFormat="1" applyFont="1" applyFill="1" applyBorder="1"/>
    <xf numFmtId="10" fontId="5" fillId="4" borderId="16" xfId="0" applyNumberFormat="1" applyFont="1" applyFill="1" applyBorder="1"/>
    <xf numFmtId="10" fontId="3" fillId="4" borderId="16" xfId="1" applyNumberFormat="1" applyFont="1" applyFill="1" applyBorder="1"/>
    <xf numFmtId="10" fontId="5" fillId="4" borderId="16" xfId="1" applyNumberFormat="1" applyFont="1" applyFill="1" applyBorder="1"/>
    <xf numFmtId="10" fontId="14" fillId="4" borderId="16" xfId="0" applyNumberFormat="1" applyFont="1" applyFill="1" applyBorder="1"/>
    <xf numFmtId="170" fontId="5" fillId="0" borderId="16" xfId="2" applyNumberFormat="1" applyFont="1" applyFill="1" applyBorder="1"/>
    <xf numFmtId="10" fontId="3" fillId="4" borderId="16" xfId="0" applyNumberFormat="1" applyFont="1" applyFill="1" applyBorder="1"/>
    <xf numFmtId="10" fontId="10" fillId="4" borderId="17" xfId="0" applyNumberFormat="1" applyFont="1" applyFill="1" applyBorder="1"/>
    <xf numFmtId="0" fontId="7" fillId="3" borderId="20" xfId="0" applyFont="1" applyFill="1" applyBorder="1" applyAlignment="1">
      <alignment horizontal="center"/>
    </xf>
    <xf numFmtId="170" fontId="9" fillId="0" borderId="20" xfId="2" applyNumberFormat="1" applyFont="1" applyFill="1" applyBorder="1"/>
    <xf numFmtId="170" fontId="9" fillId="5" borderId="20" xfId="2" applyNumberFormat="1" applyFont="1" applyFill="1" applyBorder="1"/>
    <xf numFmtId="170" fontId="3" fillId="0" borderId="20" xfId="2" applyNumberFormat="1" applyFont="1" applyFill="1" applyBorder="1"/>
    <xf numFmtId="170" fontId="5" fillId="4" borderId="20" xfId="2" applyNumberFormat="1" applyFont="1" applyFill="1" applyBorder="1"/>
    <xf numFmtId="165" fontId="3" fillId="0" borderId="20" xfId="2" applyFont="1" applyFill="1" applyBorder="1"/>
    <xf numFmtId="0" fontId="7" fillId="3" borderId="21" xfId="0" applyFont="1" applyFill="1" applyBorder="1" applyAlignment="1">
      <alignment horizontal="center"/>
    </xf>
    <xf numFmtId="170" fontId="3" fillId="4" borderId="16" xfId="2" applyNumberFormat="1" applyFont="1" applyFill="1" applyBorder="1"/>
    <xf numFmtId="10" fontId="9" fillId="4" borderId="16" xfId="0" applyNumberFormat="1" applyFont="1" applyFill="1" applyBorder="1"/>
    <xf numFmtId="10" fontId="9" fillId="4" borderId="16" xfId="1" applyNumberFormat="1" applyFont="1" applyFill="1" applyBorder="1"/>
    <xf numFmtId="169" fontId="3" fillId="4" borderId="16" xfId="2" applyNumberFormat="1" applyFont="1" applyFill="1" applyBorder="1"/>
    <xf numFmtId="0" fontId="7" fillId="3" borderId="22" xfId="0" applyFont="1" applyFill="1" applyBorder="1" applyAlignment="1">
      <alignment horizontal="center"/>
    </xf>
    <xf numFmtId="170" fontId="5" fillId="4" borderId="17" xfId="2" applyNumberFormat="1" applyFont="1" applyFill="1" applyBorder="1"/>
    <xf numFmtId="169" fontId="3" fillId="0" borderId="16" xfId="2" applyNumberFormat="1" applyFont="1" applyFill="1" applyBorder="1" applyAlignment="1">
      <alignment horizontal="right"/>
    </xf>
    <xf numFmtId="0" fontId="6" fillId="3" borderId="4" xfId="0" applyFont="1" applyFill="1" applyBorder="1" applyAlignment="1">
      <alignment horizontal="center"/>
    </xf>
    <xf numFmtId="10" fontId="3" fillId="0" borderId="0" xfId="1" applyNumberFormat="1" applyFont="1" applyBorder="1"/>
    <xf numFmtId="0" fontId="3" fillId="0" borderId="19" xfId="0" applyFont="1" applyBorder="1"/>
    <xf numFmtId="0" fontId="3" fillId="0" borderId="26" xfId="0" applyFont="1" applyBorder="1"/>
    <xf numFmtId="0" fontId="5" fillId="0" borderId="7" xfId="0" applyFont="1" applyBorder="1"/>
    <xf numFmtId="170" fontId="5" fillId="4" borderId="7" xfId="0" applyNumberFormat="1" applyFont="1" applyFill="1" applyBorder="1"/>
    <xf numFmtId="170" fontId="3" fillId="4" borderId="7" xfId="2" applyNumberFormat="1" applyFont="1" applyFill="1" applyBorder="1"/>
    <xf numFmtId="0" fontId="3" fillId="4" borderId="7" xfId="0" applyFont="1" applyFill="1" applyBorder="1"/>
    <xf numFmtId="10" fontId="3" fillId="4" borderId="7" xfId="0" applyNumberFormat="1" applyFont="1" applyFill="1" applyBorder="1"/>
    <xf numFmtId="10" fontId="9" fillId="4" borderId="7" xfId="0" applyNumberFormat="1" applyFont="1" applyFill="1" applyBorder="1"/>
    <xf numFmtId="10" fontId="9" fillId="4" borderId="7" xfId="1" applyNumberFormat="1" applyFont="1" applyFill="1" applyBorder="1"/>
    <xf numFmtId="169" fontId="3" fillId="4" borderId="7" xfId="2" applyNumberFormat="1" applyFont="1" applyFill="1" applyBorder="1"/>
    <xf numFmtId="0" fontId="12" fillId="0" borderId="28" xfId="0" applyFont="1" applyBorder="1"/>
    <xf numFmtId="1" fontId="9" fillId="0" borderId="1" xfId="0" applyNumberFormat="1" applyFont="1" applyBorder="1"/>
    <xf numFmtId="169" fontId="3" fillId="0" borderId="16" xfId="2" applyNumberFormat="1" applyFont="1" applyFill="1" applyBorder="1"/>
    <xf numFmtId="169" fontId="3" fillId="0" borderId="7" xfId="2" applyNumberFormat="1" applyFont="1" applyFill="1" applyBorder="1"/>
    <xf numFmtId="0" fontId="9" fillId="0" borderId="1" xfId="0" applyFont="1" applyBorder="1"/>
    <xf numFmtId="10" fontId="9" fillId="0" borderId="1" xfId="1" applyNumberFormat="1" applyFont="1" applyFill="1" applyBorder="1"/>
    <xf numFmtId="10" fontId="9" fillId="0" borderId="16" xfId="1" applyNumberFormat="1" applyFont="1" applyFill="1" applyBorder="1"/>
    <xf numFmtId="0" fontId="3" fillId="0" borderId="7" xfId="0" applyFont="1" applyBorder="1"/>
    <xf numFmtId="0" fontId="3" fillId="0" borderId="27" xfId="0" applyFont="1" applyBorder="1"/>
    <xf numFmtId="0" fontId="3" fillId="0" borderId="28" xfId="0" applyFont="1" applyBorder="1"/>
    <xf numFmtId="170" fontId="3" fillId="0" borderId="9" xfId="2" applyNumberFormat="1" applyFont="1" applyFill="1" applyBorder="1"/>
    <xf numFmtId="170" fontId="3" fillId="0" borderId="17" xfId="2" applyNumberFormat="1" applyFont="1" applyFill="1" applyBorder="1"/>
    <xf numFmtId="170" fontId="3" fillId="0" borderId="10" xfId="2" applyNumberFormat="1" applyFont="1" applyFill="1" applyBorder="1"/>
    <xf numFmtId="166" fontId="9" fillId="0" borderId="1" xfId="0" applyNumberFormat="1" applyFont="1" applyBorder="1"/>
    <xf numFmtId="4" fontId="0" fillId="0" borderId="0" xfId="0" applyNumberFormat="1" applyAlignment="1">
      <alignment vertical="top"/>
    </xf>
    <xf numFmtId="165" fontId="20" fillId="7" borderId="30" xfId="0" applyNumberFormat="1" applyFont="1" applyFill="1" applyBorder="1" applyAlignment="1">
      <alignment horizontal="center"/>
    </xf>
    <xf numFmtId="0" fontId="15" fillId="0" borderId="29" xfId="0" applyFont="1" applyBorder="1" applyAlignment="1">
      <alignment horizontal="left" vertical="top"/>
    </xf>
    <xf numFmtId="165" fontId="16" fillId="7" borderId="29" xfId="3" applyNumberFormat="1" applyFont="1" applyFill="1" applyBorder="1"/>
    <xf numFmtId="165" fontId="16" fillId="7" borderId="1" xfId="3" applyNumberFormat="1" applyFont="1" applyFill="1" applyBorder="1"/>
    <xf numFmtId="0" fontId="3" fillId="0" borderId="11" xfId="0" applyFont="1" applyBorder="1"/>
    <xf numFmtId="168" fontId="5" fillId="0" borderId="1" xfId="3" applyNumberFormat="1" applyFont="1" applyFill="1" applyBorder="1"/>
    <xf numFmtId="170" fontId="5" fillId="0" borderId="1" xfId="3" applyNumberFormat="1" applyFont="1" applyFill="1" applyBorder="1"/>
    <xf numFmtId="168" fontId="9" fillId="0" borderId="1" xfId="3" applyNumberFormat="1" applyFont="1" applyFill="1" applyBorder="1"/>
    <xf numFmtId="170" fontId="3" fillId="0" borderId="1" xfId="3" applyNumberFormat="1" applyFont="1" applyFill="1" applyBorder="1"/>
    <xf numFmtId="168" fontId="3" fillId="0" borderId="1" xfId="3" applyNumberFormat="1" applyFont="1" applyFill="1" applyBorder="1"/>
    <xf numFmtId="165" fontId="5" fillId="0" borderId="1" xfId="3" applyNumberFormat="1" applyFont="1" applyFill="1" applyBorder="1"/>
    <xf numFmtId="43" fontId="9" fillId="0" borderId="1" xfId="3" applyFont="1" applyFill="1" applyBorder="1"/>
    <xf numFmtId="43" fontId="3" fillId="0" borderId="1" xfId="3" applyFont="1" applyFill="1" applyBorder="1"/>
    <xf numFmtId="165" fontId="16" fillId="0" borderId="29" xfId="3" applyNumberFormat="1" applyFont="1" applyFill="1" applyBorder="1"/>
    <xf numFmtId="0" fontId="3" fillId="0" borderId="31" xfId="0" applyFont="1" applyBorder="1"/>
    <xf numFmtId="168" fontId="12" fillId="0" borderId="12" xfId="2" applyNumberFormat="1" applyFont="1" applyFill="1" applyBorder="1"/>
    <xf numFmtId="170" fontId="3" fillId="0" borderId="12" xfId="2" applyNumberFormat="1" applyFont="1" applyFill="1" applyBorder="1"/>
    <xf numFmtId="168" fontId="3" fillId="0" borderId="2" xfId="2" applyNumberFormat="1" applyFont="1" applyFill="1" applyBorder="1"/>
    <xf numFmtId="170" fontId="3" fillId="0" borderId="2" xfId="2" applyNumberFormat="1" applyFont="1" applyFill="1" applyBorder="1"/>
    <xf numFmtId="0" fontId="3" fillId="0" borderId="1" xfId="0" applyFont="1" applyBorder="1"/>
    <xf numFmtId="165" fontId="0" fillId="0" borderId="1" xfId="3" applyNumberFormat="1" applyFont="1" applyFill="1" applyBorder="1"/>
    <xf numFmtId="168" fontId="3" fillId="0" borderId="12" xfId="2" applyNumberFormat="1" applyFont="1" applyFill="1" applyBorder="1"/>
    <xf numFmtId="165" fontId="0" fillId="7" borderId="1" xfId="0" applyNumberFormat="1" applyFill="1" applyBorder="1" applyAlignment="1">
      <alignment vertical="top"/>
    </xf>
    <xf numFmtId="173" fontId="0" fillId="7" borderId="1" xfId="0" applyNumberFormat="1" applyFill="1" applyBorder="1" applyAlignment="1">
      <alignment vertical="top"/>
    </xf>
    <xf numFmtId="174" fontId="0" fillId="7" borderId="1" xfId="0" applyNumberFormat="1" applyFill="1" applyBorder="1" applyAlignment="1">
      <alignment vertical="top"/>
    </xf>
    <xf numFmtId="3" fontId="0" fillId="0" borderId="0" xfId="0" applyNumberFormat="1"/>
    <xf numFmtId="3" fontId="0" fillId="6" borderId="0" xfId="0" applyNumberFormat="1" applyFill="1"/>
    <xf numFmtId="165" fontId="0" fillId="10" borderId="1" xfId="0" applyNumberFormat="1" applyFill="1" applyBorder="1" applyAlignment="1">
      <alignment vertical="top"/>
    </xf>
    <xf numFmtId="173" fontId="0" fillId="10" borderId="1" xfId="0" applyNumberFormat="1" applyFill="1" applyBorder="1" applyAlignment="1">
      <alignment vertical="top"/>
    </xf>
    <xf numFmtId="10" fontId="15" fillId="10" borderId="1" xfId="1" applyNumberFormat="1" applyFont="1" applyFill="1" applyBorder="1" applyAlignment="1">
      <alignment vertical="top"/>
    </xf>
    <xf numFmtId="167" fontId="16" fillId="10" borderId="1" xfId="1" applyNumberFormat="1" applyFont="1" applyFill="1" applyBorder="1" applyAlignment="1">
      <alignment vertical="top"/>
    </xf>
    <xf numFmtId="165" fontId="15" fillId="6" borderId="1" xfId="0" applyNumberFormat="1" applyFont="1" applyFill="1" applyBorder="1" applyAlignment="1">
      <alignment vertical="top"/>
    </xf>
    <xf numFmtId="165" fontId="15" fillId="6" borderId="1" xfId="3" applyNumberFormat="1" applyFont="1" applyFill="1" applyBorder="1" applyAlignment="1">
      <alignment vertical="top"/>
    </xf>
    <xf numFmtId="167" fontId="16" fillId="6" borderId="1" xfId="1" applyNumberFormat="1" applyFont="1" applyFill="1" applyBorder="1" applyAlignment="1">
      <alignment vertical="top"/>
    </xf>
    <xf numFmtId="0" fontId="4" fillId="3" borderId="1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170" fontId="5" fillId="4" borderId="0" xfId="2" applyNumberFormat="1" applyFont="1" applyFill="1" applyBorder="1"/>
    <xf numFmtId="170" fontId="5" fillId="0" borderId="16" xfId="3" applyNumberFormat="1" applyFont="1" applyFill="1" applyBorder="1"/>
    <xf numFmtId="170" fontId="3" fillId="0" borderId="16" xfId="3" applyNumberFormat="1" applyFont="1" applyFill="1" applyBorder="1"/>
    <xf numFmtId="0" fontId="4" fillId="3" borderId="23" xfId="0" applyFont="1" applyFill="1" applyBorder="1" applyAlignment="1">
      <alignment horizontal="center"/>
    </xf>
    <xf numFmtId="170" fontId="5" fillId="0" borderId="32" xfId="2" applyNumberFormat="1" applyFont="1" applyFill="1" applyBorder="1"/>
    <xf numFmtId="170" fontId="3" fillId="0" borderId="33" xfId="2" applyNumberFormat="1" applyFont="1" applyFill="1" applyBorder="1"/>
    <xf numFmtId="170" fontId="5" fillId="4" borderId="19" xfId="2" applyNumberFormat="1" applyFont="1" applyFill="1" applyBorder="1"/>
    <xf numFmtId="170" fontId="5" fillId="4" borderId="34" xfId="2" applyNumberFormat="1" applyFont="1" applyFill="1" applyBorder="1"/>
    <xf numFmtId="175" fontId="0" fillId="0" borderId="1" xfId="3" applyNumberFormat="1" applyFont="1" applyFill="1" applyBorder="1" applyAlignment="1">
      <alignment horizontal="right"/>
    </xf>
    <xf numFmtId="165" fontId="0" fillId="0" borderId="1" xfId="0" applyNumberFormat="1" applyBorder="1" applyAlignment="1">
      <alignment horizontal="right" vertical="top"/>
    </xf>
    <xf numFmtId="3" fontId="22" fillId="0" borderId="0" xfId="0" applyNumberFormat="1" applyFont="1"/>
    <xf numFmtId="174" fontId="0" fillId="0" borderId="1" xfId="0" applyNumberFormat="1" applyBorder="1" applyAlignment="1">
      <alignment horizontal="right" vertical="top"/>
    </xf>
    <xf numFmtId="165" fontId="0" fillId="6" borderId="1" xfId="0" applyNumberFormat="1" applyFill="1" applyBorder="1" applyAlignment="1">
      <alignment vertical="top"/>
    </xf>
    <xf numFmtId="10" fontId="15" fillId="6" borderId="1" xfId="1" applyNumberFormat="1" applyFont="1" applyFill="1" applyBorder="1" applyAlignment="1">
      <alignment vertical="top"/>
    </xf>
    <xf numFmtId="165" fontId="15" fillId="10" borderId="1" xfId="0" applyNumberFormat="1" applyFont="1" applyFill="1" applyBorder="1" applyAlignment="1">
      <alignment vertical="top"/>
    </xf>
    <xf numFmtId="167" fontId="0" fillId="10" borderId="1" xfId="0" applyNumberFormat="1" applyFill="1" applyBorder="1" applyAlignment="1">
      <alignment vertical="top"/>
    </xf>
    <xf numFmtId="174" fontId="0" fillId="11" borderId="1" xfId="0" applyNumberFormat="1" applyFill="1" applyBorder="1" applyAlignment="1">
      <alignment vertical="top"/>
    </xf>
    <xf numFmtId="174" fontId="0" fillId="6" borderId="1" xfId="0" applyNumberFormat="1" applyFill="1" applyBorder="1" applyAlignment="1">
      <alignment vertical="top"/>
    </xf>
    <xf numFmtId="165" fontId="0" fillId="6" borderId="1" xfId="2" applyFont="1" applyFill="1" applyBorder="1" applyAlignment="1">
      <alignment vertical="top"/>
    </xf>
    <xf numFmtId="165" fontId="1" fillId="10" borderId="1" xfId="2" applyFont="1" applyFill="1" applyBorder="1" applyAlignment="1">
      <alignment vertical="top"/>
    </xf>
    <xf numFmtId="43" fontId="15" fillId="10" borderId="1" xfId="3" applyFont="1" applyFill="1" applyBorder="1" applyAlignment="1">
      <alignment vertical="top"/>
    </xf>
    <xf numFmtId="173" fontId="0" fillId="0" borderId="1" xfId="0" applyNumberFormat="1" applyBorder="1" applyAlignment="1">
      <alignment horizontal="right" vertical="top"/>
    </xf>
    <xf numFmtId="165" fontId="1" fillId="6" borderId="1" xfId="2" applyFont="1" applyFill="1" applyBorder="1" applyAlignment="1">
      <alignment vertical="top"/>
    </xf>
    <xf numFmtId="175" fontId="0" fillId="6" borderId="1" xfId="3" applyNumberFormat="1" applyFont="1" applyFill="1" applyBorder="1" applyAlignment="1">
      <alignment vertical="top"/>
    </xf>
    <xf numFmtId="43" fontId="15" fillId="6" borderId="1" xfId="3" applyFont="1" applyFill="1" applyBorder="1" applyAlignment="1">
      <alignment vertical="top"/>
    </xf>
    <xf numFmtId="173" fontId="0" fillId="6" borderId="1" xfId="0" applyNumberFormat="1" applyFill="1" applyBorder="1" applyAlignment="1">
      <alignment vertical="top"/>
    </xf>
    <xf numFmtId="165" fontId="0" fillId="11" borderId="1" xfId="2" applyFont="1" applyFill="1" applyBorder="1" applyAlignment="1">
      <alignment vertical="top"/>
    </xf>
    <xf numFmtId="167" fontId="0" fillId="10" borderId="1" xfId="1" applyNumberFormat="1" applyFont="1" applyFill="1" applyBorder="1" applyAlignment="1">
      <alignment vertical="top"/>
    </xf>
    <xf numFmtId="174" fontId="0" fillId="7" borderId="1" xfId="0" applyNumberFormat="1" applyFill="1" applyBorder="1" applyAlignment="1">
      <alignment horizontal="right" vertical="top"/>
    </xf>
    <xf numFmtId="0" fontId="24" fillId="0" borderId="0" xfId="0" applyFont="1"/>
    <xf numFmtId="170" fontId="26" fillId="0" borderId="1" xfId="2" applyNumberFormat="1" applyFont="1" applyFill="1" applyBorder="1"/>
    <xf numFmtId="170" fontId="28" fillId="0" borderId="1" xfId="2" applyNumberFormat="1" applyFont="1" applyFill="1" applyBorder="1"/>
    <xf numFmtId="10" fontId="29" fillId="4" borderId="1" xfId="0" applyNumberFormat="1" applyFont="1" applyFill="1" applyBorder="1"/>
    <xf numFmtId="0" fontId="24" fillId="7" borderId="0" xfId="0" applyFont="1" applyFill="1"/>
    <xf numFmtId="10" fontId="30" fillId="0" borderId="1" xfId="0" applyNumberFormat="1" applyFont="1" applyBorder="1"/>
    <xf numFmtId="10" fontId="29" fillId="0" borderId="1" xfId="0" applyNumberFormat="1" applyFont="1" applyBorder="1"/>
    <xf numFmtId="170" fontId="26" fillId="4" borderId="1" xfId="2" applyNumberFormat="1" applyFont="1" applyFill="1" applyBorder="1"/>
    <xf numFmtId="170" fontId="28" fillId="5" borderId="1" xfId="2" applyNumberFormat="1" applyFont="1" applyFill="1" applyBorder="1"/>
    <xf numFmtId="10" fontId="27" fillId="4" borderId="1" xfId="0" applyNumberFormat="1" applyFont="1" applyFill="1" applyBorder="1"/>
    <xf numFmtId="165" fontId="28" fillId="0" borderId="1" xfId="2" applyFont="1" applyFill="1" applyBorder="1"/>
    <xf numFmtId="10" fontId="27" fillId="4" borderId="1" xfId="1" applyNumberFormat="1" applyFont="1" applyFill="1" applyBorder="1"/>
    <xf numFmtId="10" fontId="24" fillId="4" borderId="1" xfId="0" applyNumberFormat="1" applyFont="1" applyFill="1" applyBorder="1"/>
    <xf numFmtId="0" fontId="32" fillId="0" borderId="0" xfId="0" applyFont="1"/>
    <xf numFmtId="0" fontId="28" fillId="0" borderId="1" xfId="0" applyFont="1" applyBorder="1"/>
    <xf numFmtId="170" fontId="24" fillId="0" borderId="1" xfId="2" applyNumberFormat="1" applyFont="1" applyFill="1" applyBorder="1"/>
    <xf numFmtId="170" fontId="27" fillId="4" borderId="1" xfId="2" applyNumberFormat="1" applyFont="1" applyFill="1" applyBorder="1"/>
    <xf numFmtId="170" fontId="27" fillId="0" borderId="0" xfId="2" applyNumberFormat="1" applyFont="1" applyFill="1" applyBorder="1"/>
    <xf numFmtId="170" fontId="24" fillId="0" borderId="0" xfId="2" applyNumberFormat="1" applyFont="1" applyFill="1" applyBorder="1"/>
    <xf numFmtId="170" fontId="27" fillId="4" borderId="2" xfId="2" applyNumberFormat="1" applyFont="1" applyFill="1" applyBorder="1"/>
    <xf numFmtId="170" fontId="24" fillId="4" borderId="1" xfId="2" applyNumberFormat="1" applyFont="1" applyFill="1" applyBorder="1"/>
    <xf numFmtId="170" fontId="27" fillId="4" borderId="9" xfId="2" applyNumberFormat="1" applyFont="1" applyFill="1" applyBorder="1"/>
    <xf numFmtId="168" fontId="26" fillId="0" borderId="0" xfId="2" applyNumberFormat="1" applyFont="1" applyFill="1" applyBorder="1"/>
    <xf numFmtId="172" fontId="24" fillId="4" borderId="1" xfId="2" applyNumberFormat="1" applyFont="1" applyFill="1" applyBorder="1"/>
    <xf numFmtId="167" fontId="24" fillId="4" borderId="1" xfId="0" applyNumberFormat="1" applyFont="1" applyFill="1" applyBorder="1"/>
    <xf numFmtId="0" fontId="28" fillId="0" borderId="9" xfId="0" applyFont="1" applyBorder="1"/>
    <xf numFmtId="0" fontId="28" fillId="0" borderId="0" xfId="0" applyFont="1"/>
    <xf numFmtId="10" fontId="24" fillId="4" borderId="1" xfId="1" applyNumberFormat="1" applyFont="1" applyFill="1" applyBorder="1"/>
    <xf numFmtId="167" fontId="24" fillId="4" borderId="1" xfId="1" applyNumberFormat="1" applyFont="1" applyFill="1" applyBorder="1"/>
    <xf numFmtId="169" fontId="24" fillId="4" borderId="1" xfId="2" applyNumberFormat="1" applyFont="1" applyFill="1" applyBorder="1"/>
    <xf numFmtId="10" fontId="28" fillId="4" borderId="1" xfId="1" applyNumberFormat="1" applyFont="1" applyFill="1" applyBorder="1"/>
    <xf numFmtId="167" fontId="28" fillId="4" borderId="1" xfId="1" applyNumberFormat="1" applyFont="1" applyFill="1" applyBorder="1"/>
    <xf numFmtId="0" fontId="25" fillId="0" borderId="0" xfId="0" applyFont="1" applyAlignment="1">
      <alignment wrapText="1"/>
    </xf>
    <xf numFmtId="0" fontId="27" fillId="3" borderId="47" xfId="0" applyFont="1" applyFill="1" applyBorder="1" applyAlignment="1">
      <alignment horizontal="center"/>
    </xf>
    <xf numFmtId="0" fontId="27" fillId="3" borderId="48" xfId="0" applyFont="1" applyFill="1" applyBorder="1" applyAlignment="1">
      <alignment horizontal="center"/>
    </xf>
    <xf numFmtId="0" fontId="28" fillId="0" borderId="2" xfId="0" applyFont="1" applyBorder="1"/>
    <xf numFmtId="170" fontId="27" fillId="4" borderId="39" xfId="2" applyNumberFormat="1" applyFont="1" applyFill="1" applyBorder="1"/>
    <xf numFmtId="170" fontId="27" fillId="4" borderId="43" xfId="2" applyNumberFormat="1" applyFont="1" applyFill="1" applyBorder="1"/>
    <xf numFmtId="0" fontId="28" fillId="0" borderId="39" xfId="0" applyFont="1" applyBorder="1"/>
    <xf numFmtId="170" fontId="27" fillId="4" borderId="38" xfId="2" applyNumberFormat="1" applyFont="1" applyFill="1" applyBorder="1"/>
    <xf numFmtId="170" fontId="24" fillId="4" borderId="39" xfId="2" applyNumberFormat="1" applyFont="1" applyFill="1" applyBorder="1"/>
    <xf numFmtId="169" fontId="24" fillId="0" borderId="2" xfId="2" applyNumberFormat="1" applyFont="1" applyFill="1" applyBorder="1"/>
    <xf numFmtId="169" fontId="24" fillId="0" borderId="38" xfId="2" applyNumberFormat="1" applyFont="1" applyFill="1" applyBorder="1"/>
    <xf numFmtId="0" fontId="27" fillId="12" borderId="0" xfId="0" applyFont="1" applyFill="1"/>
    <xf numFmtId="10" fontId="24" fillId="12" borderId="0" xfId="1" applyNumberFormat="1" applyFont="1" applyFill="1"/>
    <xf numFmtId="0" fontId="24" fillId="12" borderId="0" xfId="0" applyFont="1" applyFill="1"/>
    <xf numFmtId="177" fontId="24" fillId="12" borderId="0" xfId="0" applyNumberFormat="1" applyFont="1" applyFill="1"/>
    <xf numFmtId="179" fontId="24" fillId="0" borderId="0" xfId="0" applyNumberFormat="1" applyFont="1"/>
    <xf numFmtId="0" fontId="28" fillId="0" borderId="38" xfId="0" applyFont="1" applyBorder="1"/>
    <xf numFmtId="0" fontId="28" fillId="0" borderId="43" xfId="0" applyFont="1" applyBorder="1"/>
    <xf numFmtId="2" fontId="24" fillId="0" borderId="0" xfId="0" applyNumberFormat="1" applyFont="1"/>
    <xf numFmtId="0" fontId="27" fillId="3" borderId="1" xfId="0" applyFont="1" applyFill="1" applyBorder="1" applyAlignment="1">
      <alignment horizontal="right"/>
    </xf>
    <xf numFmtId="0" fontId="27" fillId="3" borderId="1" xfId="0" applyFont="1" applyFill="1" applyBorder="1" applyAlignment="1">
      <alignment horizontal="center"/>
    </xf>
    <xf numFmtId="0" fontId="26" fillId="3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left" indent="1"/>
    </xf>
    <xf numFmtId="170" fontId="27" fillId="0" borderId="1" xfId="2" applyNumberFormat="1" applyFont="1" applyFill="1" applyBorder="1"/>
    <xf numFmtId="167" fontId="24" fillId="0" borderId="1" xfId="0" applyNumberFormat="1" applyFont="1" applyBorder="1"/>
    <xf numFmtId="10" fontId="24" fillId="4" borderId="1" xfId="0" applyNumberFormat="1" applyFont="1" applyFill="1" applyBorder="1" applyAlignment="1">
      <alignment horizontal="right"/>
    </xf>
    <xf numFmtId="4" fontId="24" fillId="4" borderId="1" xfId="2" applyNumberFormat="1" applyFont="1" applyFill="1" applyBorder="1"/>
    <xf numFmtId="169" fontId="24" fillId="4" borderId="1" xfId="2" applyNumberFormat="1" applyFont="1" applyFill="1" applyBorder="1" applyAlignment="1">
      <alignment horizontal="right"/>
    </xf>
    <xf numFmtId="10" fontId="28" fillId="4" borderId="1" xfId="1" applyNumberFormat="1" applyFont="1" applyFill="1" applyBorder="1" applyAlignment="1">
      <alignment horizontal="right"/>
    </xf>
    <xf numFmtId="167" fontId="30" fillId="4" borderId="1" xfId="0" applyNumberFormat="1" applyFont="1" applyFill="1" applyBorder="1"/>
    <xf numFmtId="167" fontId="30" fillId="0" borderId="1" xfId="0" applyNumberFormat="1" applyFont="1" applyBorder="1"/>
    <xf numFmtId="167" fontId="29" fillId="0" borderId="1" xfId="0" applyNumberFormat="1" applyFont="1" applyBorder="1"/>
    <xf numFmtId="0" fontId="32" fillId="0" borderId="1" xfId="0" applyFont="1" applyBorder="1"/>
    <xf numFmtId="167" fontId="32" fillId="0" borderId="1" xfId="0" applyNumberFormat="1" applyFont="1" applyBorder="1"/>
    <xf numFmtId="10" fontId="29" fillId="4" borderId="1" xfId="0" applyNumberFormat="1" applyFont="1" applyFill="1" applyBorder="1" applyAlignment="1">
      <alignment horizontal="right"/>
    </xf>
    <xf numFmtId="4" fontId="24" fillId="0" borderId="0" xfId="0" applyNumberFormat="1" applyFont="1"/>
    <xf numFmtId="180" fontId="24" fillId="0" borderId="0" xfId="0" applyNumberFormat="1" applyFont="1"/>
    <xf numFmtId="170" fontId="26" fillId="4" borderId="1" xfId="2" applyNumberFormat="1" applyFont="1" applyFill="1" applyBorder="1" applyAlignment="1">
      <alignment horizontal="right"/>
    </xf>
    <xf numFmtId="170" fontId="28" fillId="0" borderId="1" xfId="2" applyNumberFormat="1" applyFont="1" applyFill="1" applyBorder="1" applyAlignment="1">
      <alignment horizontal="right"/>
    </xf>
    <xf numFmtId="10" fontId="27" fillId="4" borderId="1" xfId="0" applyNumberFormat="1" applyFont="1" applyFill="1" applyBorder="1" applyAlignment="1">
      <alignment horizontal="right"/>
    </xf>
    <xf numFmtId="170" fontId="28" fillId="7" borderId="1" xfId="2" applyNumberFormat="1" applyFont="1" applyFill="1" applyBorder="1" applyAlignment="1">
      <alignment horizontal="right"/>
    </xf>
    <xf numFmtId="10" fontId="27" fillId="4" borderId="1" xfId="1" applyNumberFormat="1" applyFont="1" applyFill="1" applyBorder="1" applyAlignment="1">
      <alignment horizontal="right"/>
    </xf>
    <xf numFmtId="10" fontId="31" fillId="4" borderId="1" xfId="0" applyNumberFormat="1" applyFont="1" applyFill="1" applyBorder="1" applyAlignment="1">
      <alignment horizontal="right"/>
    </xf>
    <xf numFmtId="165" fontId="26" fillId="7" borderId="1" xfId="3" applyNumberFormat="1" applyFont="1" applyFill="1" applyBorder="1" applyAlignment="1">
      <alignment horizontal="right"/>
    </xf>
    <xf numFmtId="170" fontId="27" fillId="7" borderId="1" xfId="2" applyNumberFormat="1" applyFont="1" applyFill="1" applyBorder="1" applyAlignment="1">
      <alignment horizontal="right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/>
    </xf>
    <xf numFmtId="0" fontId="28" fillId="0" borderId="7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7" fillId="3" borderId="50" xfId="0" applyFont="1" applyFill="1" applyBorder="1" applyAlignment="1">
      <alignment horizontal="center"/>
    </xf>
    <xf numFmtId="0" fontId="27" fillId="3" borderId="48" xfId="0" applyFont="1" applyFill="1" applyBorder="1" applyAlignment="1">
      <alignment horizontal="center"/>
    </xf>
    <xf numFmtId="0" fontId="27" fillId="3" borderId="49" xfId="0" applyFont="1" applyFill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37" xfId="0" applyFont="1" applyBorder="1" applyAlignment="1">
      <alignment horizontal="center"/>
    </xf>
    <xf numFmtId="0" fontId="23" fillId="2" borderId="27" xfId="0" applyFont="1" applyFill="1" applyBorder="1" applyAlignment="1">
      <alignment horizontal="center" vertical="center"/>
    </xf>
    <xf numFmtId="0" fontId="23" fillId="2" borderId="28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5" fillId="3" borderId="1" xfId="0" applyFont="1" applyFill="1" applyBorder="1" applyAlignment="1">
      <alignment horizontal="center" wrapText="1"/>
    </xf>
    <xf numFmtId="0" fontId="25" fillId="3" borderId="1" xfId="0" applyFont="1" applyFill="1" applyBorder="1" applyAlignment="1">
      <alignment horizontal="center"/>
    </xf>
    <xf numFmtId="0" fontId="27" fillId="3" borderId="1" xfId="0" applyFont="1" applyFill="1" applyBorder="1" applyAlignment="1">
      <alignment horizontal="center"/>
    </xf>
    <xf numFmtId="0" fontId="25" fillId="3" borderId="23" xfId="0" applyFont="1" applyFill="1" applyBorder="1" applyAlignment="1">
      <alignment horizontal="center"/>
    </xf>
    <xf numFmtId="0" fontId="25" fillId="3" borderId="24" xfId="0" applyFont="1" applyFill="1" applyBorder="1" applyAlignment="1">
      <alignment horizontal="center"/>
    </xf>
    <xf numFmtId="0" fontId="15" fillId="0" borderId="0" xfId="0" applyFont="1" applyAlignment="1">
      <alignment horizontal="center" vertical="top"/>
    </xf>
    <xf numFmtId="0" fontId="19" fillId="9" borderId="15" xfId="0" applyFont="1" applyFill="1" applyBorder="1" applyAlignment="1">
      <alignment horizontal="center" vertical="top"/>
    </xf>
    <xf numFmtId="0" fontId="19" fillId="9" borderId="14" xfId="0" applyFont="1" applyFill="1" applyBorder="1" applyAlignment="1">
      <alignment horizontal="center" vertical="top"/>
    </xf>
    <xf numFmtId="0" fontId="19" fillId="9" borderId="13" xfId="0" applyFont="1" applyFill="1" applyBorder="1" applyAlignment="1">
      <alignment horizontal="center" vertical="top"/>
    </xf>
    <xf numFmtId="0" fontId="18" fillId="8" borderId="12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39" fontId="28" fillId="7" borderId="1" xfId="3" applyNumberFormat="1" applyFont="1" applyFill="1" applyBorder="1"/>
    <xf numFmtId="39" fontId="26" fillId="4" borderId="1" xfId="2" applyNumberFormat="1" applyFont="1" applyFill="1" applyBorder="1"/>
    <xf numFmtId="39" fontId="28" fillId="0" borderId="1" xfId="2" applyNumberFormat="1" applyFont="1" applyFill="1" applyBorder="1"/>
    <xf numFmtId="39" fontId="24" fillId="7" borderId="1" xfId="3" applyNumberFormat="1" applyFont="1" applyFill="1" applyBorder="1"/>
    <xf numFmtId="39" fontId="28" fillId="5" borderId="1" xfId="2" applyNumberFormat="1" applyFont="1" applyFill="1" applyBorder="1"/>
    <xf numFmtId="39" fontId="28" fillId="7" borderId="1" xfId="2" applyNumberFormat="1" applyFont="1" applyFill="1" applyBorder="1"/>
    <xf numFmtId="37" fontId="24" fillId="0" borderId="37" xfId="2" applyNumberFormat="1" applyFont="1" applyFill="1" applyBorder="1" applyAlignment="1">
      <alignment horizontal="right"/>
    </xf>
    <xf numFmtId="37" fontId="24" fillId="0" borderId="46" xfId="2" applyNumberFormat="1" applyFont="1" applyFill="1" applyBorder="1" applyAlignment="1">
      <alignment horizontal="right"/>
    </xf>
    <xf numFmtId="37" fontId="24" fillId="0" borderId="52" xfId="2" applyNumberFormat="1" applyFont="1" applyFill="1" applyBorder="1" applyAlignment="1">
      <alignment horizontal="right"/>
    </xf>
    <xf numFmtId="37" fontId="24" fillId="0" borderId="15" xfId="2" applyNumberFormat="1" applyFont="1" applyFill="1" applyBorder="1" applyAlignment="1">
      <alignment horizontal="right"/>
    </xf>
    <xf numFmtId="170" fontId="28" fillId="7" borderId="1" xfId="3" applyNumberFormat="1" applyFont="1" applyFill="1" applyBorder="1" applyAlignment="1">
      <alignment horizontal="right"/>
    </xf>
    <xf numFmtId="170" fontId="26" fillId="7" borderId="1" xfId="0" applyNumberFormat="1" applyFont="1" applyFill="1" applyBorder="1" applyAlignment="1">
      <alignment horizontal="right"/>
    </xf>
    <xf numFmtId="170" fontId="27" fillId="0" borderId="1" xfId="0" applyNumberFormat="1" applyFont="1" applyBorder="1" applyAlignment="1">
      <alignment horizontal="right" vertical="top"/>
    </xf>
    <xf numFmtId="0" fontId="27" fillId="3" borderId="1" xfId="0" applyFont="1" applyFill="1" applyBorder="1" applyAlignment="1">
      <alignment horizontal="left"/>
    </xf>
    <xf numFmtId="0" fontId="27" fillId="0" borderId="1" xfId="0" applyFont="1" applyBorder="1" applyAlignment="1">
      <alignment horizontal="left"/>
    </xf>
    <xf numFmtId="10" fontId="29" fillId="4" borderId="1" xfId="0" applyNumberFormat="1" applyFont="1" applyFill="1" applyBorder="1" applyAlignment="1">
      <alignment horizontal="left"/>
    </xf>
    <xf numFmtId="0" fontId="29" fillId="0" borderId="1" xfId="0" applyFont="1" applyBorder="1" applyAlignment="1">
      <alignment horizontal="left"/>
    </xf>
    <xf numFmtId="0" fontId="24" fillId="0" borderId="1" xfId="0" applyFont="1" applyBorder="1" applyAlignment="1">
      <alignment horizontal="left"/>
    </xf>
    <xf numFmtId="170" fontId="26" fillId="4" borderId="1" xfId="2" applyNumberFormat="1" applyFont="1" applyFill="1" applyBorder="1" applyAlignment="1">
      <alignment horizontal="left"/>
    </xf>
    <xf numFmtId="10" fontId="27" fillId="4" borderId="1" xfId="0" applyNumberFormat="1" applyFont="1" applyFill="1" applyBorder="1" applyAlignment="1">
      <alignment horizontal="left"/>
    </xf>
    <xf numFmtId="10" fontId="24" fillId="4" borderId="1" xfId="0" applyNumberFormat="1" applyFont="1" applyFill="1" applyBorder="1" applyAlignment="1">
      <alignment horizontal="left"/>
    </xf>
    <xf numFmtId="170" fontId="27" fillId="4" borderId="1" xfId="2" applyNumberFormat="1" applyFont="1" applyFill="1" applyBorder="1" applyAlignment="1">
      <alignment horizontal="left"/>
    </xf>
    <xf numFmtId="0" fontId="24" fillId="0" borderId="0" xfId="0" applyFont="1" applyAlignment="1">
      <alignment horizontal="left"/>
    </xf>
    <xf numFmtId="0" fontId="27" fillId="3" borderId="35" xfId="0" applyFont="1" applyFill="1" applyBorder="1" applyAlignment="1">
      <alignment horizontal="left"/>
    </xf>
    <xf numFmtId="0" fontId="27" fillId="0" borderId="45" xfId="0" applyFont="1" applyBorder="1" applyAlignment="1">
      <alignment horizontal="left"/>
    </xf>
    <xf numFmtId="0" fontId="24" fillId="0" borderId="41" xfId="0" applyFont="1" applyBorder="1" applyAlignment="1">
      <alignment horizontal="left"/>
    </xf>
    <xf numFmtId="0" fontId="27" fillId="0" borderId="42" xfId="0" applyFont="1" applyBorder="1" applyAlignment="1">
      <alignment horizontal="left"/>
    </xf>
    <xf numFmtId="0" fontId="24" fillId="0" borderId="45" xfId="0" applyFont="1" applyBorder="1" applyAlignment="1">
      <alignment horizontal="left"/>
    </xf>
    <xf numFmtId="0" fontId="24" fillId="0" borderId="42" xfId="0" applyFont="1" applyBorder="1" applyAlignment="1">
      <alignment horizontal="left"/>
    </xf>
    <xf numFmtId="0" fontId="28" fillId="0" borderId="40" xfId="0" applyFont="1" applyBorder="1" applyAlignment="1">
      <alignment horizontal="left"/>
    </xf>
    <xf numFmtId="0" fontId="28" fillId="0" borderId="41" xfId="0" applyFont="1" applyBorder="1" applyAlignment="1">
      <alignment horizontal="left"/>
    </xf>
    <xf numFmtId="0" fontId="28" fillId="0" borderId="42" xfId="0" applyFont="1" applyBorder="1" applyAlignment="1">
      <alignment horizontal="left"/>
    </xf>
    <xf numFmtId="0" fontId="28" fillId="0" borderId="0" xfId="0" applyFont="1" applyAlignment="1">
      <alignment horizontal="left"/>
    </xf>
    <xf numFmtId="10" fontId="29" fillId="0" borderId="1" xfId="0" applyNumberFormat="1" applyFont="1" applyBorder="1" applyAlignment="1">
      <alignment horizontal="right"/>
    </xf>
    <xf numFmtId="170" fontId="26" fillId="7" borderId="1" xfId="3" applyNumberFormat="1" applyFont="1" applyFill="1" applyBorder="1" applyAlignment="1">
      <alignment horizontal="right"/>
    </xf>
    <xf numFmtId="167" fontId="24" fillId="0" borderId="1" xfId="0" applyNumberFormat="1" applyFont="1" applyBorder="1" applyAlignment="1">
      <alignment horizontal="right"/>
    </xf>
    <xf numFmtId="0" fontId="24" fillId="0" borderId="1" xfId="0" applyFont="1" applyBorder="1" applyAlignment="1">
      <alignment horizontal="right"/>
    </xf>
    <xf numFmtId="170" fontId="27" fillId="0" borderId="1" xfId="2" applyNumberFormat="1" applyFont="1" applyFill="1" applyBorder="1" applyAlignment="1">
      <alignment horizontal="right"/>
    </xf>
    <xf numFmtId="170" fontId="24" fillId="0" borderId="1" xfId="2" applyNumberFormat="1" applyFont="1" applyFill="1" applyBorder="1" applyAlignment="1">
      <alignment horizontal="right"/>
    </xf>
    <xf numFmtId="170" fontId="27" fillId="4" borderId="1" xfId="2" applyNumberFormat="1" applyFont="1" applyFill="1" applyBorder="1" applyAlignment="1">
      <alignment horizontal="right"/>
    </xf>
    <xf numFmtId="0" fontId="24" fillId="0" borderId="0" xfId="0" applyFont="1" applyAlignment="1">
      <alignment horizontal="right"/>
    </xf>
    <xf numFmtId="170" fontId="27" fillId="0" borderId="0" xfId="2" applyNumberFormat="1" applyFont="1" applyFill="1" applyBorder="1" applyAlignment="1">
      <alignment horizontal="right"/>
    </xf>
    <xf numFmtId="170" fontId="24" fillId="0" borderId="0" xfId="2" applyNumberFormat="1" applyFont="1" applyFill="1" applyBorder="1" applyAlignment="1">
      <alignment horizontal="right"/>
    </xf>
    <xf numFmtId="0" fontId="27" fillId="3" borderId="49" xfId="0" applyFont="1" applyFill="1" applyBorder="1" applyAlignment="1">
      <alignment horizontal="right"/>
    </xf>
    <xf numFmtId="170" fontId="27" fillId="4" borderId="37" xfId="2" applyNumberFormat="1" applyFont="1" applyFill="1" applyBorder="1" applyAlignment="1">
      <alignment horizontal="right"/>
    </xf>
    <xf numFmtId="170" fontId="24" fillId="4" borderId="7" xfId="2" applyNumberFormat="1" applyFont="1" applyFill="1" applyBorder="1" applyAlignment="1">
      <alignment horizontal="right"/>
    </xf>
    <xf numFmtId="170" fontId="27" fillId="4" borderId="10" xfId="2" applyNumberFormat="1" applyFont="1" applyFill="1" applyBorder="1" applyAlignment="1">
      <alignment horizontal="right"/>
    </xf>
    <xf numFmtId="0" fontId="26" fillId="3" borderId="49" xfId="0" applyFont="1" applyFill="1" applyBorder="1" applyAlignment="1">
      <alignment horizontal="right"/>
    </xf>
    <xf numFmtId="39" fontId="27" fillId="4" borderId="7" xfId="2" applyNumberFormat="1" applyFont="1" applyFill="1" applyBorder="1" applyAlignment="1">
      <alignment horizontal="right"/>
    </xf>
    <xf numFmtId="39" fontId="24" fillId="4" borderId="7" xfId="2" applyNumberFormat="1" applyFont="1" applyFill="1" applyBorder="1" applyAlignment="1">
      <alignment horizontal="right"/>
    </xf>
    <xf numFmtId="39" fontId="27" fillId="4" borderId="10" xfId="2" applyNumberFormat="1" applyFont="1" applyFill="1" applyBorder="1" applyAlignment="1">
      <alignment horizontal="right"/>
    </xf>
    <xf numFmtId="0" fontId="28" fillId="0" borderId="0" xfId="0" applyFont="1" applyAlignment="1">
      <alignment horizontal="right"/>
    </xf>
    <xf numFmtId="0" fontId="26" fillId="3" borderId="1" xfId="0" applyFont="1" applyFill="1" applyBorder="1" applyAlignment="1">
      <alignment horizontal="right"/>
    </xf>
    <xf numFmtId="0" fontId="24" fillId="4" borderId="1" xfId="0" applyFont="1" applyFill="1" applyBorder="1" applyAlignment="1">
      <alignment horizontal="right"/>
    </xf>
    <xf numFmtId="170" fontId="28" fillId="0" borderId="1" xfId="3" applyNumberFormat="1" applyFont="1" applyBorder="1" applyAlignment="1">
      <alignment horizontal="right"/>
    </xf>
    <xf numFmtId="10" fontId="24" fillId="0" borderId="1" xfId="0" applyNumberFormat="1" applyFont="1" applyBorder="1" applyAlignment="1">
      <alignment horizontal="right"/>
    </xf>
    <xf numFmtId="0" fontId="32" fillId="0" borderId="1" xfId="0" applyFont="1" applyBorder="1" applyAlignment="1">
      <alignment horizontal="right"/>
    </xf>
    <xf numFmtId="0" fontId="32" fillId="0" borderId="0" xfId="0" applyFont="1" applyAlignment="1">
      <alignment horizontal="right"/>
    </xf>
    <xf numFmtId="0" fontId="26" fillId="3" borderId="36" xfId="0" applyFont="1" applyFill="1" applyBorder="1" applyAlignment="1">
      <alignment horizontal="right"/>
    </xf>
    <xf numFmtId="170" fontId="27" fillId="4" borderId="46" xfId="2" applyNumberFormat="1" applyFont="1" applyFill="1" applyBorder="1" applyAlignment="1">
      <alignment horizontal="right"/>
    </xf>
    <xf numFmtId="170" fontId="24" fillId="4" borderId="20" xfId="2" applyNumberFormat="1" applyFont="1" applyFill="1" applyBorder="1" applyAlignment="1">
      <alignment horizontal="right"/>
    </xf>
    <xf numFmtId="170" fontId="27" fillId="4" borderId="44" xfId="2" applyNumberFormat="1" applyFont="1" applyFill="1" applyBorder="1" applyAlignment="1">
      <alignment horizontal="right"/>
    </xf>
    <xf numFmtId="39" fontId="27" fillId="4" borderId="20" xfId="2" applyNumberFormat="1" applyFont="1" applyFill="1" applyBorder="1" applyAlignment="1">
      <alignment horizontal="right"/>
    </xf>
    <xf numFmtId="39" fontId="24" fillId="4" borderId="20" xfId="2" applyNumberFormat="1" applyFont="1" applyFill="1" applyBorder="1" applyAlignment="1">
      <alignment horizontal="right"/>
    </xf>
    <xf numFmtId="39" fontId="27" fillId="4" borderId="44" xfId="2" applyNumberFormat="1" applyFont="1" applyFill="1" applyBorder="1" applyAlignment="1">
      <alignment horizontal="right"/>
    </xf>
    <xf numFmtId="0" fontId="27" fillId="3" borderId="36" xfId="0" applyFont="1" applyFill="1" applyBorder="1" applyAlignment="1">
      <alignment horizontal="right"/>
    </xf>
    <xf numFmtId="170" fontId="28" fillId="7" borderId="1" xfId="0" applyNumberFormat="1" applyFont="1" applyFill="1" applyBorder="1" applyAlignment="1">
      <alignment horizontal="right"/>
    </xf>
    <xf numFmtId="0" fontId="32" fillId="7" borderId="0" xfId="0" applyFont="1" applyFill="1" applyAlignment="1">
      <alignment horizontal="right"/>
    </xf>
    <xf numFmtId="0" fontId="27" fillId="3" borderId="51" xfId="0" applyFont="1" applyFill="1" applyBorder="1" applyAlignment="1">
      <alignment horizontal="right"/>
    </xf>
    <xf numFmtId="170" fontId="27" fillId="4" borderId="52" xfId="2" applyNumberFormat="1" applyFont="1" applyFill="1" applyBorder="1" applyAlignment="1">
      <alignment horizontal="right"/>
    </xf>
    <xf numFmtId="170" fontId="24" fillId="4" borderId="53" xfId="2" applyNumberFormat="1" applyFont="1" applyFill="1" applyBorder="1" applyAlignment="1">
      <alignment horizontal="right"/>
    </xf>
    <xf numFmtId="170" fontId="27" fillId="4" borderId="54" xfId="2" applyNumberFormat="1" applyFont="1" applyFill="1" applyBorder="1" applyAlignment="1">
      <alignment horizontal="right"/>
    </xf>
    <xf numFmtId="0" fontId="26" fillId="3" borderId="51" xfId="0" applyFont="1" applyFill="1" applyBorder="1" applyAlignment="1">
      <alignment horizontal="right"/>
    </xf>
    <xf numFmtId="39" fontId="27" fillId="4" borderId="53" xfId="2" applyNumberFormat="1" applyFont="1" applyFill="1" applyBorder="1" applyAlignment="1">
      <alignment horizontal="right"/>
    </xf>
    <xf numFmtId="39" fontId="24" fillId="4" borderId="16" xfId="2" applyNumberFormat="1" applyFont="1" applyFill="1" applyBorder="1" applyAlignment="1">
      <alignment horizontal="right"/>
    </xf>
    <xf numFmtId="39" fontId="24" fillId="4" borderId="53" xfId="2" applyNumberFormat="1" applyFont="1" applyFill="1" applyBorder="1" applyAlignment="1">
      <alignment horizontal="right"/>
    </xf>
    <xf numFmtId="39" fontId="27" fillId="4" borderId="54" xfId="2" applyNumberFormat="1" applyFont="1" applyFill="1" applyBorder="1" applyAlignment="1">
      <alignment horizontal="right"/>
    </xf>
    <xf numFmtId="0" fontId="25" fillId="3" borderId="1" xfId="0" applyFont="1" applyFill="1" applyBorder="1" applyAlignment="1">
      <alignment horizontal="right"/>
    </xf>
    <xf numFmtId="0" fontId="27" fillId="3" borderId="35" xfId="0" applyFont="1" applyFill="1" applyBorder="1" applyAlignment="1">
      <alignment horizontal="right"/>
    </xf>
    <xf numFmtId="170" fontId="27" fillId="4" borderId="45" xfId="2" applyNumberFormat="1" applyFont="1" applyFill="1" applyBorder="1" applyAlignment="1">
      <alignment horizontal="right"/>
    </xf>
    <xf numFmtId="170" fontId="24" fillId="4" borderId="41" xfId="2" applyNumberFormat="1" applyFont="1" applyFill="1" applyBorder="1" applyAlignment="1">
      <alignment horizontal="right"/>
    </xf>
    <xf numFmtId="170" fontId="27" fillId="4" borderId="42" xfId="2" applyNumberFormat="1" applyFont="1" applyFill="1" applyBorder="1" applyAlignment="1">
      <alignment horizontal="right"/>
    </xf>
    <xf numFmtId="0" fontId="26" fillId="3" borderId="55" xfId="0" applyFont="1" applyFill="1" applyBorder="1" applyAlignment="1">
      <alignment horizontal="right"/>
    </xf>
    <xf numFmtId="39" fontId="27" fillId="4" borderId="33" xfId="2" applyNumberFormat="1" applyFont="1" applyFill="1" applyBorder="1" applyAlignment="1">
      <alignment horizontal="right"/>
    </xf>
    <xf numFmtId="39" fontId="24" fillId="4" borderId="33" xfId="2" applyNumberFormat="1" applyFont="1" applyFill="1" applyBorder="1" applyAlignment="1">
      <alignment horizontal="right"/>
    </xf>
    <xf numFmtId="39" fontId="27" fillId="4" borderId="56" xfId="2" applyNumberFormat="1" applyFont="1" applyFill="1" applyBorder="1" applyAlignment="1">
      <alignment horizontal="right"/>
    </xf>
    <xf numFmtId="0" fontId="32" fillId="0" borderId="24" xfId="0" applyFont="1" applyBorder="1" applyAlignment="1">
      <alignment horizontal="right"/>
    </xf>
    <xf numFmtId="39" fontId="27" fillId="4" borderId="41" xfId="2" applyNumberFormat="1" applyFont="1" applyFill="1" applyBorder="1" applyAlignment="1">
      <alignment horizontal="right"/>
    </xf>
    <xf numFmtId="39" fontId="24" fillId="4" borderId="41" xfId="2" applyNumberFormat="1" applyFont="1" applyFill="1" applyBorder="1" applyAlignment="1">
      <alignment horizontal="right"/>
    </xf>
    <xf numFmtId="39" fontId="27" fillId="4" borderId="42" xfId="2" applyNumberFormat="1" applyFont="1" applyFill="1" applyBorder="1" applyAlignment="1">
      <alignment horizontal="right"/>
    </xf>
    <xf numFmtId="0" fontId="24" fillId="5" borderId="1" xfId="0" applyFont="1" applyFill="1" applyBorder="1" applyAlignment="1">
      <alignment horizontal="left"/>
    </xf>
    <xf numFmtId="0" fontId="27" fillId="0" borderId="0" xfId="0" applyFont="1" applyAlignment="1">
      <alignment horizontal="left"/>
    </xf>
    <xf numFmtId="166" fontId="27" fillId="0" borderId="1" xfId="0" applyNumberFormat="1" applyFont="1" applyBorder="1" applyAlignment="1">
      <alignment horizontal="left"/>
    </xf>
    <xf numFmtId="166" fontId="24" fillId="0" borderId="1" xfId="0" applyNumberFormat="1" applyFont="1" applyBorder="1" applyAlignment="1">
      <alignment horizontal="left"/>
    </xf>
    <xf numFmtId="167" fontId="24" fillId="0" borderId="1" xfId="0" applyNumberFormat="1" applyFont="1" applyBorder="1" applyAlignment="1">
      <alignment horizontal="left"/>
    </xf>
    <xf numFmtId="0" fontId="28" fillId="0" borderId="1" xfId="0" applyFont="1" applyBorder="1" applyAlignment="1">
      <alignment horizontal="left"/>
    </xf>
    <xf numFmtId="39" fontId="28" fillId="7" borderId="1" xfId="3" applyNumberFormat="1" applyFont="1" applyFill="1" applyBorder="1" applyAlignment="1">
      <alignment horizontal="right"/>
    </xf>
    <xf numFmtId="39" fontId="26" fillId="4" borderId="1" xfId="2" applyNumberFormat="1" applyFont="1" applyFill="1" applyBorder="1" applyAlignment="1">
      <alignment horizontal="right"/>
    </xf>
    <xf numFmtId="39" fontId="28" fillId="0" borderId="1" xfId="2" applyNumberFormat="1" applyFont="1" applyFill="1" applyBorder="1" applyAlignment="1">
      <alignment horizontal="right"/>
    </xf>
    <xf numFmtId="39" fontId="24" fillId="7" borderId="1" xfId="3" applyNumberFormat="1" applyFont="1" applyFill="1" applyBorder="1" applyAlignment="1">
      <alignment horizontal="right"/>
    </xf>
    <xf numFmtId="39" fontId="28" fillId="5" borderId="1" xfId="2" applyNumberFormat="1" applyFont="1" applyFill="1" applyBorder="1" applyAlignment="1">
      <alignment horizontal="right"/>
    </xf>
    <xf numFmtId="39" fontId="28" fillId="7" borderId="1" xfId="2" applyNumberFormat="1" applyFont="1" applyFill="1" applyBorder="1" applyAlignment="1">
      <alignment horizontal="right"/>
    </xf>
    <xf numFmtId="39" fontId="28" fillId="7" borderId="1" xfId="3" applyNumberFormat="1" applyFont="1" applyFill="1" applyBorder="1" applyAlignment="1">
      <alignment horizontal="right" vertical="center"/>
    </xf>
    <xf numFmtId="168" fontId="26" fillId="0" borderId="0" xfId="2" applyNumberFormat="1" applyFont="1" applyFill="1" applyBorder="1" applyAlignment="1">
      <alignment horizontal="right"/>
    </xf>
    <xf numFmtId="170" fontId="24" fillId="4" borderId="1" xfId="2" applyNumberFormat="1" applyFont="1" applyFill="1" applyBorder="1" applyAlignment="1">
      <alignment horizontal="right"/>
    </xf>
    <xf numFmtId="172" fontId="24" fillId="4" borderId="1" xfId="2" applyNumberFormat="1" applyFont="1" applyFill="1" applyBorder="1" applyAlignment="1">
      <alignment horizontal="right"/>
    </xf>
    <xf numFmtId="4" fontId="24" fillId="4" borderId="1" xfId="2" applyNumberFormat="1" applyFont="1" applyFill="1" applyBorder="1" applyAlignment="1">
      <alignment horizontal="right"/>
    </xf>
    <xf numFmtId="167" fontId="28" fillId="4" borderId="1" xfId="1" applyNumberFormat="1" applyFont="1" applyFill="1" applyBorder="1" applyAlignment="1">
      <alignment horizontal="right"/>
    </xf>
    <xf numFmtId="166" fontId="26" fillId="3" borderId="1" xfId="0" applyNumberFormat="1" applyFont="1" applyFill="1" applyBorder="1" applyAlignment="1">
      <alignment horizontal="right"/>
    </xf>
    <xf numFmtId="166" fontId="28" fillId="0" borderId="0" xfId="0" applyNumberFormat="1" applyFont="1" applyAlignment="1">
      <alignment horizontal="right"/>
    </xf>
    <xf numFmtId="39" fontId="24" fillId="0" borderId="1" xfId="0" applyNumberFormat="1" applyFont="1" applyBorder="1" applyAlignment="1">
      <alignment horizontal="right"/>
    </xf>
    <xf numFmtId="0" fontId="27" fillId="3" borderId="1" xfId="0" applyFont="1" applyFill="1" applyBorder="1" applyAlignment="1">
      <alignment horizontal="right" wrapText="1"/>
    </xf>
    <xf numFmtId="39" fontId="24" fillId="7" borderId="1" xfId="0" applyNumberFormat="1" applyFont="1" applyFill="1" applyBorder="1" applyAlignment="1">
      <alignment horizontal="right"/>
    </xf>
    <xf numFmtId="0" fontId="23" fillId="2" borderId="0" xfId="0" applyFont="1" applyFill="1" applyAlignment="1">
      <alignment horizontal="right" vertical="center"/>
    </xf>
    <xf numFmtId="0" fontId="25" fillId="3" borderId="1" xfId="0" applyFont="1" applyFill="1" applyBorder="1" applyAlignment="1">
      <alignment horizontal="right" wrapText="1"/>
    </xf>
    <xf numFmtId="0" fontId="27" fillId="3" borderId="1" xfId="0" applyFont="1" applyFill="1" applyBorder="1" applyAlignment="1">
      <alignment horizontal="right" vertical="top" wrapText="1"/>
    </xf>
  </cellXfs>
  <cellStyles count="4">
    <cellStyle name="Comma" xfId="2" builtinId="3"/>
    <cellStyle name="Comma 2" xfId="3"/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2C8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insiya/Downloads/Aarvi%20Encon%20-%20Summary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Standalone"/>
      <sheetName val="Sheet3"/>
    </sheetNames>
    <sheetDataSet>
      <sheetData sheetId="0"/>
      <sheetData sheetId="1"/>
      <sheetData sheetId="2">
        <row r="63">
          <cell r="B63">
            <v>280.56</v>
          </cell>
          <cell r="C63">
            <v>204.68100000000004</v>
          </cell>
          <cell r="D63">
            <v>212.88299999999992</v>
          </cell>
          <cell r="E63">
            <v>29.073000000000036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6"/>
  <sheetViews>
    <sheetView view="pageBreakPreview" topLeftCell="F1" zoomScale="80" zoomScaleNormal="85" zoomScaleSheetLayoutView="80" workbookViewId="0">
      <pane ySplit="3" topLeftCell="A4" activePane="bottomLeft" state="frozen"/>
      <selection activeCell="H26" sqref="H26"/>
      <selection pane="bottomLeft" activeCell="J66" sqref="J66"/>
    </sheetView>
  </sheetViews>
  <sheetFormatPr defaultColWidth="9.140625" defaultRowHeight="15" customHeight="1"/>
  <cols>
    <col min="1" max="1" width="50.85546875" style="1" bestFit="1" customWidth="1"/>
    <col min="2" max="3" width="12.5703125" style="18" hidden="1" customWidth="1"/>
    <col min="4" max="4" width="10.85546875" style="18" hidden="1" customWidth="1"/>
    <col min="5" max="5" width="12.5703125" style="18" hidden="1" customWidth="1"/>
    <col min="6" max="6" width="12.5703125" style="1" customWidth="1"/>
    <col min="7" max="8" width="12.5703125" style="18" customWidth="1"/>
    <col min="9" max="9" width="15.5703125" style="18" bestFit="1" customWidth="1"/>
    <col min="10" max="10" width="15.5703125" style="18" customWidth="1"/>
    <col min="11" max="11" width="3.85546875" style="1" customWidth="1"/>
    <col min="12" max="12" width="41.5703125" style="1" bestFit="1" customWidth="1"/>
    <col min="13" max="16" width="12.5703125" style="18" hidden="1" customWidth="1"/>
    <col min="17" max="17" width="12.5703125" style="1" customWidth="1"/>
    <col min="18" max="18" width="12.5703125" style="27" customWidth="1"/>
    <col min="19" max="19" width="12.5703125" style="1" customWidth="1"/>
    <col min="20" max="20" width="15.5703125" style="1" customWidth="1"/>
    <col min="21" max="21" width="17.42578125" style="1" bestFit="1" customWidth="1"/>
    <col min="22" max="16384" width="9.140625" style="1"/>
  </cols>
  <sheetData>
    <row r="1" spans="1:21" ht="15" customHeight="1" thickBot="1">
      <c r="A1" s="352" t="s">
        <v>185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4"/>
    </row>
    <row r="2" spans="1:21" ht="15" customHeight="1">
      <c r="A2" s="349" t="s">
        <v>99</v>
      </c>
      <c r="B2" s="350"/>
      <c r="C2" s="350"/>
      <c r="D2" s="350"/>
      <c r="E2" s="350"/>
      <c r="F2" s="350"/>
      <c r="G2" s="350"/>
      <c r="H2" s="350"/>
      <c r="I2" s="351"/>
      <c r="J2" s="150"/>
      <c r="K2" s="19"/>
      <c r="L2" s="349" t="s">
        <v>100</v>
      </c>
      <c r="M2" s="350"/>
      <c r="N2" s="350"/>
      <c r="O2" s="350"/>
      <c r="P2" s="350"/>
      <c r="Q2" s="350"/>
      <c r="R2" s="350"/>
      <c r="S2" s="350"/>
      <c r="T2" s="351"/>
    </row>
    <row r="3" spans="1:21" ht="15" customHeight="1">
      <c r="A3" s="46" t="s">
        <v>0</v>
      </c>
      <c r="B3" s="52" t="s">
        <v>31</v>
      </c>
      <c r="C3" s="52" t="s">
        <v>32</v>
      </c>
      <c r="D3" s="52" t="s">
        <v>33</v>
      </c>
      <c r="E3" s="52" t="s">
        <v>34</v>
      </c>
      <c r="F3" s="52" t="s">
        <v>85</v>
      </c>
      <c r="G3" s="2" t="s">
        <v>90</v>
      </c>
      <c r="H3" s="151" t="s">
        <v>169</v>
      </c>
      <c r="I3" s="151" t="s">
        <v>171</v>
      </c>
      <c r="J3" s="2" t="s">
        <v>223</v>
      </c>
      <c r="K3" s="19"/>
      <c r="L3" s="46" t="s">
        <v>0</v>
      </c>
      <c r="M3" s="52" t="s">
        <v>31</v>
      </c>
      <c r="N3" s="52" t="s">
        <v>32</v>
      </c>
      <c r="O3" s="52" t="s">
        <v>33</v>
      </c>
      <c r="P3" s="52" t="s">
        <v>34</v>
      </c>
      <c r="Q3" s="52" t="s">
        <v>85</v>
      </c>
      <c r="R3" s="3" t="s">
        <v>90</v>
      </c>
      <c r="S3" s="2" t="s">
        <v>169</v>
      </c>
      <c r="T3" s="163" t="s">
        <v>223</v>
      </c>
    </row>
    <row r="4" spans="1:21" ht="15" customHeight="1">
      <c r="A4" s="32" t="s">
        <v>1</v>
      </c>
      <c r="B4" s="4"/>
      <c r="C4" s="5">
        <v>2965.5232860000001</v>
      </c>
      <c r="D4" s="5">
        <v>2985.2313610000001</v>
      </c>
      <c r="E4" s="5"/>
      <c r="F4" s="209">
        <v>1688.7639999999999</v>
      </c>
      <c r="G4" s="210">
        <v>1919.3510000000001</v>
      </c>
      <c r="H4" s="210">
        <v>1912.14</v>
      </c>
      <c r="I4" s="241">
        <v>425.262</v>
      </c>
      <c r="J4" s="210">
        <v>861.952</v>
      </c>
      <c r="K4" s="178"/>
      <c r="L4" s="33" t="s">
        <v>36</v>
      </c>
      <c r="M4" s="6"/>
      <c r="N4" s="6"/>
      <c r="O4" s="7">
        <v>317.43792999999999</v>
      </c>
      <c r="P4" s="7"/>
      <c r="Q4" s="213">
        <v>147.84</v>
      </c>
      <c r="R4" s="213">
        <v>147.84</v>
      </c>
      <c r="S4" s="212">
        <v>147.84</v>
      </c>
      <c r="T4" s="212">
        <v>147.84</v>
      </c>
    </row>
    <row r="5" spans="1:21" ht="15" customHeight="1">
      <c r="A5" s="34" t="s">
        <v>2</v>
      </c>
      <c r="B5" s="59"/>
      <c r="C5" s="54" t="e">
        <f>(#REF!/#REF!-1)</f>
        <v>#REF!</v>
      </c>
      <c r="D5" s="54">
        <f>(D4/C4-1)</f>
        <v>6.6457326749178591E-3</v>
      </c>
      <c r="E5" s="54">
        <f t="shared" ref="E5:H5" si="0">(E4/D4-1)</f>
        <v>-1</v>
      </c>
      <c r="F5" s="54" t="e">
        <f t="shared" si="0"/>
        <v>#DIV/0!</v>
      </c>
      <c r="G5" s="54">
        <f t="shared" si="0"/>
        <v>0.13654187322799416</v>
      </c>
      <c r="H5" s="152">
        <f t="shared" si="0"/>
        <v>-3.7569991106368716E-3</v>
      </c>
      <c r="I5" s="152">
        <f>I4/H4-1</f>
        <v>-0.77759892058112901</v>
      </c>
      <c r="J5" s="54">
        <f>J4/I4-1</f>
        <v>1.0268728454458662</v>
      </c>
      <c r="L5" s="33" t="s">
        <v>37</v>
      </c>
      <c r="M5" s="6"/>
      <c r="N5" s="6"/>
      <c r="O5" s="7">
        <v>1776.7191660000001</v>
      </c>
      <c r="P5" s="7"/>
      <c r="Q5" s="213">
        <v>434.23399999999998</v>
      </c>
      <c r="R5" s="213">
        <v>483.74799999999999</v>
      </c>
      <c r="S5" s="212">
        <v>503.56700000000001</v>
      </c>
      <c r="T5" s="166">
        <v>524.65300000000002</v>
      </c>
    </row>
    <row r="6" spans="1:21" ht="15" customHeight="1">
      <c r="A6" s="34" t="s">
        <v>113</v>
      </c>
      <c r="B6" s="9"/>
      <c r="C6" s="11"/>
      <c r="D6" s="11"/>
      <c r="E6" s="11"/>
      <c r="F6" s="10"/>
      <c r="G6" s="1"/>
      <c r="H6" s="152">
        <f>+((H4/F4)^(1/2)-1)</f>
        <v>6.4082650183281187E-2</v>
      </c>
      <c r="I6" s="152">
        <f>+((I4/F4)^(1/3)-1)</f>
        <v>-0.36851572799534082</v>
      </c>
      <c r="J6" s="54">
        <f>+((J4/G4)^(1/3)-1)</f>
        <v>-0.2342102316760013</v>
      </c>
      <c r="L6" s="81" t="s">
        <v>38</v>
      </c>
      <c r="M6" s="69">
        <f t="shared" ref="M6:S6" si="1">(M4+M5)</f>
        <v>0</v>
      </c>
      <c r="N6" s="69">
        <f t="shared" si="1"/>
        <v>0</v>
      </c>
      <c r="O6" s="60">
        <f t="shared" si="1"/>
        <v>2094.1570959999999</v>
      </c>
      <c r="P6" s="60">
        <f t="shared" si="1"/>
        <v>0</v>
      </c>
      <c r="Q6" s="60">
        <f t="shared" si="1"/>
        <v>582.07399999999996</v>
      </c>
      <c r="R6" s="60">
        <f t="shared" si="1"/>
        <v>631.58799999999997</v>
      </c>
      <c r="S6" s="60">
        <f t="shared" si="1"/>
        <v>651.40700000000004</v>
      </c>
      <c r="T6" s="167">
        <f t="shared" ref="T6" si="2">(T4+T5)</f>
        <v>672.49300000000005</v>
      </c>
    </row>
    <row r="7" spans="1:21" ht="15" customHeight="1">
      <c r="A7" s="32" t="s">
        <v>3</v>
      </c>
      <c r="B7" s="69">
        <f t="shared" ref="B7:J7" si="3">SUM(B8:B12)</f>
        <v>0</v>
      </c>
      <c r="C7" s="60">
        <f t="shared" si="3"/>
        <v>2516.8966760000003</v>
      </c>
      <c r="D7" s="60">
        <f t="shared" si="3"/>
        <v>2519.6023679999998</v>
      </c>
      <c r="E7" s="60">
        <f t="shared" si="3"/>
        <v>0</v>
      </c>
      <c r="F7" s="60">
        <f t="shared" si="3"/>
        <v>1602.86043</v>
      </c>
      <c r="G7" s="60">
        <f t="shared" si="3"/>
        <v>1836.5920000000001</v>
      </c>
      <c r="H7" s="153">
        <f t="shared" si="3"/>
        <v>1854.4829999999999</v>
      </c>
      <c r="I7" s="153">
        <f t="shared" si="3"/>
        <v>403.09399999999994</v>
      </c>
      <c r="J7" s="60">
        <f t="shared" si="3"/>
        <v>818.62800000000004</v>
      </c>
      <c r="L7" s="33" t="s">
        <v>39</v>
      </c>
      <c r="M7" s="6">
        <v>0</v>
      </c>
      <c r="N7" s="6"/>
      <c r="O7" s="7"/>
      <c r="P7" s="7"/>
      <c r="Q7" s="7"/>
      <c r="R7" s="7"/>
      <c r="S7" s="7"/>
      <c r="T7" s="166"/>
    </row>
    <row r="8" spans="1:21" ht="15" customHeight="1">
      <c r="A8" s="33" t="s">
        <v>158</v>
      </c>
      <c r="B8" s="12"/>
      <c r="C8" s="7">
        <v>1290.3108099999999</v>
      </c>
      <c r="D8" s="7">
        <v>1476.0810570000001</v>
      </c>
      <c r="E8" s="7"/>
      <c r="F8" s="7"/>
      <c r="G8" s="7"/>
      <c r="H8" s="154"/>
      <c r="I8" s="154"/>
      <c r="J8" s="7"/>
      <c r="L8" s="33" t="s">
        <v>40</v>
      </c>
      <c r="M8" s="225"/>
      <c r="N8" s="225"/>
      <c r="O8" s="220">
        <v>165.77601200000001</v>
      </c>
      <c r="P8" s="220"/>
      <c r="Q8" s="206">
        <v>2.02</v>
      </c>
      <c r="R8" s="206">
        <v>1.0549999999999999</v>
      </c>
      <c r="S8" s="206">
        <v>0.111</v>
      </c>
      <c r="T8" s="166">
        <v>0</v>
      </c>
    </row>
    <row r="9" spans="1:21" ht="15" customHeight="1">
      <c r="A9" s="33" t="s">
        <v>159</v>
      </c>
      <c r="B9" s="12"/>
      <c r="C9" s="7">
        <v>17.202090999999999</v>
      </c>
      <c r="D9" s="7">
        <v>-108.61538899999999</v>
      </c>
      <c r="E9" s="7"/>
      <c r="F9" s="7"/>
      <c r="G9" s="7"/>
      <c r="H9" s="154"/>
      <c r="I9" s="154"/>
      <c r="J9" s="7"/>
      <c r="L9" s="33" t="s">
        <v>41</v>
      </c>
      <c r="M9" s="6"/>
      <c r="N9" s="6"/>
      <c r="O9" s="7">
        <v>704.25010099999997</v>
      </c>
      <c r="P9" s="7"/>
      <c r="Q9" s="207">
        <v>34.918999999999997</v>
      </c>
      <c r="R9" s="207">
        <v>69.956999999999994</v>
      </c>
      <c r="S9" s="207">
        <v>87.41</v>
      </c>
      <c r="T9" s="166">
        <v>0</v>
      </c>
    </row>
    <row r="10" spans="1:21" ht="15" customHeight="1">
      <c r="A10" s="33" t="s">
        <v>160</v>
      </c>
      <c r="B10" s="12"/>
      <c r="C10" s="7"/>
      <c r="D10" s="7"/>
      <c r="E10" s="7"/>
      <c r="F10" s="7"/>
      <c r="G10" s="7"/>
      <c r="H10" s="154"/>
      <c r="I10" s="154"/>
      <c r="J10" s="7"/>
      <c r="L10" s="81" t="s">
        <v>42</v>
      </c>
      <c r="M10" s="69">
        <f t="shared" ref="M10:T10" si="4">(M8+M9)</f>
        <v>0</v>
      </c>
      <c r="N10" s="69">
        <f t="shared" si="4"/>
        <v>0</v>
      </c>
      <c r="O10" s="60">
        <f t="shared" si="4"/>
        <v>870.02611300000001</v>
      </c>
      <c r="P10" s="60">
        <f t="shared" si="4"/>
        <v>0</v>
      </c>
      <c r="Q10" s="60">
        <f t="shared" si="4"/>
        <v>36.939</v>
      </c>
      <c r="R10" s="60">
        <f t="shared" si="4"/>
        <v>71.012</v>
      </c>
      <c r="S10" s="60">
        <f t="shared" si="4"/>
        <v>87.521000000000001</v>
      </c>
      <c r="T10" s="167">
        <f t="shared" si="4"/>
        <v>0</v>
      </c>
    </row>
    <row r="11" spans="1:21" ht="15" customHeight="1">
      <c r="A11" s="33" t="s">
        <v>67</v>
      </c>
      <c r="B11" s="12"/>
      <c r="C11" s="7">
        <v>254.66924700000001</v>
      </c>
      <c r="D11" s="7">
        <v>346.67805299999998</v>
      </c>
      <c r="E11" s="7"/>
      <c r="F11" s="211">
        <v>1571.1579999999999</v>
      </c>
      <c r="G11" s="212">
        <v>1370.7750000000001</v>
      </c>
      <c r="H11" s="212">
        <v>1428.5029999999999</v>
      </c>
      <c r="I11" s="242">
        <v>332.15499999999997</v>
      </c>
      <c r="J11" s="212">
        <v>680.096</v>
      </c>
      <c r="L11" s="81" t="s">
        <v>43</v>
      </c>
      <c r="M11" s="69">
        <f>(M6+M8+M7+M53)</f>
        <v>0</v>
      </c>
      <c r="N11" s="69">
        <f>(N6+N8+N7+N53)</f>
        <v>0</v>
      </c>
      <c r="O11" s="60">
        <f>(O6+O8+O7+O53+O50)</f>
        <v>2322.4877259999998</v>
      </c>
      <c r="P11" s="60">
        <f>(P6+P8+P7+P53+P50)</f>
        <v>0</v>
      </c>
      <c r="Q11" s="60">
        <f>(Q6+Q8+Q7+Q53+Q50+Q51+Q52+Q54)</f>
        <v>618.90899999999988</v>
      </c>
      <c r="R11" s="60">
        <f>(R6+R8+R7+R51+R52+R53+R54+R50)</f>
        <v>668.72599999999989</v>
      </c>
      <c r="S11" s="60">
        <f>(S6+S8+S7+S51+S52+S53+S54+S50)</f>
        <v>669.67700000000002</v>
      </c>
      <c r="T11" s="60">
        <f>(T6+T8+T7+T50+T51+T52+T53)</f>
        <v>686.82</v>
      </c>
    </row>
    <row r="12" spans="1:21" ht="15" customHeight="1">
      <c r="A12" s="33" t="s">
        <v>68</v>
      </c>
      <c r="B12" s="12"/>
      <c r="C12" s="7">
        <v>954.71452799999997</v>
      </c>
      <c r="D12" s="7">
        <v>805.45864700000004</v>
      </c>
      <c r="E12" s="7"/>
      <c r="F12" s="211">
        <v>31.70243</v>
      </c>
      <c r="G12" s="212">
        <v>465.81700000000001</v>
      </c>
      <c r="H12" s="212">
        <v>425.98</v>
      </c>
      <c r="I12" s="242">
        <v>70.938999999999993</v>
      </c>
      <c r="J12" s="212">
        <v>138.53200000000001</v>
      </c>
      <c r="L12" s="81" t="s">
        <v>43</v>
      </c>
      <c r="M12" s="70">
        <f t="shared" ref="M12:S12" si="5">M55-M41-M9</f>
        <v>0</v>
      </c>
      <c r="N12" s="70">
        <f t="shared" si="5"/>
        <v>0</v>
      </c>
      <c r="O12" s="60">
        <f t="shared" si="5"/>
        <v>2124.1436920000001</v>
      </c>
      <c r="P12" s="60">
        <f t="shared" si="5"/>
        <v>0</v>
      </c>
      <c r="Q12" s="60">
        <f t="shared" si="5"/>
        <v>618.88100000000009</v>
      </c>
      <c r="R12" s="60">
        <f t="shared" si="5"/>
        <v>668.72100000000012</v>
      </c>
      <c r="S12" s="60">
        <f t="shared" si="5"/>
        <v>669.67199999999991</v>
      </c>
      <c r="T12" s="60">
        <f>T55-T41-T9</f>
        <v>686.81799999999998</v>
      </c>
    </row>
    <row r="13" spans="1:21" ht="15" customHeight="1">
      <c r="A13" s="32" t="s">
        <v>4</v>
      </c>
      <c r="B13" s="53">
        <f t="shared" ref="B13:J13" si="6">(B4-B7)</f>
        <v>0</v>
      </c>
      <c r="C13" s="53">
        <f t="shared" si="6"/>
        <v>448.6266099999998</v>
      </c>
      <c r="D13" s="53">
        <f t="shared" si="6"/>
        <v>465.62899300000026</v>
      </c>
      <c r="E13" s="53">
        <f t="shared" si="6"/>
        <v>0</v>
      </c>
      <c r="F13" s="53">
        <f t="shared" si="6"/>
        <v>85.903569999999945</v>
      </c>
      <c r="G13" s="53">
        <f t="shared" si="6"/>
        <v>82.759000000000015</v>
      </c>
      <c r="H13" s="155">
        <f t="shared" si="6"/>
        <v>57.657000000000153</v>
      </c>
      <c r="I13" s="155">
        <f t="shared" si="6"/>
        <v>22.168000000000063</v>
      </c>
      <c r="J13" s="53">
        <f t="shared" si="6"/>
        <v>43.323999999999955</v>
      </c>
      <c r="L13" s="33"/>
      <c r="M13" s="14"/>
      <c r="N13" s="14"/>
      <c r="O13" s="7"/>
      <c r="P13" s="7"/>
      <c r="Q13" s="7"/>
      <c r="R13" s="7"/>
      <c r="S13" s="7"/>
      <c r="T13" s="166"/>
      <c r="U13" s="13"/>
    </row>
    <row r="14" spans="1:21" ht="15" customHeight="1">
      <c r="A14" s="34" t="s">
        <v>2</v>
      </c>
      <c r="B14" s="59"/>
      <c r="C14" s="54" t="e">
        <f>(C13/B13-1)</f>
        <v>#DIV/0!</v>
      </c>
      <c r="D14" s="54">
        <f t="shared" ref="D14:J14" si="7">(D13/C13-1)</f>
        <v>3.7898739443922969E-2</v>
      </c>
      <c r="E14" s="54">
        <f t="shared" si="7"/>
        <v>-1</v>
      </c>
      <c r="F14" s="54" t="e">
        <f t="shared" si="7"/>
        <v>#DIV/0!</v>
      </c>
      <c r="G14" s="54">
        <f t="shared" si="7"/>
        <v>-3.6605812773554458E-2</v>
      </c>
      <c r="H14" s="152">
        <f t="shared" si="7"/>
        <v>-0.30331444314213385</v>
      </c>
      <c r="I14" s="152">
        <f t="shared" si="7"/>
        <v>-0.61551936451775147</v>
      </c>
      <c r="J14" s="54">
        <f t="shared" si="7"/>
        <v>0.95434861060988063</v>
      </c>
      <c r="L14" s="83" t="s">
        <v>87</v>
      </c>
      <c r="M14" s="85"/>
      <c r="N14" s="85"/>
      <c r="O14" s="84">
        <v>1481.9677489999999</v>
      </c>
      <c r="P14" s="84"/>
      <c r="Q14" s="84"/>
      <c r="R14" s="84"/>
      <c r="S14" s="84"/>
      <c r="T14" s="165"/>
    </row>
    <row r="15" spans="1:21" ht="15" customHeight="1">
      <c r="A15" s="34" t="s">
        <v>113</v>
      </c>
      <c r="B15" s="9"/>
      <c r="C15" s="10"/>
      <c r="D15" s="10"/>
      <c r="E15" s="10"/>
      <c r="F15" s="10"/>
      <c r="G15" s="10"/>
      <c r="H15" s="152">
        <f>+((H13/F13)^(1/3)-1)</f>
        <v>-0.12445136304554516</v>
      </c>
      <c r="I15" s="152">
        <f>+((I13/F13)^(1/3)-1)</f>
        <v>-0.36334361344135468</v>
      </c>
      <c r="J15" s="54">
        <f>+((J13/G13)^(1/3)-1)</f>
        <v>-0.19405679581732305</v>
      </c>
      <c r="L15" s="81" t="s">
        <v>102</v>
      </c>
      <c r="M15" s="82"/>
      <c r="N15" s="82"/>
      <c r="O15" s="60">
        <f t="shared" ref="O15:T15" si="8">SUM(O16:O27)</f>
        <v>1214.5796989999999</v>
      </c>
      <c r="P15" s="60">
        <f t="shared" si="8"/>
        <v>0</v>
      </c>
      <c r="Q15" s="60">
        <f t="shared" si="8"/>
        <v>338.32100000000003</v>
      </c>
      <c r="R15" s="60">
        <f t="shared" si="8"/>
        <v>464.04000000000008</v>
      </c>
      <c r="S15" s="60">
        <f t="shared" si="8"/>
        <v>456.78899999999999</v>
      </c>
      <c r="T15" s="167">
        <f t="shared" si="8"/>
        <v>401.03</v>
      </c>
    </row>
    <row r="16" spans="1:21" ht="15" customHeight="1">
      <c r="A16" s="32" t="s">
        <v>5</v>
      </c>
      <c r="B16" s="55" t="e">
        <f t="shared" ref="B16:J16" si="9">(B13/B4)</f>
        <v>#DIV/0!</v>
      </c>
      <c r="C16" s="55">
        <f t="shared" si="9"/>
        <v>0.15128075780687017</v>
      </c>
      <c r="D16" s="55">
        <f t="shared" si="9"/>
        <v>0.15597752290932074</v>
      </c>
      <c r="E16" s="55" t="e">
        <f t="shared" si="9"/>
        <v>#DIV/0!</v>
      </c>
      <c r="F16" s="55">
        <f t="shared" si="9"/>
        <v>5.0867717454895975E-2</v>
      </c>
      <c r="G16" s="55">
        <f t="shared" si="9"/>
        <v>4.3118220690222898E-2</v>
      </c>
      <c r="H16" s="156">
        <f t="shared" si="9"/>
        <v>3.0153126863095878E-2</v>
      </c>
      <c r="I16" s="156">
        <f t="shared" si="9"/>
        <v>5.2127864704582264E-2</v>
      </c>
      <c r="J16" s="55">
        <f t="shared" si="9"/>
        <v>5.0262659637659586E-2</v>
      </c>
      <c r="L16" s="33" t="s">
        <v>91</v>
      </c>
      <c r="M16" s="6"/>
      <c r="N16" s="6"/>
      <c r="O16" s="7">
        <v>1059.7221179999999</v>
      </c>
      <c r="P16" s="7"/>
      <c r="Q16" s="213">
        <v>63.845999999999997</v>
      </c>
      <c r="R16" s="213">
        <v>112.958</v>
      </c>
      <c r="S16" s="212">
        <v>105.369</v>
      </c>
      <c r="T16" s="166">
        <v>101.158</v>
      </c>
    </row>
    <row r="17" spans="1:20" ht="15" customHeight="1">
      <c r="A17" s="33" t="s">
        <v>6</v>
      </c>
      <c r="B17" s="6"/>
      <c r="C17" s="7">
        <v>101.894226</v>
      </c>
      <c r="D17" s="7">
        <v>114.51939900000001</v>
      </c>
      <c r="E17" s="7"/>
      <c r="F17" s="213">
        <v>12.175140000000001</v>
      </c>
      <c r="G17" s="212">
        <v>12.096</v>
      </c>
      <c r="H17" s="212">
        <v>6.1980000000000004</v>
      </c>
      <c r="I17" s="242">
        <v>5.9180000000000001</v>
      </c>
      <c r="J17" s="212">
        <v>7.0579999999999998</v>
      </c>
      <c r="L17" s="33" t="s">
        <v>174</v>
      </c>
      <c r="M17" s="6"/>
      <c r="N17" s="6"/>
      <c r="O17" s="7"/>
      <c r="P17" s="7"/>
      <c r="Q17" s="213">
        <v>0.37</v>
      </c>
      <c r="R17" s="213">
        <v>0.41199999999999998</v>
      </c>
      <c r="S17" s="212">
        <v>0.34399999999999997</v>
      </c>
      <c r="T17" s="166">
        <v>0.30099999999999999</v>
      </c>
    </row>
    <row r="18" spans="1:20" ht="15" customHeight="1">
      <c r="A18" s="33" t="s">
        <v>7</v>
      </c>
      <c r="B18" s="6"/>
      <c r="C18" s="7">
        <v>67.671909999999997</v>
      </c>
      <c r="D18" s="7">
        <v>98.236097000000001</v>
      </c>
      <c r="E18" s="7"/>
      <c r="F18" s="213">
        <v>7.2283030000000004</v>
      </c>
      <c r="G18" s="212">
        <v>9.4269999999999996</v>
      </c>
      <c r="H18" s="212">
        <v>12.233000000000001</v>
      </c>
      <c r="I18" s="242">
        <v>2.649</v>
      </c>
      <c r="J18" s="212">
        <v>4.7919999999999998</v>
      </c>
      <c r="L18" s="33" t="s">
        <v>186</v>
      </c>
      <c r="M18" s="6"/>
      <c r="N18" s="6"/>
      <c r="O18" s="7"/>
      <c r="P18" s="7"/>
      <c r="Q18" s="7"/>
      <c r="R18" s="213">
        <v>0.82499999999999996</v>
      </c>
      <c r="S18" s="212">
        <v>1.1499999999999999</v>
      </c>
      <c r="T18" s="166">
        <v>0.96</v>
      </c>
    </row>
    <row r="19" spans="1:20" ht="15" customHeight="1">
      <c r="A19" s="33" t="s">
        <v>8</v>
      </c>
      <c r="B19" s="6"/>
      <c r="C19" s="7">
        <v>125.86139799999999</v>
      </c>
      <c r="D19" s="7">
        <v>131.66483400000001</v>
      </c>
      <c r="E19" s="7"/>
      <c r="F19" s="213">
        <v>10.279339999999999</v>
      </c>
      <c r="G19" s="212">
        <v>11.335000000000001</v>
      </c>
      <c r="H19" s="212">
        <v>16.010000000000002</v>
      </c>
      <c r="I19" s="242">
        <v>2.3250000000000002</v>
      </c>
      <c r="J19" s="212">
        <v>3.4769999999999999</v>
      </c>
      <c r="L19" s="33" t="s">
        <v>187</v>
      </c>
      <c r="M19" s="6"/>
      <c r="N19" s="6"/>
      <c r="O19" s="7">
        <v>46.100937000000002</v>
      </c>
      <c r="P19" s="7"/>
      <c r="Q19" s="213">
        <v>10.287000000000001</v>
      </c>
      <c r="R19" s="213">
        <v>8.1620000000000008</v>
      </c>
      <c r="S19" s="212">
        <v>6.0309999999999997</v>
      </c>
      <c r="T19" s="166">
        <v>0</v>
      </c>
    </row>
    <row r="20" spans="1:20" ht="15" customHeight="1">
      <c r="A20" s="33" t="s">
        <v>9</v>
      </c>
      <c r="B20" s="6"/>
      <c r="C20" s="7"/>
      <c r="D20" s="7"/>
      <c r="E20" s="7"/>
      <c r="F20" s="7"/>
      <c r="G20" s="7"/>
      <c r="H20" s="154"/>
      <c r="I20" s="154"/>
      <c r="J20" s="7"/>
      <c r="L20" s="33" t="s">
        <v>92</v>
      </c>
      <c r="M20" s="6"/>
      <c r="N20" s="6"/>
      <c r="O20" s="30">
        <v>0</v>
      </c>
      <c r="P20" s="30"/>
      <c r="Q20" s="7"/>
      <c r="R20" s="7"/>
      <c r="S20" s="7"/>
      <c r="T20" s="166"/>
    </row>
    <row r="21" spans="1:20" ht="15" customHeight="1">
      <c r="A21" s="32" t="s">
        <v>10</v>
      </c>
      <c r="B21" s="70">
        <f>(B13-B18-B19-B20)</f>
        <v>0</v>
      </c>
      <c r="C21" s="53">
        <f>(C13+C17-C18-C19-C20)</f>
        <v>356.98752799999977</v>
      </c>
      <c r="D21" s="53">
        <f t="shared" ref="D21:F21" si="10">(D13+D17-D18-D19-D20)</f>
        <v>350.24746100000027</v>
      </c>
      <c r="E21" s="53">
        <f t="shared" si="10"/>
        <v>0</v>
      </c>
      <c r="F21" s="53">
        <f t="shared" si="10"/>
        <v>80.571066999999942</v>
      </c>
      <c r="G21" s="53">
        <f>(G13+G17-G18-G19+G20)</f>
        <v>74.093000000000018</v>
      </c>
      <c r="H21" s="155">
        <f>(H13+H17-H18-H19+H20)</f>
        <v>35.612000000000151</v>
      </c>
      <c r="I21" s="155">
        <f>(I13+I17-I18-I19+I20)</f>
        <v>23.112000000000062</v>
      </c>
      <c r="J21" s="53">
        <f>(J13+J17-J18-J19+J20)</f>
        <v>42.112999999999957</v>
      </c>
      <c r="L21" s="33" t="s">
        <v>188</v>
      </c>
      <c r="M21" s="6"/>
      <c r="N21" s="6"/>
      <c r="O21" s="30">
        <v>0</v>
      </c>
      <c r="P21" s="30"/>
      <c r="Q21" s="213">
        <v>6.734</v>
      </c>
      <c r="R21" s="213">
        <v>6.7430000000000003</v>
      </c>
      <c r="S21" s="215">
        <v>6.7430000000000003</v>
      </c>
      <c r="T21" s="166">
        <v>6.7430000000000003</v>
      </c>
    </row>
    <row r="22" spans="1:20" ht="15" customHeight="1">
      <c r="A22" s="33" t="s">
        <v>11</v>
      </c>
      <c r="B22" s="6"/>
      <c r="C22" s="7">
        <f>84.840864+12.218329-5.206064</f>
        <v>91.853128999999996</v>
      </c>
      <c r="D22" s="7">
        <f>(88004592+5040204)/1000000</f>
        <v>93.044796000000005</v>
      </c>
      <c r="E22" s="7"/>
      <c r="F22" s="213">
        <v>18.96284</v>
      </c>
      <c r="G22" s="212">
        <v>15.215</v>
      </c>
      <c r="H22" s="212">
        <v>-2.2519999999999998</v>
      </c>
      <c r="I22" s="242">
        <v>2.387</v>
      </c>
      <c r="J22" s="212">
        <v>6.2430000000000003</v>
      </c>
      <c r="L22" s="33" t="s">
        <v>189</v>
      </c>
      <c r="M22" s="6"/>
      <c r="N22" s="6"/>
      <c r="O22" s="7"/>
      <c r="P22" s="7"/>
      <c r="Q22" s="213">
        <v>3.74</v>
      </c>
      <c r="R22" s="213">
        <v>8.657</v>
      </c>
      <c r="S22" s="212">
        <v>7.0869999999999997</v>
      </c>
      <c r="T22" s="166">
        <v>5.5759999999999996</v>
      </c>
    </row>
    <row r="23" spans="1:20" ht="15" customHeight="1">
      <c r="A23" s="34" t="s">
        <v>12</v>
      </c>
      <c r="B23" s="54" t="e">
        <f t="shared" ref="B23:J23" si="11">(B22/B21)</f>
        <v>#DIV/0!</v>
      </c>
      <c r="C23" s="54">
        <f t="shared" si="11"/>
        <v>0.25730066681769359</v>
      </c>
      <c r="D23" s="66">
        <f t="shared" si="11"/>
        <v>0.26565444824166745</v>
      </c>
      <c r="E23" s="66" t="e">
        <f t="shared" si="11"/>
        <v>#DIV/0!</v>
      </c>
      <c r="F23" s="66">
        <f t="shared" si="11"/>
        <v>0.23535545334158245</v>
      </c>
      <c r="G23" s="66">
        <f t="shared" si="11"/>
        <v>0.20535003306655145</v>
      </c>
      <c r="H23" s="157">
        <f t="shared" si="11"/>
        <v>-6.323711108615046E-2</v>
      </c>
      <c r="I23" s="157">
        <f t="shared" si="11"/>
        <v>0.10327968155070931</v>
      </c>
      <c r="J23" s="66">
        <f t="shared" si="11"/>
        <v>0.14824401016313268</v>
      </c>
      <c r="L23" s="40" t="s">
        <v>190</v>
      </c>
      <c r="M23" s="6"/>
      <c r="N23" s="6"/>
      <c r="O23" s="7">
        <v>6.2710439999999998</v>
      </c>
      <c r="P23" s="7"/>
      <c r="Q23" s="213">
        <v>119.532</v>
      </c>
      <c r="R23" s="213">
        <v>104.55500000000001</v>
      </c>
      <c r="S23" s="212">
        <v>89.504999999999995</v>
      </c>
      <c r="T23" s="166">
        <v>95.165999999999997</v>
      </c>
    </row>
    <row r="24" spans="1:20" ht="15" customHeight="1">
      <c r="A24" s="32" t="s">
        <v>13</v>
      </c>
      <c r="B24" s="70">
        <f t="shared" ref="B24:J24" si="12">(B21-B22)</f>
        <v>0</v>
      </c>
      <c r="C24" s="60">
        <f t="shared" si="12"/>
        <v>265.1343989999998</v>
      </c>
      <c r="D24" s="60">
        <f t="shared" si="12"/>
        <v>257.20266500000025</v>
      </c>
      <c r="E24" s="60"/>
      <c r="F24" s="60">
        <f t="shared" si="12"/>
        <v>61.608226999999943</v>
      </c>
      <c r="G24" s="60">
        <f t="shared" si="12"/>
        <v>58.878000000000014</v>
      </c>
      <c r="H24" s="153">
        <f t="shared" si="12"/>
        <v>37.864000000000154</v>
      </c>
      <c r="I24" s="153">
        <f t="shared" si="12"/>
        <v>20.725000000000062</v>
      </c>
      <c r="J24" s="60">
        <f t="shared" si="12"/>
        <v>35.869999999999955</v>
      </c>
      <c r="L24" s="40" t="s">
        <v>178</v>
      </c>
      <c r="M24" s="6"/>
      <c r="N24" s="6"/>
      <c r="O24" s="7">
        <v>102.48560000000001</v>
      </c>
      <c r="P24" s="7"/>
      <c r="Q24" s="7"/>
      <c r="R24" s="25"/>
      <c r="S24" s="25"/>
      <c r="T24" s="168"/>
    </row>
    <row r="25" spans="1:20" ht="15" customHeight="1">
      <c r="A25" s="32" t="s">
        <v>80</v>
      </c>
      <c r="B25" s="56" t="e">
        <f t="shared" ref="B25:J25" si="13">B24/(B4)</f>
        <v>#DIV/0!</v>
      </c>
      <c r="C25" s="56">
        <f t="shared" si="13"/>
        <v>8.940560347365277E-2</v>
      </c>
      <c r="D25" s="56">
        <f t="shared" si="13"/>
        <v>8.615836894928032E-2</v>
      </c>
      <c r="E25" s="56" t="e">
        <f t="shared" si="13"/>
        <v>#DIV/0!</v>
      </c>
      <c r="F25" s="56">
        <f t="shared" si="13"/>
        <v>3.6481253153193664E-2</v>
      </c>
      <c r="G25" s="56">
        <f t="shared" si="13"/>
        <v>3.06759941250975E-2</v>
      </c>
      <c r="H25" s="158">
        <f t="shared" si="13"/>
        <v>1.9801897350612482E-2</v>
      </c>
      <c r="I25" s="158">
        <f t="shared" si="13"/>
        <v>4.8734662396358153E-2</v>
      </c>
      <c r="J25" s="56">
        <f t="shared" si="13"/>
        <v>4.1614846302346249E-2</v>
      </c>
      <c r="L25" s="40" t="s">
        <v>93</v>
      </c>
      <c r="M25" s="6"/>
      <c r="N25" s="6"/>
      <c r="O25" s="25">
        <v>0</v>
      </c>
      <c r="P25" s="7"/>
      <c r="Q25" s="213">
        <v>133.81200000000001</v>
      </c>
      <c r="R25" s="213">
        <v>221.72800000000001</v>
      </c>
      <c r="S25" s="216">
        <v>240.56</v>
      </c>
      <c r="T25" s="168">
        <v>191.126</v>
      </c>
    </row>
    <row r="26" spans="1:20" ht="15" customHeight="1">
      <c r="A26" s="34" t="s">
        <v>113</v>
      </c>
      <c r="B26" s="16"/>
      <c r="C26" s="10"/>
      <c r="D26" s="10"/>
      <c r="E26" s="10"/>
      <c r="F26" s="10"/>
      <c r="G26" s="10"/>
      <c r="H26" s="152">
        <f>+((H24/F24)^(1/2)-1)</f>
        <v>-0.21604002490236007</v>
      </c>
      <c r="I26" s="152">
        <f>+((I24/F24)^(1/3)-1)</f>
        <v>-0.3045189898905063</v>
      </c>
      <c r="J26" s="54">
        <f>+((J24/G24)^(1/3)-1)</f>
        <v>-0.15226631082975117</v>
      </c>
      <c r="L26" s="40"/>
      <c r="M26" s="6"/>
      <c r="N26" s="6"/>
      <c r="O26" s="25"/>
      <c r="P26" s="7"/>
      <c r="Q26" s="7"/>
      <c r="R26" s="25"/>
      <c r="S26" s="25"/>
      <c r="T26" s="168"/>
    </row>
    <row r="27" spans="1:20" ht="15" customHeight="1">
      <c r="A27" s="33" t="s">
        <v>14</v>
      </c>
      <c r="B27" s="15"/>
      <c r="C27" s="15">
        <v>0</v>
      </c>
      <c r="D27" s="7"/>
      <c r="E27" s="7">
        <v>0</v>
      </c>
      <c r="F27" s="7"/>
      <c r="G27" s="7">
        <v>0</v>
      </c>
      <c r="H27" s="154">
        <v>0</v>
      </c>
      <c r="I27" s="154">
        <v>0</v>
      </c>
      <c r="J27" s="7">
        <v>0</v>
      </c>
      <c r="L27" s="33"/>
      <c r="M27" s="6"/>
      <c r="N27" s="6"/>
      <c r="O27" s="7"/>
      <c r="P27" s="7"/>
      <c r="Q27" s="7"/>
      <c r="R27" s="7"/>
      <c r="S27" s="7"/>
      <c r="T27" s="43"/>
    </row>
    <row r="28" spans="1:20" ht="15" customHeight="1">
      <c r="A28" s="33" t="s">
        <v>69</v>
      </c>
      <c r="B28" s="15"/>
      <c r="C28" s="15">
        <v>0</v>
      </c>
      <c r="D28" s="7">
        <v>0</v>
      </c>
      <c r="E28" s="7">
        <v>0</v>
      </c>
      <c r="F28" s="7"/>
      <c r="G28" s="15">
        <v>-0.498</v>
      </c>
      <c r="H28" s="212">
        <v>-0.219</v>
      </c>
      <c r="I28" s="242">
        <v>0</v>
      </c>
      <c r="J28" s="212">
        <v>0</v>
      </c>
      <c r="L28" s="33"/>
      <c r="M28" s="6"/>
      <c r="N28" s="6"/>
      <c r="O28" s="7"/>
      <c r="P28" s="7"/>
      <c r="Q28" s="7"/>
      <c r="R28" s="7"/>
      <c r="S28" s="7"/>
      <c r="T28" s="166"/>
    </row>
    <row r="29" spans="1:20" ht="15" customHeight="1">
      <c r="A29" s="32" t="s">
        <v>15</v>
      </c>
      <c r="B29" s="71">
        <f t="shared" ref="B29:J29" si="14">(B24-B27+B28)</f>
        <v>0</v>
      </c>
      <c r="C29" s="60">
        <f t="shared" si="14"/>
        <v>265.1343989999998</v>
      </c>
      <c r="D29" s="60">
        <f t="shared" si="14"/>
        <v>257.20266500000025</v>
      </c>
      <c r="E29" s="60">
        <f t="shared" si="14"/>
        <v>0</v>
      </c>
      <c r="F29" s="60">
        <f t="shared" si="14"/>
        <v>61.608226999999943</v>
      </c>
      <c r="G29" s="60">
        <f t="shared" si="14"/>
        <v>58.380000000000017</v>
      </c>
      <c r="H29" s="153">
        <f t="shared" si="14"/>
        <v>37.645000000000152</v>
      </c>
      <c r="I29" s="153">
        <f t="shared" si="14"/>
        <v>20.725000000000062</v>
      </c>
      <c r="J29" s="60">
        <f t="shared" si="14"/>
        <v>35.869999999999955</v>
      </c>
      <c r="L29" s="32" t="s">
        <v>44</v>
      </c>
      <c r="M29" s="69">
        <f t="shared" ref="M29:T29" si="15">SUM(M30:M39)</f>
        <v>0</v>
      </c>
      <c r="N29" s="69">
        <f t="shared" si="15"/>
        <v>0</v>
      </c>
      <c r="O29" s="60">
        <f t="shared" si="15"/>
        <v>2305.0868780000001</v>
      </c>
      <c r="P29" s="60">
        <f t="shared" si="15"/>
        <v>0</v>
      </c>
      <c r="Q29" s="60">
        <f t="shared" si="15"/>
        <v>474.75200000000001</v>
      </c>
      <c r="R29" s="60">
        <f t="shared" si="15"/>
        <v>513.80100000000004</v>
      </c>
      <c r="S29" s="60">
        <f t="shared" si="15"/>
        <v>557.97499999999991</v>
      </c>
      <c r="T29" s="60">
        <f t="shared" si="15"/>
        <v>510.93099999999998</v>
      </c>
    </row>
    <row r="30" spans="1:20" ht="15" customHeight="1">
      <c r="A30" s="34" t="s">
        <v>2</v>
      </c>
      <c r="B30" s="72"/>
      <c r="C30" s="54" t="e">
        <f>(C29/B29-1)</f>
        <v>#DIV/0!</v>
      </c>
      <c r="D30" s="54">
        <f>-(D29/C29-1)</f>
        <v>2.9915899369962751E-2</v>
      </c>
      <c r="E30" s="54">
        <f t="shared" ref="E30:J30" si="16">(E29/D29-1)</f>
        <v>-1</v>
      </c>
      <c r="F30" s="54" t="e">
        <f t="shared" si="16"/>
        <v>#DIV/0!</v>
      </c>
      <c r="G30" s="57">
        <f t="shared" si="16"/>
        <v>-5.2399284270912894E-2</v>
      </c>
      <c r="H30" s="159">
        <f t="shared" si="16"/>
        <v>-0.35517300445357758</v>
      </c>
      <c r="I30" s="159">
        <f t="shared" si="16"/>
        <v>-0.44946207995749821</v>
      </c>
      <c r="J30" s="57">
        <f t="shared" si="16"/>
        <v>0.73075995174908792</v>
      </c>
      <c r="L30" s="33" t="s">
        <v>45</v>
      </c>
      <c r="M30" s="6"/>
      <c r="N30" s="6"/>
      <c r="O30" s="7">
        <v>824.22204499999998</v>
      </c>
      <c r="P30" s="7"/>
      <c r="Q30" s="7"/>
      <c r="R30" s="7"/>
      <c r="S30" s="7"/>
      <c r="T30" s="166"/>
    </row>
    <row r="31" spans="1:20" ht="15" customHeight="1">
      <c r="A31" s="34" t="s">
        <v>113</v>
      </c>
      <c r="B31" s="16"/>
      <c r="C31" s="10"/>
      <c r="D31" s="10"/>
      <c r="E31" s="10"/>
      <c r="F31" s="10"/>
      <c r="G31" s="10"/>
      <c r="H31" s="152">
        <f>+((H29/F29)^(1/2)-1)</f>
        <v>-0.21831046923908026</v>
      </c>
      <c r="I31" s="152">
        <f>+((I29/F29)^(1/3)-1)</f>
        <v>-0.3045189898905063</v>
      </c>
      <c r="J31" s="54">
        <f>+((J29/G29)^(1/3)-1)</f>
        <v>-0.14986265309801905</v>
      </c>
      <c r="L31" s="33" t="s">
        <v>92</v>
      </c>
      <c r="M31" s="6"/>
      <c r="N31" s="6"/>
      <c r="O31" s="7"/>
      <c r="P31" s="7"/>
      <c r="Q31" s="7"/>
      <c r="R31" s="7"/>
      <c r="S31" s="7"/>
      <c r="T31" s="166"/>
    </row>
    <row r="32" spans="1:20" ht="15" customHeight="1">
      <c r="A32" s="32" t="s">
        <v>16</v>
      </c>
      <c r="B32" s="17"/>
      <c r="C32" s="5">
        <v>15.83</v>
      </c>
      <c r="D32" s="5">
        <v>13.99</v>
      </c>
      <c r="E32" s="5"/>
      <c r="F32" s="214">
        <v>4.79</v>
      </c>
      <c r="G32" s="210">
        <v>3.98</v>
      </c>
      <c r="H32" s="210">
        <v>2.56</v>
      </c>
      <c r="I32" s="241">
        <v>1.4</v>
      </c>
      <c r="J32" s="210">
        <v>2.4300000000000002</v>
      </c>
      <c r="L32" s="40" t="s">
        <v>94</v>
      </c>
      <c r="M32" s="6"/>
      <c r="N32" s="6"/>
      <c r="O32" s="7">
        <v>1165.493487</v>
      </c>
      <c r="P32" s="7"/>
      <c r="Q32" s="213">
        <v>382.87099999999998</v>
      </c>
      <c r="R32" s="213">
        <v>422.23200000000003</v>
      </c>
      <c r="S32" s="212">
        <v>483.38200000000001</v>
      </c>
      <c r="T32" s="166">
        <v>295.39100000000002</v>
      </c>
    </row>
    <row r="33" spans="1:20" ht="15" customHeight="1">
      <c r="A33" s="33" t="s">
        <v>2</v>
      </c>
      <c r="B33" s="73"/>
      <c r="C33" s="58" t="e">
        <f>(C32/B32-1)</f>
        <v>#DIV/0!</v>
      </c>
      <c r="D33" s="58">
        <f>-(D32/C32-1)</f>
        <v>0.11623499684144034</v>
      </c>
      <c r="E33" s="58">
        <f t="shared" ref="E33:J33" si="17">(E32/D32-1)</f>
        <v>-1</v>
      </c>
      <c r="F33" s="58" t="e">
        <f t="shared" si="17"/>
        <v>#DIV/0!</v>
      </c>
      <c r="G33" s="58">
        <f t="shared" si="17"/>
        <v>-0.16910229645093944</v>
      </c>
      <c r="H33" s="161">
        <f t="shared" si="17"/>
        <v>-0.35678391959798994</v>
      </c>
      <c r="I33" s="161">
        <f t="shared" si="17"/>
        <v>-0.453125</v>
      </c>
      <c r="J33" s="58">
        <f t="shared" si="17"/>
        <v>0.73571428571428599</v>
      </c>
      <c r="L33" s="40" t="s">
        <v>191</v>
      </c>
      <c r="M33" s="6"/>
      <c r="N33" s="6"/>
      <c r="O33" s="7"/>
      <c r="P33" s="7"/>
      <c r="Q33" s="213">
        <v>52.707000000000001</v>
      </c>
      <c r="R33" s="213">
        <v>26.209</v>
      </c>
      <c r="S33" s="212">
        <v>0.79400000000000004</v>
      </c>
      <c r="T33" s="166">
        <v>16.001000000000001</v>
      </c>
    </row>
    <row r="34" spans="1:20" ht="15" customHeight="1" thickBot="1">
      <c r="A34" s="35" t="s">
        <v>113</v>
      </c>
      <c r="B34" s="36"/>
      <c r="C34" s="37"/>
      <c r="D34" s="37"/>
      <c r="E34" s="38"/>
      <c r="F34" s="38"/>
      <c r="G34" s="39"/>
      <c r="H34" s="162">
        <f>+((H32/F32)^(1/2)-1)</f>
        <v>-0.26894134018407378</v>
      </c>
      <c r="I34" s="162">
        <f>+((I32/F32)^(1/3)-1)</f>
        <v>-0.33636261897945074</v>
      </c>
      <c r="J34" s="54">
        <f>+((J32/G32)^(1/3)-1)</f>
        <v>-0.15165129640911235</v>
      </c>
      <c r="L34" s="40" t="s">
        <v>192</v>
      </c>
      <c r="M34" s="6"/>
      <c r="N34" s="6"/>
      <c r="O34" s="7">
        <v>65.760679999999994</v>
      </c>
      <c r="P34" s="7"/>
      <c r="Q34" s="7"/>
      <c r="R34" s="7"/>
      <c r="S34" s="7"/>
      <c r="T34" s="166"/>
    </row>
    <row r="35" spans="1:20" ht="15" customHeight="1">
      <c r="A35" s="179"/>
      <c r="K35" s="19"/>
      <c r="L35" s="40" t="s">
        <v>163</v>
      </c>
      <c r="M35" s="6"/>
      <c r="N35" s="6"/>
      <c r="O35" s="7"/>
      <c r="P35" s="7"/>
      <c r="Q35" s="213">
        <v>13.579000000000001</v>
      </c>
      <c r="R35" s="213">
        <v>12.038</v>
      </c>
      <c r="S35" s="212">
        <v>15.59</v>
      </c>
      <c r="T35" s="166">
        <v>24.210999999999999</v>
      </c>
    </row>
    <row r="36" spans="1:20" ht="15" customHeight="1" thickBot="1">
      <c r="A36" s="179"/>
      <c r="K36" s="19"/>
      <c r="L36" s="40" t="s">
        <v>193</v>
      </c>
      <c r="M36" s="6"/>
      <c r="N36" s="6"/>
      <c r="O36" s="7">
        <v>249.61066600000001</v>
      </c>
      <c r="P36" s="7"/>
      <c r="Q36" s="213">
        <v>4.7160000000000002</v>
      </c>
      <c r="R36" s="213">
        <v>1.994</v>
      </c>
      <c r="S36" s="212">
        <v>1.542</v>
      </c>
      <c r="T36" s="168">
        <v>2.5209999999999999</v>
      </c>
    </row>
    <row r="37" spans="1:20" ht="15" customHeight="1">
      <c r="A37" s="346" t="s">
        <v>103</v>
      </c>
      <c r="B37" s="347"/>
      <c r="C37" s="347"/>
      <c r="D37" s="347"/>
      <c r="E37" s="347"/>
      <c r="F37" s="347"/>
      <c r="G37" s="347"/>
      <c r="H37" s="348"/>
      <c r="I37" s="243"/>
      <c r="J37" s="238"/>
      <c r="K37" s="19"/>
      <c r="L37" s="40" t="s">
        <v>194</v>
      </c>
      <c r="M37" s="6"/>
      <c r="N37" s="6"/>
      <c r="O37" s="25">
        <v>0</v>
      </c>
      <c r="P37" s="7"/>
      <c r="Q37" s="213">
        <v>13.971</v>
      </c>
      <c r="R37" s="213">
        <v>41.488</v>
      </c>
      <c r="S37" s="216">
        <v>46.037999999999997</v>
      </c>
      <c r="T37" s="166">
        <v>163.37799999999999</v>
      </c>
    </row>
    <row r="38" spans="1:20" ht="15" customHeight="1">
      <c r="A38" s="31" t="s">
        <v>0</v>
      </c>
      <c r="B38" s="52" t="s">
        <v>31</v>
      </c>
      <c r="C38" s="52" t="s">
        <v>32</v>
      </c>
      <c r="D38" s="52" t="s">
        <v>33</v>
      </c>
      <c r="E38" s="52" t="s">
        <v>34</v>
      </c>
      <c r="F38" s="52" t="s">
        <v>35</v>
      </c>
      <c r="G38" s="52" t="s">
        <v>85</v>
      </c>
      <c r="H38" s="151" t="s">
        <v>90</v>
      </c>
      <c r="I38" s="151" t="s">
        <v>169</v>
      </c>
      <c r="J38" s="2" t="s">
        <v>223</v>
      </c>
      <c r="K38" s="19"/>
      <c r="L38" s="33" t="s">
        <v>161</v>
      </c>
      <c r="M38" s="14"/>
      <c r="N38" s="14"/>
      <c r="O38" s="30">
        <v>0</v>
      </c>
      <c r="P38" s="30"/>
      <c r="Q38" s="30"/>
      <c r="R38" s="30"/>
      <c r="S38" s="8"/>
      <c r="T38" s="164"/>
    </row>
    <row r="39" spans="1:20" ht="15" customHeight="1">
      <c r="A39" s="32" t="s">
        <v>17</v>
      </c>
      <c r="B39" s="5"/>
      <c r="C39" s="5"/>
      <c r="D39" s="5">
        <v>19.427174999999998</v>
      </c>
      <c r="E39" s="5"/>
      <c r="F39" s="5"/>
      <c r="G39" s="5">
        <v>60.714210000000001</v>
      </c>
      <c r="H39" s="42">
        <v>55.66</v>
      </c>
      <c r="I39" s="244">
        <f>7.94/10</f>
        <v>0.79400000000000004</v>
      </c>
      <c r="J39" s="5">
        <v>16.001000000000001</v>
      </c>
      <c r="L39" s="33" t="s">
        <v>97</v>
      </c>
      <c r="M39" s="14"/>
      <c r="N39" s="14"/>
      <c r="O39" s="30">
        <v>0</v>
      </c>
      <c r="P39" s="8"/>
      <c r="Q39" s="211">
        <v>6.9080000000000004</v>
      </c>
      <c r="R39" s="211">
        <v>9.84</v>
      </c>
      <c r="S39" s="215">
        <v>10.629</v>
      </c>
      <c r="T39" s="166">
        <v>9.4290000000000003</v>
      </c>
    </row>
    <row r="40" spans="1:20" ht="15" customHeight="1">
      <c r="A40" s="33" t="s">
        <v>18</v>
      </c>
      <c r="B40" s="7"/>
      <c r="C40" s="7"/>
      <c r="D40" s="7">
        <v>-43.106437</v>
      </c>
      <c r="E40" s="7"/>
      <c r="F40" s="7"/>
      <c r="G40" s="7">
        <v>-88.07</v>
      </c>
      <c r="H40" s="43">
        <v>20.079999999999998</v>
      </c>
      <c r="I40" s="245">
        <f>-89.06/10</f>
        <v>-8.9060000000000006</v>
      </c>
      <c r="J40" s="7">
        <v>115.023</v>
      </c>
      <c r="L40" s="33"/>
      <c r="M40" s="14"/>
      <c r="N40" s="14"/>
      <c r="O40" s="7"/>
      <c r="P40" s="7"/>
      <c r="Q40" s="7"/>
      <c r="R40" s="7"/>
      <c r="S40" s="7"/>
      <c r="T40" s="166"/>
    </row>
    <row r="41" spans="1:20" ht="15" customHeight="1">
      <c r="A41" s="33" t="s">
        <v>79</v>
      </c>
      <c r="B41" s="7"/>
      <c r="C41" s="7"/>
      <c r="D41" s="7">
        <v>-255.557501</v>
      </c>
      <c r="E41" s="7"/>
      <c r="F41" s="7"/>
      <c r="G41" s="7">
        <v>-12.19204</v>
      </c>
      <c r="H41" s="43">
        <v>-45.49</v>
      </c>
      <c r="I41" s="245">
        <f>27.78/10</f>
        <v>2.778</v>
      </c>
      <c r="J41" s="7">
        <v>6.484</v>
      </c>
      <c r="L41" s="32" t="s">
        <v>46</v>
      </c>
      <c r="M41" s="69">
        <f t="shared" ref="M41:S41" si="18">SUM(M42:M48)</f>
        <v>0</v>
      </c>
      <c r="N41" s="69">
        <f t="shared" si="18"/>
        <v>0</v>
      </c>
      <c r="O41" s="60">
        <f t="shared" si="18"/>
        <v>691.272784</v>
      </c>
      <c r="P41" s="60">
        <f t="shared" si="18"/>
        <v>0</v>
      </c>
      <c r="Q41" s="60">
        <f t="shared" si="18"/>
        <v>159.27300000000002</v>
      </c>
      <c r="R41" s="60">
        <f t="shared" si="18"/>
        <v>239.16300000000001</v>
      </c>
      <c r="S41" s="60">
        <f t="shared" si="18"/>
        <v>257.68200000000002</v>
      </c>
      <c r="T41" s="167">
        <f t="shared" ref="T41" si="19">SUM(T42:T47)</f>
        <v>225.143</v>
      </c>
    </row>
    <row r="42" spans="1:20" ht="15" customHeight="1">
      <c r="A42" s="33" t="s">
        <v>19</v>
      </c>
      <c r="B42" s="7"/>
      <c r="C42" s="7"/>
      <c r="D42" s="7">
        <v>284.52159899999998</v>
      </c>
      <c r="E42" s="7"/>
      <c r="F42" s="7"/>
      <c r="G42" s="7">
        <v>84.231628000000001</v>
      </c>
      <c r="H42" s="43">
        <v>14.33</v>
      </c>
      <c r="I42" s="245">
        <f>-254.15/10</f>
        <v>-25.414999999999999</v>
      </c>
      <c r="J42" s="7">
        <v>15.208</v>
      </c>
      <c r="L42" s="33" t="s">
        <v>82</v>
      </c>
      <c r="M42" s="6"/>
      <c r="N42" s="6"/>
      <c r="O42" s="7">
        <v>265.41445299999998</v>
      </c>
      <c r="P42" s="7"/>
      <c r="Q42">
        <v>14.041</v>
      </c>
      <c r="R42">
        <v>33.316000000000003</v>
      </c>
      <c r="S42">
        <v>46.234999999999999</v>
      </c>
      <c r="T42" s="166">
        <v>57.887999999999998</v>
      </c>
    </row>
    <row r="43" spans="1:20" ht="15" customHeight="1">
      <c r="A43" s="32" t="s">
        <v>20</v>
      </c>
      <c r="B43" s="60">
        <f t="shared" ref="B43:D43" si="20">+B40+B41+B42</f>
        <v>0</v>
      </c>
      <c r="C43" s="60">
        <f t="shared" si="20"/>
        <v>0</v>
      </c>
      <c r="D43" s="60">
        <f t="shared" si="20"/>
        <v>-14.14233900000005</v>
      </c>
      <c r="E43" s="60"/>
      <c r="F43" s="60"/>
      <c r="G43" s="60">
        <v>-50.565080000000002</v>
      </c>
      <c r="H43" s="61">
        <v>-21.95</v>
      </c>
      <c r="I43" s="246">
        <f>262.09/10</f>
        <v>26.208999999999996</v>
      </c>
      <c r="J43" s="60">
        <v>0.79400000000000004</v>
      </c>
      <c r="L43" s="33" t="s">
        <v>181</v>
      </c>
      <c r="M43" s="6"/>
      <c r="N43" s="6"/>
      <c r="O43" s="7"/>
      <c r="P43" s="7"/>
      <c r="Q43" s="207">
        <v>1.419</v>
      </c>
      <c r="R43" s="207">
        <v>1.6439999999999999</v>
      </c>
      <c r="S43" s="207">
        <v>2.157</v>
      </c>
      <c r="T43" s="166">
        <v>0</v>
      </c>
    </row>
    <row r="44" spans="1:20" ht="15" customHeight="1" thickBot="1">
      <c r="A44" s="41" t="s">
        <v>72</v>
      </c>
      <c r="B44" s="62">
        <f t="shared" ref="B44:D44" si="21">+B39+B43</f>
        <v>0</v>
      </c>
      <c r="C44" s="62">
        <f t="shared" si="21"/>
        <v>0</v>
      </c>
      <c r="D44" s="62">
        <f t="shared" si="21"/>
        <v>5.2848359999999488</v>
      </c>
      <c r="E44" s="62"/>
      <c r="F44" s="62"/>
      <c r="G44" s="62">
        <f>G39+G43</f>
        <v>10.14913</v>
      </c>
      <c r="H44" s="63">
        <f>H39+H43</f>
        <v>33.709999999999994</v>
      </c>
      <c r="I44" s="247">
        <f>I39+I43</f>
        <v>27.002999999999997</v>
      </c>
      <c r="J44" s="60">
        <f>J39+J43</f>
        <v>16.795000000000002</v>
      </c>
      <c r="L44" s="218" t="s">
        <v>83</v>
      </c>
      <c r="M44" s="219"/>
      <c r="N44" s="219"/>
      <c r="O44" s="220">
        <v>0</v>
      </c>
      <c r="P44" s="220"/>
      <c r="Q44" s="217">
        <v>76.911000000000001</v>
      </c>
      <c r="R44" s="217">
        <v>134.81700000000001</v>
      </c>
      <c r="S44" s="217">
        <v>136.93100000000001</v>
      </c>
      <c r="T44" s="166">
        <v>135.751</v>
      </c>
    </row>
    <row r="45" spans="1:20" ht="15" customHeight="1">
      <c r="A45" s="179"/>
      <c r="L45" s="223" t="s">
        <v>70</v>
      </c>
      <c r="M45" s="14"/>
      <c r="N45" s="14"/>
      <c r="O45" s="7">
        <v>187.46950000000001</v>
      </c>
      <c r="P45" s="25"/>
      <c r="Q45" s="207">
        <v>0.22800000000000001</v>
      </c>
      <c r="R45" s="207"/>
      <c r="S45" s="207">
        <v>1.0820000000000001</v>
      </c>
      <c r="T45" s="166">
        <v>0.7</v>
      </c>
    </row>
    <row r="46" spans="1:20" ht="15" customHeight="1" thickBot="1">
      <c r="A46" s="179"/>
      <c r="L46" s="208" t="s">
        <v>78</v>
      </c>
      <c r="M46" s="221"/>
      <c r="N46" s="221"/>
      <c r="O46" s="222">
        <v>238.38883100000001</v>
      </c>
      <c r="P46" s="222"/>
      <c r="Q46" s="206">
        <v>66.674000000000007</v>
      </c>
      <c r="R46" s="206">
        <v>69.385999999999996</v>
      </c>
      <c r="S46" s="206">
        <v>71.277000000000001</v>
      </c>
      <c r="T46" s="168">
        <v>30.803999999999998</v>
      </c>
    </row>
    <row r="47" spans="1:20" ht="15" customHeight="1">
      <c r="A47" s="44" t="s">
        <v>21</v>
      </c>
      <c r="B47" s="177" t="s">
        <v>31</v>
      </c>
      <c r="C47" s="177" t="s">
        <v>32</v>
      </c>
      <c r="D47" s="177" t="s">
        <v>33</v>
      </c>
      <c r="E47" s="177" t="s">
        <v>34</v>
      </c>
      <c r="F47" s="177" t="s">
        <v>35</v>
      </c>
      <c r="G47" s="45" t="s">
        <v>85</v>
      </c>
      <c r="H47" s="174" t="s">
        <v>90</v>
      </c>
      <c r="I47" s="2" t="s">
        <v>169</v>
      </c>
      <c r="J47" s="2" t="s">
        <v>223</v>
      </c>
      <c r="L47" s="33" t="s">
        <v>95</v>
      </c>
      <c r="M47" s="6"/>
      <c r="N47" s="6"/>
      <c r="O47" s="7"/>
      <c r="P47" s="25"/>
      <c r="Q47" s="7"/>
      <c r="R47" s="7">
        <v>0</v>
      </c>
      <c r="S47" s="25">
        <v>0</v>
      </c>
      <c r="T47" s="166">
        <v>0</v>
      </c>
    </row>
    <row r="48" spans="1:20" ht="15" customHeight="1">
      <c r="A48" s="32" t="s">
        <v>22</v>
      </c>
      <c r="B48" s="60">
        <f t="shared" ref="B48:D48" si="22">B21</f>
        <v>0</v>
      </c>
      <c r="C48" s="60">
        <f t="shared" si="22"/>
        <v>356.98752799999977</v>
      </c>
      <c r="D48" s="60">
        <f t="shared" si="22"/>
        <v>350.24746100000027</v>
      </c>
      <c r="E48" s="60"/>
      <c r="F48" s="60"/>
      <c r="G48" s="60">
        <v>80.569999999999993</v>
      </c>
      <c r="H48" s="153">
        <v>74.09</v>
      </c>
      <c r="I48" s="60">
        <v>35.61</v>
      </c>
      <c r="J48" s="60">
        <f>J21</f>
        <v>42.112999999999957</v>
      </c>
      <c r="L48" s="33"/>
      <c r="M48" s="6"/>
      <c r="N48" s="6"/>
      <c r="O48" s="7"/>
      <c r="P48" s="7"/>
      <c r="Q48" s="7"/>
      <c r="R48" s="7"/>
      <c r="S48" s="7"/>
    </row>
    <row r="49" spans="1:20" ht="15" customHeight="1">
      <c r="A49" s="33" t="s">
        <v>23</v>
      </c>
      <c r="B49" s="64">
        <f t="shared" ref="B49:D49" si="23">B18</f>
        <v>0</v>
      </c>
      <c r="C49" s="64">
        <f t="shared" si="23"/>
        <v>67.671909999999997</v>
      </c>
      <c r="D49" s="64">
        <f t="shared" si="23"/>
        <v>98.236097000000001</v>
      </c>
      <c r="E49" s="64"/>
      <c r="F49" s="64"/>
      <c r="G49" s="64">
        <v>7.2</v>
      </c>
      <c r="H49" s="170">
        <v>9.43</v>
      </c>
      <c r="I49" s="64">
        <v>12.23</v>
      </c>
      <c r="J49" s="64">
        <f>J18</f>
        <v>4.7919999999999998</v>
      </c>
      <c r="L49" s="32" t="s">
        <v>47</v>
      </c>
      <c r="M49" s="69">
        <f t="shared" ref="M49:S49" si="24">(M29-M41-M9)</f>
        <v>0</v>
      </c>
      <c r="N49" s="69">
        <f t="shared" si="24"/>
        <v>0</v>
      </c>
      <c r="O49" s="60">
        <f t="shared" si="24"/>
        <v>909.5639930000001</v>
      </c>
      <c r="P49" s="60">
        <f t="shared" si="24"/>
        <v>0</v>
      </c>
      <c r="Q49" s="60">
        <f t="shared" si="24"/>
        <v>280.56</v>
      </c>
      <c r="R49" s="60">
        <f t="shared" si="24"/>
        <v>204.68100000000004</v>
      </c>
      <c r="S49" s="60">
        <f t="shared" si="24"/>
        <v>212.8829999999999</v>
      </c>
      <c r="T49" s="167">
        <f>(T29-T41-T9)</f>
        <v>285.78800000000001</v>
      </c>
    </row>
    <row r="50" spans="1:20" ht="15" customHeight="1">
      <c r="A50" s="33" t="s">
        <v>24</v>
      </c>
      <c r="B50" s="64">
        <f t="shared" ref="B50:D50" si="25">B20</f>
        <v>0</v>
      </c>
      <c r="C50" s="64">
        <f t="shared" si="25"/>
        <v>0</v>
      </c>
      <c r="D50" s="64">
        <f t="shared" si="25"/>
        <v>0</v>
      </c>
      <c r="E50" s="64"/>
      <c r="F50" s="64"/>
      <c r="G50" s="64">
        <f>F20</f>
        <v>0</v>
      </c>
      <c r="H50" s="64">
        <f t="shared" ref="H50:I50" si="26">G20</f>
        <v>0</v>
      </c>
      <c r="I50" s="64">
        <f t="shared" si="26"/>
        <v>0</v>
      </c>
      <c r="J50" s="64">
        <v>0</v>
      </c>
      <c r="L50" s="33" t="s">
        <v>48</v>
      </c>
      <c r="M50" s="6"/>
      <c r="N50" s="6"/>
      <c r="O50" s="7">
        <v>62.554617999999998</v>
      </c>
      <c r="P50" s="7"/>
      <c r="Q50" s="206">
        <v>1.478</v>
      </c>
      <c r="R50" s="206">
        <v>3.65</v>
      </c>
      <c r="S50" s="206">
        <v>3.0379999999999998</v>
      </c>
      <c r="T50" s="168">
        <v>4.0759999999999996</v>
      </c>
    </row>
    <row r="51" spans="1:20" ht="15" customHeight="1">
      <c r="A51" s="33" t="s">
        <v>25</v>
      </c>
      <c r="B51" s="64"/>
      <c r="C51" s="64">
        <f>-((N49-M49)-(N34-M34))</f>
        <v>0</v>
      </c>
      <c r="D51" s="64">
        <f>-((O49-N49)-(O34-N34))</f>
        <v>-843.80331300000012</v>
      </c>
      <c r="E51" s="64"/>
      <c r="F51" s="64"/>
      <c r="G51" s="64">
        <f>[1]Sheet3!$C$63-[1]Sheet3!$B$63</f>
        <v>-75.878999999999962</v>
      </c>
      <c r="H51" s="170">
        <f>[1]Sheet3!$D$63-[1]Sheet3!$C$63</f>
        <v>8.2019999999998845</v>
      </c>
      <c r="I51" s="64">
        <f>[1]Sheet3!$E$63-[1]Sheet3!$D$63</f>
        <v>-183.80999999999989</v>
      </c>
      <c r="J51" s="64"/>
      <c r="L51" s="33" t="s">
        <v>84</v>
      </c>
      <c r="M51" s="6"/>
      <c r="N51" s="6"/>
      <c r="O51" s="25">
        <v>0</v>
      </c>
      <c r="P51" s="25"/>
      <c r="Q51" s="224">
        <v>24.913</v>
      </c>
      <c r="R51" s="224">
        <v>25.652999999999999</v>
      </c>
      <c r="S51" s="224">
        <v>10.250999999999999</v>
      </c>
      <c r="T51" s="168">
        <v>10.250999999999999</v>
      </c>
    </row>
    <row r="52" spans="1:20" ht="15" customHeight="1">
      <c r="A52" s="33" t="s">
        <v>26</v>
      </c>
      <c r="B52" s="64">
        <f t="shared" ref="B52:D52" si="27">-B22</f>
        <v>0</v>
      </c>
      <c r="C52" s="64">
        <f t="shared" si="27"/>
        <v>-91.853128999999996</v>
      </c>
      <c r="D52" s="64">
        <f t="shared" si="27"/>
        <v>-93.044796000000005</v>
      </c>
      <c r="E52" s="64"/>
      <c r="F52" s="64"/>
      <c r="G52" s="64">
        <v>19</v>
      </c>
      <c r="H52" s="170">
        <v>15.22</v>
      </c>
      <c r="I52" s="64">
        <v>-2.25</v>
      </c>
      <c r="J52" s="64">
        <f>J22</f>
        <v>6.2430000000000003</v>
      </c>
      <c r="L52" s="33" t="s">
        <v>181</v>
      </c>
      <c r="M52" s="6"/>
      <c r="N52" s="6"/>
      <c r="O52" s="25"/>
      <c r="P52" s="25"/>
      <c r="Q52" s="206">
        <v>8.4239999999999995</v>
      </c>
      <c r="R52" s="207">
        <v>6.78</v>
      </c>
      <c r="S52" s="207">
        <v>4.6230000000000002</v>
      </c>
      <c r="T52" s="166">
        <v>0</v>
      </c>
    </row>
    <row r="53" spans="1:20" ht="15" customHeight="1">
      <c r="A53" s="32" t="s">
        <v>27</v>
      </c>
      <c r="B53" s="60">
        <f t="shared" ref="B53:D53" si="28">SUM(B48:B52)</f>
        <v>0</v>
      </c>
      <c r="C53" s="60">
        <f t="shared" si="28"/>
        <v>332.80630899999983</v>
      </c>
      <c r="D53" s="60">
        <f t="shared" si="28"/>
        <v>-488.36455099999989</v>
      </c>
      <c r="E53" s="60"/>
      <c r="F53" s="60"/>
      <c r="G53" s="60">
        <f>G40</f>
        <v>-88.07</v>
      </c>
      <c r="H53" s="60">
        <f>H40</f>
        <v>20.079999999999998</v>
      </c>
      <c r="I53" s="60">
        <f>I40</f>
        <v>-8.9060000000000006</v>
      </c>
      <c r="J53" s="60">
        <f>J40</f>
        <v>115.023</v>
      </c>
      <c r="K53" s="19"/>
      <c r="L53" s="33" t="s">
        <v>71</v>
      </c>
      <c r="M53" s="6"/>
      <c r="N53" s="6"/>
      <c r="O53" s="25">
        <v>0</v>
      </c>
      <c r="P53" s="7"/>
      <c r="Q53" s="7"/>
      <c r="R53" s="222"/>
      <c r="S53" s="206">
        <v>0.247</v>
      </c>
      <c r="T53" s="166">
        <v>0</v>
      </c>
    </row>
    <row r="54" spans="1:20" ht="15" customHeight="1">
      <c r="A54" s="33" t="s">
        <v>28</v>
      </c>
      <c r="B54" s="64"/>
      <c r="C54" s="64">
        <f t="shared" ref="C54" si="29">-(N16-M16)</f>
        <v>0</v>
      </c>
      <c r="D54" s="74">
        <f t="shared" ref="D54" si="30">-(O14-N14)</f>
        <v>-1481.9677489999999</v>
      </c>
      <c r="E54" s="64"/>
      <c r="F54" s="64"/>
      <c r="G54" s="64">
        <f>-6.783+9.5</f>
        <v>2.7169999999999996</v>
      </c>
      <c r="H54" s="170">
        <f>-56.41+5.216</f>
        <v>-51.193999999999996</v>
      </c>
      <c r="I54" s="64">
        <f>(-35.08+4.91)/10</f>
        <v>-3.0169999999999999</v>
      </c>
      <c r="J54" s="64">
        <f>(1.02+0.27)/10</f>
        <v>0.129</v>
      </c>
      <c r="L54" s="33" t="s">
        <v>164</v>
      </c>
      <c r="M54" s="4"/>
      <c r="N54" s="4"/>
      <c r="O54" s="7"/>
      <c r="P54" s="7"/>
      <c r="Q54" s="7"/>
      <c r="R54" s="7"/>
      <c r="S54" s="7"/>
    </row>
    <row r="55" spans="1:20" ht="15" customHeight="1" thickBot="1">
      <c r="A55" s="41" t="s">
        <v>29</v>
      </c>
      <c r="B55" s="62">
        <f t="shared" ref="B55:D55" si="31">SUM(B53:B54)</f>
        <v>0</v>
      </c>
      <c r="C55" s="62">
        <f t="shared" si="31"/>
        <v>332.80630899999983</v>
      </c>
      <c r="D55" s="62">
        <f t="shared" si="31"/>
        <v>-1970.3322999999998</v>
      </c>
      <c r="E55" s="62"/>
      <c r="F55" s="62"/>
      <c r="G55" s="62">
        <f>G53-G54</f>
        <v>-90.786999999999992</v>
      </c>
      <c r="H55" s="175">
        <f>H53-H54</f>
        <v>71.274000000000001</v>
      </c>
      <c r="I55" s="60">
        <f>I53-I54</f>
        <v>-5.8890000000000011</v>
      </c>
      <c r="J55" s="60">
        <f>J53-J54</f>
        <v>114.89399999999999</v>
      </c>
      <c r="L55" s="32" t="s">
        <v>88</v>
      </c>
      <c r="M55" s="70">
        <f>SUM(M16:M27)+M29</f>
        <v>0</v>
      </c>
      <c r="N55" s="70">
        <f>SUM(N16:N27)+N29</f>
        <v>0</v>
      </c>
      <c r="O55" s="60">
        <f t="shared" ref="O55:T55" si="32">O15+O29</f>
        <v>3519.666577</v>
      </c>
      <c r="P55" s="60">
        <f t="shared" si="32"/>
        <v>0</v>
      </c>
      <c r="Q55" s="60">
        <f t="shared" si="32"/>
        <v>813.07300000000009</v>
      </c>
      <c r="R55" s="60">
        <f t="shared" si="32"/>
        <v>977.84100000000012</v>
      </c>
      <c r="S55" s="60">
        <f t="shared" si="32"/>
        <v>1014.7639999999999</v>
      </c>
      <c r="T55" s="167">
        <f t="shared" si="32"/>
        <v>911.96100000000001</v>
      </c>
    </row>
    <row r="56" spans="1:20" ht="15" customHeight="1" thickBot="1">
      <c r="A56" s="179" t="s">
        <v>30</v>
      </c>
      <c r="L56" s="41" t="s">
        <v>89</v>
      </c>
      <c r="M56" s="80">
        <f>M53+M41+M10+M6+M50+M51+M54</f>
        <v>0</v>
      </c>
      <c r="N56" s="80">
        <f>N53+N41+N10+N6+N50+N51+N54</f>
        <v>0</v>
      </c>
      <c r="O56" s="62">
        <f>O53+O41+O10+O6+O50+O51+O54</f>
        <v>3718.0106110000002</v>
      </c>
      <c r="P56" s="62">
        <f>P53+P41+P10+P6+P50+P51+P54</f>
        <v>0</v>
      </c>
      <c r="Q56" s="62">
        <f>Q53+Q41+Q10+Q6+Q50+Q51+Q54+Q52</f>
        <v>813.10099999999989</v>
      </c>
      <c r="R56" s="62">
        <f>R53+R41+R10+R6+R50+R51+R52+R54</f>
        <v>977.84599999999989</v>
      </c>
      <c r="S56" s="62">
        <f>S53+S41+S10+S6+S50+S51+S52+S54</f>
        <v>1014.7690000000001</v>
      </c>
      <c r="T56" s="62">
        <f>T53+T41+T10+T6+T50+T51+T52+T54</f>
        <v>911.96300000000008</v>
      </c>
    </row>
    <row r="57" spans="1:20" ht="15" customHeight="1" thickBot="1">
      <c r="A57" s="179"/>
      <c r="L57" s="19"/>
      <c r="M57" s="20"/>
      <c r="N57" s="20"/>
      <c r="O57" s="21"/>
      <c r="P57" s="21"/>
      <c r="Q57" s="21"/>
      <c r="R57" s="21"/>
      <c r="S57" s="20"/>
      <c r="T57" s="180"/>
    </row>
    <row r="58" spans="1:20" ht="15" customHeight="1" thickBot="1">
      <c r="A58" s="44" t="s">
        <v>21</v>
      </c>
      <c r="B58" s="177" t="s">
        <v>31</v>
      </c>
      <c r="C58" s="177" t="s">
        <v>32</v>
      </c>
      <c r="D58" s="177" t="s">
        <v>33</v>
      </c>
      <c r="E58" s="177" t="s">
        <v>34</v>
      </c>
      <c r="F58" s="177" t="s">
        <v>35</v>
      </c>
      <c r="G58" s="45" t="s">
        <v>85</v>
      </c>
      <c r="H58" s="174" t="s">
        <v>90</v>
      </c>
      <c r="I58" s="2" t="s">
        <v>169</v>
      </c>
      <c r="J58" s="239" t="s">
        <v>223</v>
      </c>
      <c r="L58" s="19"/>
      <c r="M58" s="20"/>
      <c r="N58" s="20"/>
      <c r="O58" s="21"/>
      <c r="P58" s="21"/>
      <c r="Q58" s="21"/>
      <c r="R58" s="21"/>
      <c r="S58" s="20"/>
      <c r="T58" s="180"/>
    </row>
    <row r="59" spans="1:20" ht="15" customHeight="1">
      <c r="A59" s="33" t="s">
        <v>73</v>
      </c>
      <c r="B59" s="26"/>
      <c r="C59" s="26"/>
      <c r="D59" s="26">
        <v>16743793</v>
      </c>
      <c r="E59" s="26"/>
      <c r="F59" s="26"/>
      <c r="G59" s="176">
        <v>14784000</v>
      </c>
      <c r="H59" s="176">
        <v>14784000</v>
      </c>
      <c r="I59" s="176">
        <v>14784000</v>
      </c>
      <c r="J59" s="176">
        <v>14784000</v>
      </c>
      <c r="L59" s="346" t="s">
        <v>101</v>
      </c>
      <c r="M59" s="347"/>
      <c r="N59" s="347"/>
      <c r="O59" s="347"/>
      <c r="P59" s="347"/>
      <c r="Q59" s="347"/>
      <c r="R59" s="347"/>
      <c r="S59" s="348"/>
    </row>
    <row r="60" spans="1:20" ht="15" customHeight="1">
      <c r="A60" s="32" t="s">
        <v>74</v>
      </c>
      <c r="B60" s="60">
        <f>B59*M61/1000000</f>
        <v>0</v>
      </c>
      <c r="C60" s="60">
        <f>C59*N61/1000000</f>
        <v>0</v>
      </c>
      <c r="D60" s="60">
        <f>D59*O61/1000000</f>
        <v>3414.0593927000004</v>
      </c>
      <c r="E60" s="60"/>
      <c r="F60" s="60"/>
      <c r="G60" s="60">
        <f>G59*R61/1000000</f>
        <v>606.14400000000001</v>
      </c>
      <c r="H60" s="153">
        <f>H59*S61/1000000</f>
        <v>576.57600000000002</v>
      </c>
      <c r="I60" s="60">
        <v>593.41</v>
      </c>
      <c r="J60" s="240">
        <f>J59*T61/1000000</f>
        <v>533.70240000000001</v>
      </c>
      <c r="L60" s="47" t="s">
        <v>50</v>
      </c>
      <c r="M60" s="22" t="s">
        <v>31</v>
      </c>
      <c r="N60" s="22" t="s">
        <v>32</v>
      </c>
      <c r="O60" s="23" t="s">
        <v>33</v>
      </c>
      <c r="P60" s="23" t="s">
        <v>34</v>
      </c>
      <c r="Q60" s="23" t="s">
        <v>85</v>
      </c>
      <c r="R60" s="24" t="s">
        <v>90</v>
      </c>
      <c r="S60" s="169" t="s">
        <v>169</v>
      </c>
      <c r="T60" s="169" t="s">
        <v>223</v>
      </c>
    </row>
    <row r="61" spans="1:20" ht="15" customHeight="1">
      <c r="A61" s="33" t="s">
        <v>77</v>
      </c>
      <c r="B61" s="64">
        <f t="shared" ref="B61:D61" si="33">M10</f>
        <v>0</v>
      </c>
      <c r="C61" s="64">
        <f t="shared" si="33"/>
        <v>0</v>
      </c>
      <c r="D61" s="64">
        <f t="shared" si="33"/>
        <v>870.02611300000001</v>
      </c>
      <c r="E61" s="64"/>
      <c r="F61" s="64"/>
      <c r="G61" s="64">
        <f>Q10</f>
        <v>36.939</v>
      </c>
      <c r="H61" s="170">
        <v>71.010000000000005</v>
      </c>
      <c r="I61" s="64">
        <v>87.52</v>
      </c>
      <c r="J61" s="64">
        <v>0</v>
      </c>
      <c r="L61" s="48" t="s">
        <v>51</v>
      </c>
      <c r="M61" s="17">
        <v>43.35</v>
      </c>
      <c r="N61" s="17">
        <v>76.599999999999994</v>
      </c>
      <c r="O61" s="5">
        <v>203.9</v>
      </c>
      <c r="P61" s="5">
        <v>31.55</v>
      </c>
      <c r="Q61" s="5">
        <v>73.400000000000006</v>
      </c>
      <c r="R61" s="5">
        <v>41</v>
      </c>
      <c r="S61" s="160">
        <v>39</v>
      </c>
      <c r="T61" s="181">
        <v>36.1</v>
      </c>
    </row>
    <row r="62" spans="1:20" ht="15" customHeight="1">
      <c r="A62" s="33" t="s">
        <v>75</v>
      </c>
      <c r="B62" s="64">
        <f t="shared" ref="B62:D62" si="34">M34</f>
        <v>0</v>
      </c>
      <c r="C62" s="64">
        <f t="shared" si="34"/>
        <v>0</v>
      </c>
      <c r="D62" s="64">
        <f t="shared" si="34"/>
        <v>65.760679999999994</v>
      </c>
      <c r="E62" s="64"/>
      <c r="F62" s="64"/>
      <c r="G62" s="64">
        <f>Q33+Q35</f>
        <v>66.286000000000001</v>
      </c>
      <c r="H62" s="64">
        <f t="shared" ref="H62:J62" si="35">R33+R35</f>
        <v>38.247</v>
      </c>
      <c r="I62" s="64">
        <f t="shared" si="35"/>
        <v>16.384</v>
      </c>
      <c r="J62" s="64">
        <f t="shared" si="35"/>
        <v>40.212000000000003</v>
      </c>
      <c r="L62" s="48" t="s">
        <v>52</v>
      </c>
      <c r="M62" s="75">
        <f t="shared" ref="M62:S62" si="36">B32</f>
        <v>0</v>
      </c>
      <c r="N62" s="75">
        <f t="shared" si="36"/>
        <v>15.83</v>
      </c>
      <c r="O62" s="60">
        <f t="shared" si="36"/>
        <v>13.99</v>
      </c>
      <c r="P62" s="60">
        <f t="shared" si="36"/>
        <v>0</v>
      </c>
      <c r="Q62" s="60">
        <f t="shared" si="36"/>
        <v>4.79</v>
      </c>
      <c r="R62" s="60">
        <f t="shared" si="36"/>
        <v>3.98</v>
      </c>
      <c r="S62" s="153">
        <f t="shared" si="36"/>
        <v>2.56</v>
      </c>
      <c r="T62" s="182">
        <f>J32</f>
        <v>2.4300000000000002</v>
      </c>
    </row>
    <row r="63" spans="1:20" ht="15" customHeight="1" thickBot="1">
      <c r="A63" s="41" t="s">
        <v>76</v>
      </c>
      <c r="B63" s="62">
        <f t="shared" ref="B63:H63" si="37">B60+B61-B62</f>
        <v>0</v>
      </c>
      <c r="C63" s="62">
        <f t="shared" si="37"/>
        <v>0</v>
      </c>
      <c r="D63" s="62">
        <f t="shared" si="37"/>
        <v>4218.3248257000005</v>
      </c>
      <c r="E63" s="62"/>
      <c r="F63" s="62"/>
      <c r="G63" s="62">
        <f t="shared" si="37"/>
        <v>576.79700000000003</v>
      </c>
      <c r="H63" s="175">
        <f t="shared" si="37"/>
        <v>609.33900000000006</v>
      </c>
      <c r="I63" s="60">
        <f>I60+I61-I62</f>
        <v>664.54599999999994</v>
      </c>
      <c r="J63" s="60">
        <f>J60+J61-J62</f>
        <v>493.49040000000002</v>
      </c>
      <c r="L63" s="49" t="s">
        <v>53</v>
      </c>
      <c r="M63" s="76" t="e">
        <f t="shared" ref="M63:S63" si="38">(M6*1000000)/B59</f>
        <v>#DIV/0!</v>
      </c>
      <c r="N63" s="76" t="e">
        <f t="shared" si="38"/>
        <v>#DIV/0!</v>
      </c>
      <c r="O63" s="64">
        <f t="shared" si="38"/>
        <v>125.07065131538594</v>
      </c>
      <c r="P63" s="64" t="e">
        <f t="shared" si="38"/>
        <v>#DIV/0!</v>
      </c>
      <c r="Q63" s="64" t="e">
        <f t="shared" si="38"/>
        <v>#DIV/0!</v>
      </c>
      <c r="R63" s="64">
        <f t="shared" si="38"/>
        <v>42.72104978354978</v>
      </c>
      <c r="S63" s="170">
        <f t="shared" si="38"/>
        <v>44.061620670995673</v>
      </c>
      <c r="T63" s="183">
        <f>(T6*1000000)/J59</f>
        <v>45.487892316017316</v>
      </c>
    </row>
    <row r="64" spans="1:20" ht="15" customHeight="1">
      <c r="A64" s="179"/>
      <c r="B64" s="1"/>
      <c r="C64" s="1"/>
      <c r="D64" s="1"/>
      <c r="E64" s="1"/>
      <c r="G64" s="1"/>
      <c r="H64" s="1"/>
      <c r="I64" s="1"/>
      <c r="J64" s="1"/>
      <c r="L64" s="49" t="s">
        <v>54</v>
      </c>
      <c r="M64" s="76"/>
      <c r="N64" s="76"/>
      <c r="O64" s="64">
        <v>2</v>
      </c>
      <c r="P64" s="64">
        <v>1.5</v>
      </c>
      <c r="Q64" s="64">
        <v>2</v>
      </c>
      <c r="R64" s="64">
        <v>0</v>
      </c>
      <c r="S64" s="170">
        <v>0</v>
      </c>
      <c r="T64" s="184">
        <v>0</v>
      </c>
    </row>
    <row r="65" spans="1:20" ht="15" customHeight="1">
      <c r="A65" s="179"/>
      <c r="B65" s="1"/>
      <c r="C65" s="1"/>
      <c r="D65" s="1"/>
      <c r="E65" s="1"/>
      <c r="G65" s="1"/>
      <c r="H65" s="1"/>
      <c r="I65" s="1"/>
      <c r="J65" s="1"/>
      <c r="L65" s="49" t="s">
        <v>55</v>
      </c>
      <c r="M65" s="76" t="e">
        <f t="shared" ref="M65:S65" si="39">(M61/M62)</f>
        <v>#DIV/0!</v>
      </c>
      <c r="N65" s="76">
        <f t="shared" si="39"/>
        <v>4.8389134554643078</v>
      </c>
      <c r="O65" s="64">
        <f t="shared" si="39"/>
        <v>14.574696211579701</v>
      </c>
      <c r="P65" s="64" t="e">
        <f t="shared" si="39"/>
        <v>#DIV/0!</v>
      </c>
      <c r="Q65" s="64">
        <f t="shared" si="39"/>
        <v>15.323590814196244</v>
      </c>
      <c r="R65" s="64">
        <f t="shared" si="39"/>
        <v>10.301507537688442</v>
      </c>
      <c r="S65" s="170">
        <f t="shared" si="39"/>
        <v>15.234375</v>
      </c>
      <c r="T65" s="183">
        <f t="shared" ref="T65" si="40">(T61/T62)</f>
        <v>14.8559670781893</v>
      </c>
    </row>
    <row r="66" spans="1:20" ht="15" customHeight="1">
      <c r="A66" s="179"/>
      <c r="B66" s="1"/>
      <c r="C66" s="1"/>
      <c r="D66" s="1"/>
      <c r="E66" s="1"/>
      <c r="G66" s="1"/>
      <c r="H66" s="1"/>
      <c r="I66" s="1"/>
      <c r="J66" s="1"/>
      <c r="L66" s="49" t="s">
        <v>56</v>
      </c>
      <c r="M66" s="76" t="e">
        <f t="shared" ref="M66:S66" si="41">(M61/M63)</f>
        <v>#DIV/0!</v>
      </c>
      <c r="N66" s="76" t="e">
        <f t="shared" si="41"/>
        <v>#DIV/0!</v>
      </c>
      <c r="O66" s="64">
        <f t="shared" si="41"/>
        <v>1.6302785494083105</v>
      </c>
      <c r="P66" s="64" t="e">
        <f t="shared" si="41"/>
        <v>#DIV/0!</v>
      </c>
      <c r="Q66" s="64" t="e">
        <f t="shared" si="41"/>
        <v>#DIV/0!</v>
      </c>
      <c r="R66" s="64">
        <f t="shared" si="41"/>
        <v>0.95971424409583472</v>
      </c>
      <c r="S66" s="170">
        <f t="shared" si="41"/>
        <v>0.88512404687085033</v>
      </c>
      <c r="T66" s="183">
        <f t="shared" ref="T66" si="42">(T61/T63)</f>
        <v>0.79361777743411455</v>
      </c>
    </row>
    <row r="67" spans="1:20" ht="15" customHeight="1">
      <c r="A67" s="179"/>
      <c r="B67" s="1"/>
      <c r="C67" s="1"/>
      <c r="D67" s="1"/>
      <c r="E67" s="1"/>
      <c r="G67" s="1"/>
      <c r="H67" s="1"/>
      <c r="I67" s="1"/>
      <c r="J67" s="1"/>
      <c r="L67" s="49" t="s">
        <v>57</v>
      </c>
      <c r="M67" s="76" t="e">
        <f t="shared" ref="M67:S67" si="43">B63/B13</f>
        <v>#DIV/0!</v>
      </c>
      <c r="N67" s="76">
        <f t="shared" si="43"/>
        <v>0</v>
      </c>
      <c r="O67" s="64">
        <f t="shared" si="43"/>
        <v>9.0594118689254337</v>
      </c>
      <c r="P67" s="64" t="e">
        <f t="shared" si="43"/>
        <v>#DIV/0!</v>
      </c>
      <c r="Q67" s="64">
        <f t="shared" si="43"/>
        <v>0</v>
      </c>
      <c r="R67" s="64">
        <f t="shared" si="43"/>
        <v>6.9695984726736659</v>
      </c>
      <c r="S67" s="170">
        <f t="shared" si="43"/>
        <v>10.568343826421742</v>
      </c>
      <c r="T67" s="183">
        <f>J63/J13</f>
        <v>11.390693380112651</v>
      </c>
    </row>
    <row r="68" spans="1:20" ht="15" customHeight="1">
      <c r="A68" s="179"/>
      <c r="B68" s="1"/>
      <c r="C68" s="1"/>
      <c r="D68" s="1"/>
      <c r="E68" s="1"/>
      <c r="G68" s="1"/>
      <c r="H68" s="1"/>
      <c r="I68" s="1"/>
      <c r="J68" s="1"/>
      <c r="L68" s="50" t="s">
        <v>58</v>
      </c>
      <c r="M68" s="58" t="e">
        <f t="shared" ref="M68:S68" si="44">(B24/M6)</f>
        <v>#DIV/0!</v>
      </c>
      <c r="N68" s="58" t="e">
        <f t="shared" si="44"/>
        <v>#DIV/0!</v>
      </c>
      <c r="O68" s="58">
        <f t="shared" si="44"/>
        <v>0.12281918366643887</v>
      </c>
      <c r="P68" s="58" t="e">
        <f t="shared" si="44"/>
        <v>#DIV/0!</v>
      </c>
      <c r="Q68" s="58">
        <f t="shared" si="44"/>
        <v>0.10584260248696892</v>
      </c>
      <c r="R68" s="58">
        <f t="shared" si="44"/>
        <v>9.3222163815652001E-2</v>
      </c>
      <c r="S68" s="161">
        <f t="shared" si="44"/>
        <v>5.8126486206012754E-2</v>
      </c>
      <c r="T68" s="185">
        <f>(J24/T6)</f>
        <v>5.3338845162700509E-2</v>
      </c>
    </row>
    <row r="69" spans="1:20" ht="15" customHeight="1">
      <c r="A69" s="179"/>
      <c r="L69" s="50" t="s">
        <v>59</v>
      </c>
      <c r="M69" s="58" t="e">
        <f>(B21+B19)/M11</f>
        <v>#DIV/0!</v>
      </c>
      <c r="N69" s="58" t="e">
        <f>(C21+C19)/N11</f>
        <v>#DIV/0!</v>
      </c>
      <c r="O69" s="58">
        <f>(D13-D18)/O11</f>
        <v>0.15818938110504371</v>
      </c>
      <c r="P69" s="58" t="e">
        <f>(E13-E18)/P11</f>
        <v>#DIV/0!</v>
      </c>
      <c r="Q69" s="58">
        <f>(F13-F18)/Q11</f>
        <v>0.12711928086358409</v>
      </c>
      <c r="R69" s="65">
        <f>(G13-G18)/R11</f>
        <v>0.10965926253802011</v>
      </c>
      <c r="S69" s="171">
        <f>(H13-H18)/S11</f>
        <v>6.7829714922268719E-2</v>
      </c>
      <c r="T69" s="186">
        <f>(J13-J18)/T11</f>
        <v>5.6102035467808085E-2</v>
      </c>
    </row>
    <row r="70" spans="1:20" ht="15" customHeight="1">
      <c r="A70" s="179"/>
      <c r="L70" s="49" t="s">
        <v>60</v>
      </c>
      <c r="M70" s="77" t="e">
        <f t="shared" ref="M70:S70" si="45">(M10/M6)</f>
        <v>#DIV/0!</v>
      </c>
      <c r="N70" s="77" t="e">
        <f t="shared" si="45"/>
        <v>#DIV/0!</v>
      </c>
      <c r="O70" s="64">
        <f t="shared" si="45"/>
        <v>0.41545408157860569</v>
      </c>
      <c r="P70" s="64" t="e">
        <f t="shared" si="45"/>
        <v>#DIV/0!</v>
      </c>
      <c r="Q70" s="64">
        <f t="shared" si="45"/>
        <v>6.3461003240137856E-2</v>
      </c>
      <c r="R70" s="64">
        <f t="shared" si="45"/>
        <v>0.11243405511187674</v>
      </c>
      <c r="S70" s="170">
        <f t="shared" si="45"/>
        <v>0.13435686137852371</v>
      </c>
      <c r="T70" s="183">
        <f>(T10/T6)</f>
        <v>0</v>
      </c>
    </row>
    <row r="71" spans="1:20" ht="15" customHeight="1">
      <c r="A71" s="179"/>
      <c r="L71" s="49" t="s">
        <v>61</v>
      </c>
      <c r="M71" s="77" t="e">
        <f t="shared" ref="M71:S71" si="46">(M10-M34)/M6</f>
        <v>#DIV/0!</v>
      </c>
      <c r="N71" s="77" t="e">
        <f t="shared" si="46"/>
        <v>#DIV/0!</v>
      </c>
      <c r="O71" s="64">
        <f t="shared" si="46"/>
        <v>0.38405210121829375</v>
      </c>
      <c r="P71" s="64" t="e">
        <f t="shared" si="46"/>
        <v>#DIV/0!</v>
      </c>
      <c r="Q71" s="64">
        <f t="shared" si="46"/>
        <v>6.3461003240137856E-2</v>
      </c>
      <c r="R71" s="64">
        <f t="shared" si="46"/>
        <v>0.11243405511187674</v>
      </c>
      <c r="S71" s="170">
        <f t="shared" si="46"/>
        <v>0.13435686137852371</v>
      </c>
      <c r="T71" s="183">
        <f>(T10-T34)/T6</f>
        <v>0</v>
      </c>
    </row>
    <row r="72" spans="1:20" ht="15" customHeight="1">
      <c r="A72" s="179"/>
      <c r="L72" s="49" t="s">
        <v>62</v>
      </c>
      <c r="M72" s="66">
        <f t="shared" ref="M72:S72" si="47">(M64/M61)</f>
        <v>0</v>
      </c>
      <c r="N72" s="66">
        <f t="shared" si="47"/>
        <v>0</v>
      </c>
      <c r="O72" s="66">
        <f t="shared" si="47"/>
        <v>9.8087297694948502E-3</v>
      </c>
      <c r="P72" s="66">
        <f t="shared" si="47"/>
        <v>4.7543581616481777E-2</v>
      </c>
      <c r="Q72" s="66">
        <f t="shared" si="47"/>
        <v>2.7247956403269751E-2</v>
      </c>
      <c r="R72" s="67">
        <f t="shared" si="47"/>
        <v>0</v>
      </c>
      <c r="S72" s="172">
        <f t="shared" si="47"/>
        <v>0</v>
      </c>
      <c r="T72" s="187">
        <f t="shared" ref="T72" si="48">(T64/T61)</f>
        <v>0</v>
      </c>
    </row>
    <row r="73" spans="1:20" ht="15" customHeight="1">
      <c r="A73" s="179"/>
      <c r="L73" s="49" t="s">
        <v>63</v>
      </c>
      <c r="M73" s="78"/>
      <c r="N73" s="79" t="e">
        <f>(AVERAGE(M32:N32)/#REF!*365)</f>
        <v>#DIV/0!</v>
      </c>
      <c r="O73" s="68">
        <f>(AVERAGE(N32:O32)/D4*365)</f>
        <v>142.5032338573908</v>
      </c>
      <c r="P73" s="68" t="e">
        <f>(AVERAGE(O32:P32)/E4*365)</f>
        <v>#DIV/0!</v>
      </c>
      <c r="Q73" s="68">
        <f>(AVERAGE(P32:Q32)/F4*365)</f>
        <v>82.751595249543456</v>
      </c>
      <c r="R73" s="68">
        <f>(AVERAGE(Q32:R32)/G4*365)</f>
        <v>76.552593819473358</v>
      </c>
      <c r="S73" s="173">
        <f>(AVERAGE(R32:S32)/H4*365)</f>
        <v>86.434337966885266</v>
      </c>
      <c r="T73" s="188">
        <f>(AVERAGE(S32:T32)/J4*365)</f>
        <v>164.88861618744431</v>
      </c>
    </row>
    <row r="74" spans="1:20" ht="15" customHeight="1">
      <c r="A74" s="179"/>
      <c r="L74" s="49" t="s">
        <v>64</v>
      </c>
      <c r="M74" s="78"/>
      <c r="N74" s="79" t="e">
        <f>AVERAGE(M42:N42)/(C8+C9)*365</f>
        <v>#DIV/0!</v>
      </c>
      <c r="O74" s="68">
        <f>AVERAGE(N42:O42)/(D8+D9)*365</f>
        <v>70.843661827859492</v>
      </c>
      <c r="P74" s="68" t="e">
        <f>AVERAGE(O42:P42)/(E8+E9)*365</f>
        <v>#DIV/0!</v>
      </c>
      <c r="Q74" s="68" t="e">
        <f>AVERAGE(P42:Q42)/(F8+F9)*365</f>
        <v>#DIV/0!</v>
      </c>
      <c r="R74" s="68" t="e">
        <f>AVERAGE(Q42:R42)/(G8+G9)*365</f>
        <v>#DIV/0!</v>
      </c>
      <c r="S74" s="173">
        <f>AVERAGE(R42:S42)/(H7)*365</f>
        <v>7.8286279787951694</v>
      </c>
      <c r="T74" s="188">
        <f>AVERAGE(S42:T42)/(J7)*365</f>
        <v>23.212555031100813</v>
      </c>
    </row>
    <row r="75" spans="1:20" ht="15" customHeight="1">
      <c r="A75" s="179"/>
      <c r="L75" s="49" t="s">
        <v>65</v>
      </c>
      <c r="M75" s="202"/>
      <c r="N75" s="190" t="e">
        <f>(AVERAGE(M30:N30)/(C8+C9)*365)</f>
        <v>#DIV/0!</v>
      </c>
      <c r="O75" s="26">
        <f>(AVERAGE(N30:O30)/(D8+D9)*365)</f>
        <v>219.998975817066</v>
      </c>
      <c r="P75" s="26" t="e">
        <f>(AVERAGE(O30:P30)/(E8+E9)*365)</f>
        <v>#DIV/0!</v>
      </c>
      <c r="Q75" s="26" t="e">
        <f>(AVERAGE(P30:Q30)/(F8+F9)*365)</f>
        <v>#DIV/0!</v>
      </c>
      <c r="R75" s="26" t="e">
        <f>(AVERAGE(Q30:R30)/(G8+G9)*365)</f>
        <v>#DIV/0!</v>
      </c>
      <c r="S75" s="191" t="e">
        <f>(AVERAGE(R30:S30)/(H7)*365)</f>
        <v>#DIV/0!</v>
      </c>
      <c r="T75" s="192" t="e">
        <f>(AVERAGE(S30:T30)/(I7)*365)</f>
        <v>#DIV/0!</v>
      </c>
    </row>
    <row r="76" spans="1:20" ht="15" customHeight="1">
      <c r="A76" s="179"/>
      <c r="L76" s="49" t="s">
        <v>81</v>
      </c>
      <c r="M76" s="190"/>
      <c r="N76" s="190" t="e">
        <f t="shared" ref="N76:R76" si="49">(N75+N73-N74)</f>
        <v>#DIV/0!</v>
      </c>
      <c r="O76" s="26">
        <f t="shared" si="49"/>
        <v>291.65854784659734</v>
      </c>
      <c r="P76" s="26" t="e">
        <f t="shared" si="49"/>
        <v>#DIV/0!</v>
      </c>
      <c r="Q76" s="26" t="e">
        <f t="shared" si="49"/>
        <v>#DIV/0!</v>
      </c>
      <c r="R76" s="26" t="e">
        <f t="shared" si="49"/>
        <v>#DIV/0!</v>
      </c>
      <c r="S76" s="191" t="e">
        <f t="shared" ref="S76" si="50">(S75+S73-S74)</f>
        <v>#DIV/0!</v>
      </c>
      <c r="T76" s="192" t="e">
        <f>(T75+T73-T74)</f>
        <v>#DIV/0!</v>
      </c>
    </row>
    <row r="77" spans="1:20" ht="15" customHeight="1">
      <c r="A77" s="179"/>
      <c r="L77" s="49" t="s">
        <v>66</v>
      </c>
      <c r="M77" s="190"/>
      <c r="N77" s="190" t="e">
        <f>AVERAGE(M49:N49)/#REF!*365</f>
        <v>#REF!</v>
      </c>
      <c r="O77" s="26">
        <f>AVERAGE(N49:O49)/D4*365</f>
        <v>55.60554900069603</v>
      </c>
      <c r="P77" s="26" t="e">
        <f>AVERAGE(O49:P49)/E4*365</f>
        <v>#DIV/0!</v>
      </c>
      <c r="Q77" s="26">
        <f>AVERAGE(P49:Q49)/F4*365</f>
        <v>30.31933414023511</v>
      </c>
      <c r="R77" s="26">
        <f>AVERAGE(Q49:R49)/G4*365</f>
        <v>46.138763832149515</v>
      </c>
      <c r="S77" s="191">
        <f>AVERAGE(R49:S49)/H4*365</f>
        <v>39.853478301797978</v>
      </c>
      <c r="T77" s="192" t="e">
        <f>AVERAGE(S48:T48)/I4*365</f>
        <v>#DIV/0!</v>
      </c>
    </row>
    <row r="78" spans="1:20" ht="15" customHeight="1" thickBot="1">
      <c r="A78" s="197"/>
      <c r="B78" s="189"/>
      <c r="C78" s="189"/>
      <c r="D78" s="189"/>
      <c r="E78" s="189"/>
      <c r="F78" s="198"/>
      <c r="G78" s="189"/>
      <c r="H78" s="189"/>
      <c r="I78" s="189"/>
      <c r="J78" s="189"/>
      <c r="K78" s="198"/>
      <c r="L78" s="51" t="s">
        <v>86</v>
      </c>
      <c r="M78" s="193"/>
      <c r="N78" s="194" t="e">
        <f>C19/N10</f>
        <v>#DIV/0!</v>
      </c>
      <c r="O78" s="194">
        <f>D19/O10</f>
        <v>0.15133434736343368</v>
      </c>
      <c r="P78" s="194" t="e">
        <f>E19/P10</f>
        <v>#DIV/0!</v>
      </c>
      <c r="Q78" s="194">
        <f>F19/Q10</f>
        <v>0.27827878394109207</v>
      </c>
      <c r="R78" s="194">
        <v>0</v>
      </c>
      <c r="S78" s="195">
        <v>0</v>
      </c>
      <c r="T78" s="196">
        <v>0</v>
      </c>
    </row>
    <row r="79" spans="1:20" ht="15" customHeight="1" thickBot="1">
      <c r="L79" s="35" t="s">
        <v>106</v>
      </c>
      <c r="M79" s="36"/>
      <c r="N79" s="36"/>
      <c r="O79" s="199">
        <f>(D13-D18)/D19</f>
        <v>2.7903646314550494</v>
      </c>
      <c r="P79" s="199" t="e">
        <f>(E13-E18)/E19</f>
        <v>#DIV/0!</v>
      </c>
      <c r="Q79" s="199">
        <f>(F13-F18)/F19</f>
        <v>7.6537274766667851</v>
      </c>
      <c r="R79" s="199">
        <f>(G13-G18)/G19</f>
        <v>6.4695191883546554</v>
      </c>
      <c r="S79" s="200">
        <f>(H13-H18)/H19</f>
        <v>2.8372267332917018</v>
      </c>
      <c r="T79" s="201">
        <f>(J13-J18)/J19</f>
        <v>11.081967213114741</v>
      </c>
    </row>
    <row r="81" spans="13:16" ht="15" customHeight="1">
      <c r="M81" s="28"/>
      <c r="N81" s="28"/>
      <c r="O81" s="28"/>
      <c r="P81" s="28"/>
    </row>
    <row r="93" spans="13:16" ht="15" customHeight="1">
      <c r="M93" s="1"/>
    </row>
    <row r="94" spans="13:16" ht="15" customHeight="1">
      <c r="M94" s="1"/>
    </row>
    <row r="95" spans="13:16" ht="15" customHeight="1">
      <c r="M95" s="1"/>
    </row>
    <row r="96" spans="13:16" ht="15" customHeight="1">
      <c r="M96" s="29"/>
    </row>
  </sheetData>
  <mergeCells count="5">
    <mergeCell ref="L59:S59"/>
    <mergeCell ref="A37:H37"/>
    <mergeCell ref="A2:I2"/>
    <mergeCell ref="A1:T1"/>
    <mergeCell ref="L2:T2"/>
  </mergeCells>
  <phoneticPr fontId="21" type="noConversion"/>
  <printOptions horizontalCentered="1"/>
  <pageMargins left="0.23622047244094491" right="0.23622047244094491" top="0.23622047244094491" bottom="0.23622047244094491" header="0.31496062992125984" footer="0.31496062992125984"/>
  <pageSetup paperSize="9" scale="49" orientation="landscape" horizontalDpi="1200" verticalDpi="1200" r:id="rId1"/>
  <ignoredErrors>
    <ignoredError sqref="L78:Q78 L73:N75 K7:S7 K9:O9 L10:S10 M15:N15 L57:S59 L55:N55 L41:S41 D35:H36 M19:O19 L31:N31 L29:O29 L30:O30 M22:N22 M23:O23 S31 L32:O32 M54:P54 L51:O51 L12:Q12 D4 E30:H30 D64:H69 L62:S63 L61 L76:R76 L72:R72 L65:S68 B27:C28 D45:H47 L48:S49 L42:O42 L64:N64 D38:H38 M38:N39 D29:H29 D56:H58 D52:D53 D14:H14 D27 D22 E33:H33 M37:O37 M36:O36 L47:O47 L44:O44 M53:O53 D48:D50 D55 D7:H7 D6:G6 D15:G15 E31:G31 D34:G34 D23:H23 B14:C15 B22:C24 B21 L77:N77 L70:S71 L69:O69 Q69:S69 B11:D12 D44 B5:C9 B20:F20 D8:D9 K14:K69 M34:O34 L16:O16 M20:O20 M24:O24 M25:O25 L56:P56 K8:O8 L45:O45 L46:O46 L50:O50 K12:K13 K11 B18:D19 D39 D40 D41 D42 D43 D60:D63 D24 F24:H24 G63:H63 G60 L11:P11 L60:P60" evalError="1"/>
    <ignoredError sqref="O74:R75" evalError="1" formulaRange="1"/>
    <ignoredError sqref="S5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04"/>
  <sheetViews>
    <sheetView tabSelected="1" zoomScale="85" zoomScaleNormal="85" zoomScaleSheetLayoutView="85" workbookViewId="0">
      <selection activeCell="AE4" sqref="AE4"/>
    </sheetView>
  </sheetViews>
  <sheetFormatPr defaultColWidth="9.140625" defaultRowHeight="15" customHeight="1"/>
  <cols>
    <col min="1" max="1" width="50.85546875" style="400" customWidth="1"/>
    <col min="2" max="5" width="12.5703125" style="282" hidden="1" customWidth="1"/>
    <col min="6" max="6" width="21.42578125" style="418" customWidth="1"/>
    <col min="7" max="7" width="15.5703125" style="435" customWidth="1"/>
    <col min="8" max="8" width="16.5703125" style="435" customWidth="1"/>
    <col min="9" max="9" width="15.5703125" style="445" customWidth="1"/>
    <col min="10" max="10" width="17.28515625" style="445" customWidth="1"/>
    <col min="11" max="13" width="16.140625" style="435" customWidth="1"/>
    <col min="14" max="14" width="4.7109375" style="273" customWidth="1"/>
    <col min="15" max="15" width="44.42578125" style="400" bestFit="1" customWidth="1"/>
    <col min="16" max="19" width="12.5703125" style="282" hidden="1" customWidth="1"/>
    <col min="20" max="20" width="13" style="418" bestFit="1" customWidth="1"/>
    <col min="21" max="21" width="13.28515625" style="487" customWidth="1"/>
    <col min="22" max="22" width="14.85546875" style="418" customWidth="1"/>
    <col min="23" max="23" width="13.140625" style="269" hidden="1" customWidth="1"/>
    <col min="24" max="24" width="8.7109375" style="269" hidden="1" customWidth="1"/>
    <col min="25" max="25" width="13.5703125" style="418" customWidth="1"/>
    <col min="26" max="26" width="13" style="418" customWidth="1"/>
    <col min="27" max="29" width="15.140625" style="418" customWidth="1"/>
    <col min="30" max="30" width="13.140625" style="269" customWidth="1"/>
    <col min="31" max="31" width="10.140625" style="269" bestFit="1" customWidth="1"/>
    <col min="32" max="32" width="9.140625" style="269"/>
    <col min="33" max="33" width="9.5703125" style="269" bestFit="1" customWidth="1"/>
    <col min="34" max="34" width="10.7109375" style="269" bestFit="1" customWidth="1"/>
    <col min="35" max="16384" width="9.140625" style="269"/>
  </cols>
  <sheetData>
    <row r="1" spans="1:36" ht="15" customHeight="1" thickBot="1">
      <c r="A1" s="364" t="s">
        <v>184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6"/>
      <c r="P1" s="366"/>
      <c r="Q1" s="366"/>
      <c r="R1" s="366"/>
      <c r="S1" s="366"/>
      <c r="T1" s="366"/>
      <c r="U1" s="366"/>
      <c r="V1" s="366"/>
      <c r="W1" s="366"/>
      <c r="X1" s="366"/>
      <c r="Y1" s="366"/>
      <c r="Z1" s="366"/>
      <c r="AA1" s="366"/>
      <c r="AB1" s="491"/>
      <c r="AC1" s="491"/>
    </row>
    <row r="2" spans="1:36" ht="15" customHeight="1">
      <c r="A2" s="370" t="s">
        <v>104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12"/>
      <c r="O2" s="367" t="s">
        <v>105</v>
      </c>
      <c r="P2" s="367"/>
      <c r="Q2" s="367"/>
      <c r="R2" s="367"/>
      <c r="S2" s="367"/>
      <c r="T2" s="367"/>
      <c r="U2" s="367"/>
      <c r="V2" s="367"/>
      <c r="W2" s="367"/>
      <c r="X2" s="367"/>
      <c r="Y2" s="367"/>
      <c r="Z2" s="367"/>
      <c r="AA2" s="367"/>
      <c r="AB2" s="492"/>
      <c r="AC2" s="492"/>
      <c r="AD2" s="301"/>
      <c r="AE2" s="301"/>
      <c r="AF2" s="301"/>
      <c r="AG2" s="301"/>
      <c r="AH2" s="301"/>
      <c r="AI2" s="301"/>
      <c r="AJ2" s="301"/>
    </row>
    <row r="3" spans="1:36" ht="15" customHeight="1">
      <c r="A3" s="391" t="s">
        <v>0</v>
      </c>
      <c r="B3" s="321" t="s">
        <v>31</v>
      </c>
      <c r="C3" s="321" t="s">
        <v>32</v>
      </c>
      <c r="D3" s="321" t="s">
        <v>33</v>
      </c>
      <c r="E3" s="321"/>
      <c r="F3" s="320" t="s">
        <v>85</v>
      </c>
      <c r="G3" s="430" t="s">
        <v>90</v>
      </c>
      <c r="H3" s="430" t="s">
        <v>169</v>
      </c>
      <c r="I3" s="430" t="s">
        <v>224</v>
      </c>
      <c r="J3" s="430" t="s">
        <v>229</v>
      </c>
      <c r="K3" s="430" t="s">
        <v>232</v>
      </c>
      <c r="L3" s="430" t="s">
        <v>233</v>
      </c>
      <c r="M3" s="430" t="s">
        <v>235</v>
      </c>
      <c r="N3" s="312"/>
      <c r="O3" s="391" t="s">
        <v>0</v>
      </c>
      <c r="P3" s="320" t="s">
        <v>31</v>
      </c>
      <c r="Q3" s="320" t="s">
        <v>32</v>
      </c>
      <c r="R3" s="321" t="s">
        <v>33</v>
      </c>
      <c r="S3" s="321"/>
      <c r="T3" s="320" t="s">
        <v>85</v>
      </c>
      <c r="U3" s="486" t="s">
        <v>90</v>
      </c>
      <c r="V3" s="430" t="s">
        <v>169</v>
      </c>
      <c r="W3" s="322" t="s">
        <v>222</v>
      </c>
      <c r="X3" s="322" t="s">
        <v>223</v>
      </c>
      <c r="Y3" s="430" t="s">
        <v>224</v>
      </c>
      <c r="Z3" s="489" t="s">
        <v>229</v>
      </c>
      <c r="AA3" s="489" t="s">
        <v>232</v>
      </c>
      <c r="AB3" s="489" t="s">
        <v>233</v>
      </c>
      <c r="AC3" s="489" t="s">
        <v>235</v>
      </c>
    </row>
    <row r="4" spans="1:36" ht="15" customHeight="1">
      <c r="A4" s="392" t="s">
        <v>1</v>
      </c>
      <c r="B4" s="270"/>
      <c r="C4" s="270">
        <v>2920.9041130000001</v>
      </c>
      <c r="D4" s="270">
        <v>2966.155182</v>
      </c>
      <c r="E4" s="270"/>
      <c r="F4" s="390">
        <v>1734.84</v>
      </c>
      <c r="G4" s="389">
        <v>2060.38</v>
      </c>
      <c r="H4" s="389">
        <v>2180.5</v>
      </c>
      <c r="I4" s="389">
        <v>2017.856</v>
      </c>
      <c r="J4" s="389">
        <v>2885.471</v>
      </c>
      <c r="K4" s="389">
        <v>4365.2190000000001</v>
      </c>
      <c r="L4" s="389">
        <v>4061.4659999999999</v>
      </c>
      <c r="M4" s="389">
        <v>5103.8900000000003</v>
      </c>
      <c r="N4" s="313"/>
      <c r="O4" s="395" t="s">
        <v>36</v>
      </c>
      <c r="P4" s="271"/>
      <c r="Q4" s="271"/>
      <c r="R4" s="271">
        <v>317.43792999999999</v>
      </c>
      <c r="S4" s="271"/>
      <c r="T4" s="474">
        <v>147.84</v>
      </c>
      <c r="U4" s="474">
        <v>147.84</v>
      </c>
      <c r="V4" s="474">
        <v>147.84</v>
      </c>
      <c r="W4" s="378">
        <v>147.84</v>
      </c>
      <c r="X4" s="378">
        <v>147.84</v>
      </c>
      <c r="Y4" s="488">
        <v>147.84</v>
      </c>
      <c r="Z4" s="488">
        <v>147.84</v>
      </c>
      <c r="AA4" s="490">
        <v>147.84</v>
      </c>
      <c r="AB4" s="490">
        <v>147.84</v>
      </c>
      <c r="AC4" s="490">
        <v>148.107</v>
      </c>
    </row>
    <row r="5" spans="1:36" ht="15" customHeight="1">
      <c r="A5" s="393" t="s">
        <v>2</v>
      </c>
      <c r="B5" s="330"/>
      <c r="C5" s="272" t="e">
        <f>(#REF!/#REF!-1)</f>
        <v>#REF!</v>
      </c>
      <c r="D5" s="272">
        <f>(D4/C4-1)</f>
        <v>1.5492144640627536E-2</v>
      </c>
      <c r="E5" s="272"/>
      <c r="F5" s="335"/>
      <c r="G5" s="335">
        <f t="shared" ref="G5:M5" si="0">(G4/F4-1)</f>
        <v>0.18764842867353781</v>
      </c>
      <c r="H5" s="335">
        <f t="shared" si="0"/>
        <v>5.8299925256505958E-2</v>
      </c>
      <c r="I5" s="335">
        <f t="shared" si="0"/>
        <v>-7.4590231598257284E-2</v>
      </c>
      <c r="J5" s="335">
        <f t="shared" si="0"/>
        <v>0.42996873909733901</v>
      </c>
      <c r="K5" s="335">
        <f t="shared" si="0"/>
        <v>0.51282719528284981</v>
      </c>
      <c r="L5" s="335">
        <f>(L4/K4-1)</f>
        <v>-6.9584824953799584E-2</v>
      </c>
      <c r="M5" s="335">
        <f>(M4/L4-1)</f>
        <v>0.25666200332589284</v>
      </c>
      <c r="N5" s="314"/>
      <c r="O5" s="395" t="s">
        <v>37</v>
      </c>
      <c r="P5" s="271"/>
      <c r="Q5" s="271"/>
      <c r="R5" s="271">
        <v>1754.3154099999999</v>
      </c>
      <c r="S5" s="271"/>
      <c r="T5" s="474">
        <v>473.56400000000002</v>
      </c>
      <c r="U5" s="474">
        <v>553.95299999999997</v>
      </c>
      <c r="V5" s="474">
        <v>615.40200000000004</v>
      </c>
      <c r="W5" s="378">
        <v>644.03200000000004</v>
      </c>
      <c r="X5" s="378">
        <v>645.50400000000002</v>
      </c>
      <c r="Y5" s="488">
        <v>702.88</v>
      </c>
      <c r="Z5" s="488">
        <v>799.05100000000004</v>
      </c>
      <c r="AA5" s="490">
        <v>932.75599999999997</v>
      </c>
      <c r="AB5" s="490">
        <v>1019.168</v>
      </c>
      <c r="AC5" s="490">
        <v>1105.127</v>
      </c>
    </row>
    <row r="6" spans="1:36" ht="15.75">
      <c r="A6" s="394" t="s">
        <v>113</v>
      </c>
      <c r="B6" s="331"/>
      <c r="C6" s="274"/>
      <c r="D6" s="274"/>
      <c r="E6" s="274"/>
      <c r="F6" s="335"/>
      <c r="G6" s="431"/>
      <c r="H6" s="335">
        <f>+((H4/F4)^(1/2)-1)</f>
        <v>0.12111027258526708</v>
      </c>
      <c r="I6" s="335">
        <f>+((I4/F4)^(1/3)-1)</f>
        <v>5.1663774413412078E-2</v>
      </c>
      <c r="J6" s="335">
        <f>+((J4/G4)^(1/3)-1)</f>
        <v>0.11881031762899785</v>
      </c>
      <c r="K6" s="335">
        <f>+((K4/H4)^(1/3)-1)</f>
        <v>0.26032721771996514</v>
      </c>
      <c r="L6" s="335">
        <f>+((L4/I4)^(1/3)-1)</f>
        <v>0.26259544190561512</v>
      </c>
      <c r="M6" s="335">
        <f>+((M4/J4)^(1/3)-1)</f>
        <v>0.20937651474755303</v>
      </c>
      <c r="N6" s="314"/>
      <c r="O6" s="396" t="s">
        <v>38</v>
      </c>
      <c r="P6" s="276">
        <f t="shared" ref="P6:AA6" si="1">(P4+P5)</f>
        <v>0</v>
      </c>
      <c r="Q6" s="276">
        <f t="shared" si="1"/>
        <v>0</v>
      </c>
      <c r="R6" s="276">
        <f t="shared" si="1"/>
        <v>2071.7533399999998</v>
      </c>
      <c r="S6" s="276">
        <f t="shared" si="1"/>
        <v>0</v>
      </c>
      <c r="T6" s="475">
        <f t="shared" si="1"/>
        <v>621.404</v>
      </c>
      <c r="U6" s="475">
        <f>(U4+U5)</f>
        <v>701.79300000000001</v>
      </c>
      <c r="V6" s="475">
        <f t="shared" si="1"/>
        <v>763.24200000000008</v>
      </c>
      <c r="W6" s="379">
        <f t="shared" si="1"/>
        <v>791.87200000000007</v>
      </c>
      <c r="X6" s="379">
        <f t="shared" si="1"/>
        <v>793.34400000000005</v>
      </c>
      <c r="Y6" s="475">
        <f t="shared" si="1"/>
        <v>850.72</v>
      </c>
      <c r="Z6" s="475">
        <f t="shared" si="1"/>
        <v>946.89100000000008</v>
      </c>
      <c r="AA6" s="475">
        <f t="shared" si="1"/>
        <v>1080.596</v>
      </c>
      <c r="AB6" s="475">
        <f>(AB4+AB5)</f>
        <v>1167.008</v>
      </c>
      <c r="AC6" s="475">
        <f>(AC4+AC5)</f>
        <v>1253.2339999999999</v>
      </c>
    </row>
    <row r="7" spans="1:36" ht="15" customHeight="1">
      <c r="A7" s="392" t="s">
        <v>3</v>
      </c>
      <c r="B7" s="276">
        <f>SUM(B8:B12)</f>
        <v>0</v>
      </c>
      <c r="C7" s="276">
        <f>SUM(C8:C12)</f>
        <v>1231.5903639999999</v>
      </c>
      <c r="D7" s="276">
        <f>SUM(D8:D12)</f>
        <v>1196.7748139999999</v>
      </c>
      <c r="E7" s="276"/>
      <c r="F7" s="338">
        <f t="shared" ref="F7:I7" si="2">SUM(F8:F12)</f>
        <v>1636.807407</v>
      </c>
      <c r="G7" s="338">
        <f t="shared" si="2"/>
        <v>1950.24</v>
      </c>
      <c r="H7" s="338">
        <f t="shared" si="2"/>
        <v>2088.48</v>
      </c>
      <c r="I7" s="338">
        <f t="shared" si="2"/>
        <v>1922.335</v>
      </c>
      <c r="J7" s="338">
        <f>SUM(J8:J12)</f>
        <v>2758.2040000000002</v>
      </c>
      <c r="K7" s="338">
        <f>SUM(K8:K12)</f>
        <v>4183.1120000000001</v>
      </c>
      <c r="L7" s="338">
        <f>SUM(L8:L12)</f>
        <v>3936.3159999999998</v>
      </c>
      <c r="M7" s="338">
        <f>SUM(M8:M12)</f>
        <v>4969.9610000000002</v>
      </c>
      <c r="N7" s="315"/>
      <c r="O7" s="395" t="s">
        <v>39</v>
      </c>
      <c r="P7" s="271">
        <v>0</v>
      </c>
      <c r="Q7" s="271"/>
      <c r="R7" s="271"/>
      <c r="S7" s="271"/>
      <c r="T7" s="476"/>
      <c r="U7" s="476"/>
      <c r="V7" s="476"/>
      <c r="W7" s="380"/>
      <c r="X7" s="380"/>
      <c r="Y7" s="488"/>
      <c r="Z7" s="488"/>
      <c r="AA7" s="488"/>
      <c r="AB7" s="488"/>
      <c r="AC7" s="488"/>
    </row>
    <row r="8" spans="1:36" ht="15" customHeight="1">
      <c r="A8" s="395"/>
      <c r="B8" s="271"/>
      <c r="C8" s="271"/>
      <c r="D8" s="271"/>
      <c r="E8" s="271"/>
      <c r="F8" s="339"/>
      <c r="G8" s="339"/>
      <c r="H8" s="339"/>
      <c r="I8" s="341"/>
      <c r="J8" s="341"/>
      <c r="K8" s="339"/>
      <c r="L8" s="339"/>
      <c r="M8" s="339"/>
      <c r="N8" s="315"/>
      <c r="O8" s="395" t="s">
        <v>40</v>
      </c>
      <c r="P8" s="271"/>
      <c r="Q8" s="271"/>
      <c r="R8" s="271">
        <v>165.77601200000001</v>
      </c>
      <c r="S8" s="271"/>
      <c r="T8" s="474">
        <v>2.645</v>
      </c>
      <c r="U8" s="474">
        <v>1.7210000000000001</v>
      </c>
      <c r="V8" s="474">
        <v>0.83799999999999997</v>
      </c>
      <c r="W8" s="380">
        <v>0.72699999999999998</v>
      </c>
      <c r="X8" s="380">
        <v>0</v>
      </c>
      <c r="Y8" s="488">
        <v>0</v>
      </c>
      <c r="Z8" s="488">
        <v>0</v>
      </c>
      <c r="AA8" s="490">
        <v>0</v>
      </c>
      <c r="AB8" s="490">
        <v>0</v>
      </c>
      <c r="AC8" s="490">
        <v>33.295999999999999</v>
      </c>
    </row>
    <row r="9" spans="1:36" ht="15" customHeight="1">
      <c r="A9" s="395"/>
      <c r="B9" s="271"/>
      <c r="C9" s="271"/>
      <c r="D9" s="271"/>
      <c r="E9" s="271"/>
      <c r="F9" s="339"/>
      <c r="G9" s="339"/>
      <c r="H9" s="339"/>
      <c r="I9" s="341"/>
      <c r="J9" s="341"/>
      <c r="K9" s="339"/>
      <c r="L9" s="339"/>
      <c r="M9" s="339"/>
      <c r="N9" s="314"/>
      <c r="O9" s="395" t="s">
        <v>41</v>
      </c>
      <c r="P9" s="271"/>
      <c r="Q9" s="271"/>
      <c r="R9" s="271">
        <v>704.25010099999997</v>
      </c>
      <c r="S9" s="271"/>
      <c r="T9" s="477">
        <v>34.918999999999997</v>
      </c>
      <c r="U9" s="477">
        <v>69.956999999999994</v>
      </c>
      <c r="V9" s="477">
        <v>87.41</v>
      </c>
      <c r="W9" s="380">
        <v>6.931</v>
      </c>
      <c r="X9" s="380">
        <v>0</v>
      </c>
      <c r="Y9" s="488">
        <v>35.26</v>
      </c>
      <c r="Z9" s="488">
        <v>64.302999999999997</v>
      </c>
      <c r="AA9" s="490">
        <v>34.03</v>
      </c>
      <c r="AB9" s="490">
        <v>97.510999999999996</v>
      </c>
      <c r="AC9" s="490">
        <v>234.51599999999999</v>
      </c>
    </row>
    <row r="10" spans="1:36" ht="15" customHeight="1">
      <c r="A10" s="395"/>
      <c r="B10" s="271"/>
      <c r="C10" s="271"/>
      <c r="D10" s="271"/>
      <c r="E10" s="271"/>
      <c r="F10" s="339"/>
      <c r="G10" s="339"/>
      <c r="H10" s="339"/>
      <c r="I10" s="341"/>
      <c r="J10" s="341"/>
      <c r="K10" s="339"/>
      <c r="L10" s="339"/>
      <c r="M10" s="339"/>
      <c r="N10" s="314"/>
      <c r="O10" s="396" t="s">
        <v>42</v>
      </c>
      <c r="P10" s="276">
        <f t="shared" ref="P10:AB10" si="3">(P8+P9)</f>
        <v>0</v>
      </c>
      <c r="Q10" s="276">
        <f t="shared" si="3"/>
        <v>0</v>
      </c>
      <c r="R10" s="276">
        <f t="shared" si="3"/>
        <v>870.02611300000001</v>
      </c>
      <c r="S10" s="276">
        <f t="shared" si="3"/>
        <v>0</v>
      </c>
      <c r="T10" s="475">
        <f t="shared" si="3"/>
        <v>37.564</v>
      </c>
      <c r="U10" s="475">
        <f>(U8+U9)</f>
        <v>71.677999999999997</v>
      </c>
      <c r="V10" s="475">
        <f t="shared" si="3"/>
        <v>88.24799999999999</v>
      </c>
      <c r="W10" s="379">
        <f t="shared" si="3"/>
        <v>7.6580000000000004</v>
      </c>
      <c r="X10" s="379">
        <f t="shared" si="3"/>
        <v>0</v>
      </c>
      <c r="Y10" s="475">
        <f t="shared" si="3"/>
        <v>35.26</v>
      </c>
      <c r="Z10" s="475">
        <f t="shared" si="3"/>
        <v>64.302999999999997</v>
      </c>
      <c r="AA10" s="475">
        <f t="shared" si="3"/>
        <v>34.03</v>
      </c>
      <c r="AB10" s="475">
        <f>(AB8+AB9)</f>
        <v>97.510999999999996</v>
      </c>
      <c r="AC10" s="475">
        <f>(AC8+AC9)</f>
        <v>267.81200000000001</v>
      </c>
    </row>
    <row r="11" spans="1:36" ht="15" customHeight="1">
      <c r="A11" s="395" t="s">
        <v>67</v>
      </c>
      <c r="B11" s="271"/>
      <c r="C11" s="271">
        <v>256.98030299999999</v>
      </c>
      <c r="D11" s="271">
        <v>350.77166899999997</v>
      </c>
      <c r="E11" s="271"/>
      <c r="F11" s="388">
        <v>1602.8661629999999</v>
      </c>
      <c r="G11" s="432">
        <v>1430.47</v>
      </c>
      <c r="H11" s="432">
        <v>1467.3</v>
      </c>
      <c r="I11" s="388">
        <v>1570.665</v>
      </c>
      <c r="J11" s="388">
        <v>2166.5920000000001</v>
      </c>
      <c r="K11" s="388">
        <v>2916.0520000000001</v>
      </c>
      <c r="L11" s="388">
        <v>2934.7269999999999</v>
      </c>
      <c r="M11" s="388">
        <v>3768.723</v>
      </c>
      <c r="N11" s="314"/>
      <c r="O11" s="396" t="s">
        <v>43</v>
      </c>
      <c r="P11" s="276">
        <f>(P6+P8+P7+P53+P52+P50)</f>
        <v>0</v>
      </c>
      <c r="Q11" s="276">
        <f>(Q6+Q8+Q7+Q53+Q52+Q50)</f>
        <v>0</v>
      </c>
      <c r="R11" s="276">
        <f>(R6+R8+R7+R53+R52+R50)</f>
        <v>2300.0839699999997</v>
      </c>
      <c r="S11" s="276">
        <f>(S6+S8+S7+S53+S52+S50)</f>
        <v>0</v>
      </c>
      <c r="T11" s="475">
        <f t="shared" ref="T11:Z11" si="4">(T6+T8+T7+T51+T53+T52+T50+T54)</f>
        <v>658.86399999999992</v>
      </c>
      <c r="U11" s="475">
        <f>(U6+U8+U7+U51+U53+U52+U50+U54)</f>
        <v>739.59699999999998</v>
      </c>
      <c r="V11" s="475">
        <f t="shared" si="4"/>
        <v>782.23900000000003</v>
      </c>
      <c r="W11" s="379">
        <f t="shared" si="4"/>
        <v>808.524</v>
      </c>
      <c r="X11" s="379">
        <f t="shared" si="4"/>
        <v>807.67100000000005</v>
      </c>
      <c r="Y11" s="475">
        <f t="shared" si="4"/>
        <v>866.99</v>
      </c>
      <c r="Z11" s="475">
        <f t="shared" si="4"/>
        <v>966.12100000000009</v>
      </c>
      <c r="AA11" s="475">
        <f t="shared" ref="AA11" si="5">(AA6+AA8+AA7+AA51+AA53+AA52+AA50+AA54)</f>
        <v>1088.8819999999998</v>
      </c>
      <c r="AB11" s="475">
        <f>AB6+AB8+SUM(AB50:AB54)</f>
        <v>1184.5640000000001</v>
      </c>
      <c r="AC11" s="475">
        <f>(AC6+AC8+AC7+AC51+AC53+AC52+AC50+AC54)</f>
        <v>1329.499</v>
      </c>
    </row>
    <row r="12" spans="1:36" ht="15" customHeight="1">
      <c r="A12" s="395" t="s">
        <v>68</v>
      </c>
      <c r="B12" s="271"/>
      <c r="C12" s="271">
        <v>974.61006099999997</v>
      </c>
      <c r="D12" s="271">
        <v>846.00314500000002</v>
      </c>
      <c r="E12" s="271"/>
      <c r="F12" s="388">
        <v>33.941243999999998</v>
      </c>
      <c r="G12" s="432">
        <v>519.77</v>
      </c>
      <c r="H12" s="432">
        <v>621.17999999999995</v>
      </c>
      <c r="I12" s="388">
        <v>351.67</v>
      </c>
      <c r="J12" s="388">
        <v>591.61199999999997</v>
      </c>
      <c r="K12" s="388">
        <v>1267.06</v>
      </c>
      <c r="L12" s="388">
        <v>1001.5890000000001</v>
      </c>
      <c r="M12" s="388">
        <v>1201.2380000000001</v>
      </c>
      <c r="N12" s="314"/>
      <c r="O12" s="396" t="s">
        <v>43</v>
      </c>
      <c r="P12" s="276">
        <f t="shared" ref="P12:S12" si="6">P55-P41-P9</f>
        <v>0</v>
      </c>
      <c r="Q12" s="276">
        <f t="shared" si="6"/>
        <v>0</v>
      </c>
      <c r="R12" s="276">
        <f t="shared" si="6"/>
        <v>2197.5983689999998</v>
      </c>
      <c r="S12" s="276">
        <f t="shared" si="6"/>
        <v>0</v>
      </c>
      <c r="T12" s="475">
        <f t="shared" ref="T12:Z12" si="7">T55-T41</f>
        <v>658.86240000000009</v>
      </c>
      <c r="U12" s="475">
        <f>U55-U41</f>
        <v>739.596</v>
      </c>
      <c r="V12" s="475">
        <f t="shared" si="7"/>
        <v>782.23599999999999</v>
      </c>
      <c r="W12" s="379">
        <f t="shared" si="7"/>
        <v>808.52299999999991</v>
      </c>
      <c r="X12" s="379">
        <f t="shared" si="7"/>
        <v>807.67099999999994</v>
      </c>
      <c r="Y12" s="475">
        <f t="shared" si="7"/>
        <v>866.97999999999979</v>
      </c>
      <c r="Z12" s="475">
        <f t="shared" si="7"/>
        <v>966.11999999999966</v>
      </c>
      <c r="AA12" s="475">
        <f>AA55-AA41</f>
        <v>1088.8829999999998</v>
      </c>
      <c r="AB12" s="475">
        <f>AB55-AB41</f>
        <v>1184.5619999999999</v>
      </c>
      <c r="AC12" s="475">
        <f>AC55-AC41</f>
        <v>1329.4989999999998</v>
      </c>
      <c r="AD12" s="316"/>
    </row>
    <row r="13" spans="1:36" ht="15" customHeight="1">
      <c r="A13" s="396" t="s">
        <v>4</v>
      </c>
      <c r="B13" s="276">
        <v>0</v>
      </c>
      <c r="C13" s="276">
        <f>(C4-C7)</f>
        <v>1689.3137490000001</v>
      </c>
      <c r="D13" s="276">
        <f>(D4-D7)</f>
        <v>1769.3803680000001</v>
      </c>
      <c r="E13" s="276"/>
      <c r="F13" s="338">
        <f t="shared" ref="F13:J13" si="8">(F4-F7)</f>
        <v>98.032592999999906</v>
      </c>
      <c r="G13" s="338">
        <f t="shared" si="8"/>
        <v>110.1400000000001</v>
      </c>
      <c r="H13" s="338">
        <f t="shared" si="8"/>
        <v>92.019999999999982</v>
      </c>
      <c r="I13" s="338">
        <f t="shared" si="8"/>
        <v>95.520999999999958</v>
      </c>
      <c r="J13" s="338">
        <f t="shared" si="8"/>
        <v>127.26699999999983</v>
      </c>
      <c r="K13" s="338">
        <f>(K4-K7)</f>
        <v>182.10699999999997</v>
      </c>
      <c r="L13" s="338">
        <f>(L4-L7)</f>
        <v>125.15000000000009</v>
      </c>
      <c r="M13" s="338">
        <f>(M4-M7)</f>
        <v>133.92900000000009</v>
      </c>
      <c r="N13" s="314"/>
      <c r="O13" s="395"/>
      <c r="P13" s="271">
        <f>P11-P12</f>
        <v>0</v>
      </c>
      <c r="Q13" s="271"/>
      <c r="R13" s="271"/>
      <c r="S13" s="271"/>
      <c r="T13" s="476"/>
      <c r="U13" s="476"/>
      <c r="V13" s="476"/>
      <c r="W13" s="380"/>
      <c r="X13" s="380"/>
      <c r="Y13" s="488"/>
      <c r="Z13" s="488"/>
      <c r="AA13" s="488"/>
      <c r="AB13" s="488"/>
      <c r="AC13" s="488"/>
    </row>
    <row r="14" spans="1:36" ht="15" customHeight="1">
      <c r="A14" s="393" t="s">
        <v>2</v>
      </c>
      <c r="B14" s="272"/>
      <c r="C14" s="272" t="e">
        <f>(C13/B13-1)</f>
        <v>#DIV/0!</v>
      </c>
      <c r="D14" s="272">
        <f>(D13/C13-1)</f>
        <v>4.7395943499184634E-2</v>
      </c>
      <c r="E14" s="272"/>
      <c r="F14" s="335"/>
      <c r="G14" s="335">
        <f>(G13/F13-1)</f>
        <v>0.12350389426096497</v>
      </c>
      <c r="H14" s="335">
        <f>(H13/G13-1)</f>
        <v>-0.16451788632649444</v>
      </c>
      <c r="I14" s="335">
        <f>(I13/F13-1)</f>
        <v>-2.5619979265466886E-2</v>
      </c>
      <c r="J14" s="335">
        <f>(J13/I13-1)</f>
        <v>0.33234576689942408</v>
      </c>
      <c r="K14" s="335">
        <f>(K13/J13-1)</f>
        <v>0.43090510501544177</v>
      </c>
      <c r="L14" s="335">
        <f>(L13/K13-1)</f>
        <v>-0.3127666701444749</v>
      </c>
      <c r="M14" s="335">
        <f>(M13/L13-1)</f>
        <v>7.0147822612864452E-2</v>
      </c>
      <c r="N14" s="314"/>
      <c r="O14" s="468" t="s">
        <v>87</v>
      </c>
      <c r="P14" s="277"/>
      <c r="Q14" s="277"/>
      <c r="R14" s="277">
        <v>1481.9677489999999</v>
      </c>
      <c r="S14" s="277"/>
      <c r="T14" s="478"/>
      <c r="U14" s="478"/>
      <c r="V14" s="478"/>
      <c r="W14" s="382"/>
      <c r="X14" s="382"/>
      <c r="Y14" s="478"/>
      <c r="Z14" s="478"/>
      <c r="AA14" s="478"/>
      <c r="AB14" s="478"/>
      <c r="AC14" s="478"/>
    </row>
    <row r="15" spans="1:36" ht="15" customHeight="1">
      <c r="A15" s="394" t="s">
        <v>113</v>
      </c>
      <c r="B15" s="331"/>
      <c r="C15" s="275"/>
      <c r="D15" s="275"/>
      <c r="E15" s="275"/>
      <c r="F15" s="411"/>
      <c r="G15" s="411"/>
      <c r="H15" s="335">
        <f>+((H13/F13)^(1/2)-1)</f>
        <v>-3.1151503950403225E-2</v>
      </c>
      <c r="I15" s="335">
        <f>+((I13/F13)^(1/3)-1)</f>
        <v>-8.6139806975864541E-3</v>
      </c>
      <c r="J15" s="335">
        <f>+((J13/G13)^(1/3)-1)</f>
        <v>4.9357759403271695E-2</v>
      </c>
      <c r="K15" s="335">
        <f>+((K13/H13)^(1/3)-1)</f>
        <v>0.25549446863000114</v>
      </c>
      <c r="L15" s="335">
        <f>+((L13/I13)^(1/3)-1)</f>
        <v>9.4235157697295069E-2</v>
      </c>
      <c r="M15" s="335">
        <f>+((M13/J13)^(1/3)-1)</f>
        <v>1.7152973657362569E-2</v>
      </c>
      <c r="N15" s="314"/>
      <c r="O15" s="396" t="s">
        <v>102</v>
      </c>
      <c r="P15" s="276">
        <f t="shared" ref="P15:AA15" si="9">SUM(P16:P28)</f>
        <v>0</v>
      </c>
      <c r="Q15" s="276">
        <f t="shared" si="9"/>
        <v>0</v>
      </c>
      <c r="R15" s="276">
        <f t="shared" si="9"/>
        <v>1304.1698199999998</v>
      </c>
      <c r="S15" s="276">
        <f t="shared" si="9"/>
        <v>0</v>
      </c>
      <c r="T15" s="475">
        <f t="shared" si="9"/>
        <v>340.18</v>
      </c>
      <c r="U15" s="475">
        <f t="shared" si="9"/>
        <v>473.01900000000001</v>
      </c>
      <c r="V15" s="475">
        <f t="shared" si="9"/>
        <v>471.73599999999999</v>
      </c>
      <c r="W15" s="379">
        <f t="shared" si="9"/>
        <v>417.82100000000003</v>
      </c>
      <c r="X15" s="379">
        <f t="shared" si="9"/>
        <v>415.79500000000002</v>
      </c>
      <c r="Y15" s="475">
        <f t="shared" si="9"/>
        <v>329.96</v>
      </c>
      <c r="Z15" s="475">
        <f t="shared" si="9"/>
        <v>447.21799999999996</v>
      </c>
      <c r="AA15" s="475">
        <f t="shared" si="9"/>
        <v>450.88599999999997</v>
      </c>
      <c r="AB15" s="475">
        <f>SUM(AB16:AB28)</f>
        <v>364.71299999999997</v>
      </c>
      <c r="AC15" s="475">
        <f>SUM(AC16:AC28)</f>
        <v>504.12800000000004</v>
      </c>
    </row>
    <row r="16" spans="1:36" ht="15" customHeight="1">
      <c r="A16" s="397" t="s">
        <v>5</v>
      </c>
      <c r="B16" s="278" t="e">
        <f>(B13/#REF!)</f>
        <v>#REF!</v>
      </c>
      <c r="C16" s="278">
        <f>(C13/C4)</f>
        <v>0.57835303167995511</v>
      </c>
      <c r="D16" s="278">
        <f>(D13/D4)</f>
        <v>0.59652319566333467</v>
      </c>
      <c r="E16" s="278"/>
      <c r="F16" s="340">
        <f t="shared" ref="F16:L16" si="10">(F13/F4)</f>
        <v>5.6508146572594536E-2</v>
      </c>
      <c r="G16" s="340">
        <f t="shared" si="10"/>
        <v>5.3456158572690524E-2</v>
      </c>
      <c r="H16" s="340">
        <f t="shared" si="10"/>
        <v>4.2201329970190313E-2</v>
      </c>
      <c r="I16" s="340">
        <f t="shared" si="10"/>
        <v>4.7337867518792202E-2</v>
      </c>
      <c r="J16" s="340">
        <f t="shared" si="10"/>
        <v>4.4106144196216085E-2</v>
      </c>
      <c r="K16" s="340">
        <f t="shared" si="10"/>
        <v>4.1717723669763181E-2</v>
      </c>
      <c r="L16" s="340">
        <f>(L13/L4)</f>
        <v>3.081399671941119E-2</v>
      </c>
      <c r="M16" s="340">
        <f>(M13/M4)</f>
        <v>2.624057336658903E-2</v>
      </c>
      <c r="N16" s="314"/>
      <c r="O16" s="395" t="s">
        <v>96</v>
      </c>
      <c r="P16" s="271"/>
      <c r="Q16" s="271"/>
      <c r="R16" s="271">
        <v>1059.722117</v>
      </c>
      <c r="S16" s="271"/>
      <c r="T16" s="477">
        <v>64.180000000000007</v>
      </c>
      <c r="U16" s="477">
        <v>113.25</v>
      </c>
      <c r="V16" s="477">
        <v>105.51</v>
      </c>
      <c r="W16" s="381">
        <v>103.321</v>
      </c>
      <c r="X16" s="381">
        <v>101.28</v>
      </c>
      <c r="Y16" s="488">
        <v>99.76</v>
      </c>
      <c r="Z16" s="488">
        <v>98.123000000000005</v>
      </c>
      <c r="AA16" s="490">
        <v>95.944999999999993</v>
      </c>
      <c r="AB16" s="490">
        <v>90.304000000000002</v>
      </c>
      <c r="AC16" s="490">
        <v>171.68899999999999</v>
      </c>
    </row>
    <row r="17" spans="1:29" ht="15" customHeight="1">
      <c r="A17" s="395" t="s">
        <v>6</v>
      </c>
      <c r="B17" s="271"/>
      <c r="C17" s="271">
        <v>101.894226</v>
      </c>
      <c r="D17" s="271">
        <v>114.769054</v>
      </c>
      <c r="E17" s="271"/>
      <c r="F17" s="388">
        <v>15.293526</v>
      </c>
      <c r="G17" s="388">
        <v>12.12</v>
      </c>
      <c r="H17" s="388">
        <v>5.99</v>
      </c>
      <c r="I17" s="388">
        <v>22.960999999999999</v>
      </c>
      <c r="J17" s="388">
        <v>11.788</v>
      </c>
      <c r="K17" s="388">
        <v>13.134</v>
      </c>
      <c r="L17" s="388">
        <v>23.279</v>
      </c>
      <c r="M17" s="388">
        <v>24.759</v>
      </c>
      <c r="N17" s="314"/>
      <c r="O17" s="395" t="s">
        <v>172</v>
      </c>
      <c r="P17" s="271"/>
      <c r="Q17" s="271"/>
      <c r="R17" s="271"/>
      <c r="S17" s="271"/>
      <c r="T17" s="477">
        <v>2.012</v>
      </c>
      <c r="U17" s="477">
        <v>2.012</v>
      </c>
      <c r="V17" s="477">
        <v>2.012</v>
      </c>
      <c r="W17" s="381">
        <v>2.012</v>
      </c>
      <c r="X17" s="381">
        <v>2.012</v>
      </c>
      <c r="Y17" s="488">
        <v>2.0099999999999998</v>
      </c>
      <c r="Z17" s="488">
        <v>2.012</v>
      </c>
      <c r="AA17" s="490">
        <v>2.012</v>
      </c>
      <c r="AB17" s="490">
        <v>2.5339999999999998</v>
      </c>
      <c r="AC17" s="490">
        <v>2.5339999999999998</v>
      </c>
    </row>
    <row r="18" spans="1:29" ht="15" customHeight="1">
      <c r="A18" s="395" t="s">
        <v>7</v>
      </c>
      <c r="B18" s="271"/>
      <c r="C18" s="271">
        <v>67.671909999999997</v>
      </c>
      <c r="D18" s="271">
        <v>98.236097000000001</v>
      </c>
      <c r="E18" s="271"/>
      <c r="F18" s="388">
        <v>7.6277590000000002</v>
      </c>
      <c r="G18" s="388">
        <v>9.5500000000000007</v>
      </c>
      <c r="H18" s="388">
        <v>12.41</v>
      </c>
      <c r="I18" s="388">
        <v>9.7370000000000001</v>
      </c>
      <c r="J18" s="388">
        <v>10.236000000000001</v>
      </c>
      <c r="K18" s="388">
        <v>12.282999999999999</v>
      </c>
      <c r="L18" s="388">
        <v>12.678000000000001</v>
      </c>
      <c r="M18" s="388">
        <v>15.743</v>
      </c>
      <c r="N18" s="314"/>
      <c r="O18" s="395" t="s">
        <v>173</v>
      </c>
      <c r="P18" s="271"/>
      <c r="Q18" s="271"/>
      <c r="R18" s="271"/>
      <c r="S18" s="271"/>
      <c r="T18" s="477">
        <v>10.287000000000001</v>
      </c>
      <c r="U18" s="477">
        <v>8.1620000000000008</v>
      </c>
      <c r="V18" s="477">
        <v>6.0309999999999997</v>
      </c>
      <c r="W18" s="381">
        <v>5.5019999999999998</v>
      </c>
      <c r="X18" s="381">
        <v>0</v>
      </c>
      <c r="Y18" s="488">
        <v>0</v>
      </c>
      <c r="Z18" s="488">
        <v>0</v>
      </c>
      <c r="AA18" s="490">
        <v>0</v>
      </c>
      <c r="AB18" s="490">
        <v>0</v>
      </c>
      <c r="AC18" s="490">
        <v>0</v>
      </c>
    </row>
    <row r="19" spans="1:29" ht="15" customHeight="1">
      <c r="A19" s="395" t="s">
        <v>8</v>
      </c>
      <c r="B19" s="271"/>
      <c r="C19" s="271">
        <v>126.03988699999999</v>
      </c>
      <c r="D19" s="271">
        <v>132.27441400000001</v>
      </c>
      <c r="E19" s="271"/>
      <c r="F19" s="388">
        <v>10.279343000000001</v>
      </c>
      <c r="G19" s="388">
        <v>11.44</v>
      </c>
      <c r="H19" s="388">
        <v>16.010000000000002</v>
      </c>
      <c r="I19" s="388">
        <v>5.6660000000000004</v>
      </c>
      <c r="J19" s="388">
        <v>7.3129999999999997</v>
      </c>
      <c r="K19" s="388">
        <v>17.59</v>
      </c>
      <c r="L19" s="388">
        <v>14.68</v>
      </c>
      <c r="M19" s="388">
        <v>30.751000000000001</v>
      </c>
      <c r="N19" s="314"/>
      <c r="O19" s="395" t="s">
        <v>174</v>
      </c>
      <c r="P19" s="271"/>
      <c r="Q19" s="271"/>
      <c r="R19" s="271">
        <v>46.100937000000002</v>
      </c>
      <c r="S19" s="271"/>
      <c r="T19" s="477">
        <v>0.48399999999999999</v>
      </c>
      <c r="U19" s="477">
        <v>0.48</v>
      </c>
      <c r="V19" s="477">
        <v>0.38500000000000001</v>
      </c>
      <c r="W19" s="381">
        <v>0.35899999999999999</v>
      </c>
      <c r="X19" s="381">
        <v>0.33400000000000002</v>
      </c>
      <c r="Y19" s="488">
        <v>0.32</v>
      </c>
      <c r="Z19" s="488">
        <v>1.24</v>
      </c>
      <c r="AA19" s="490">
        <v>3.077</v>
      </c>
      <c r="AB19" s="490">
        <v>3.7160000000000002</v>
      </c>
      <c r="AC19" s="490">
        <v>2.7869999999999999</v>
      </c>
    </row>
    <row r="20" spans="1:29" ht="15" customHeight="1">
      <c r="A20" s="395" t="s">
        <v>9</v>
      </c>
      <c r="B20" s="271"/>
      <c r="C20" s="271"/>
      <c r="D20" s="271"/>
      <c r="E20" s="271"/>
      <c r="F20" s="339"/>
      <c r="G20" s="339"/>
      <c r="H20" s="339"/>
      <c r="I20" s="341"/>
      <c r="J20" s="341"/>
      <c r="K20" s="341">
        <v>8.6010000000000009</v>
      </c>
      <c r="L20" s="341"/>
      <c r="M20" s="341"/>
      <c r="N20" s="314"/>
      <c r="O20" s="395" t="s">
        <v>175</v>
      </c>
      <c r="P20" s="271"/>
      <c r="Q20" s="271"/>
      <c r="R20" s="279">
        <v>0</v>
      </c>
      <c r="S20" s="279"/>
      <c r="T20" s="477"/>
      <c r="U20" s="477">
        <v>0.82499999999999996</v>
      </c>
      <c r="V20" s="477">
        <v>1.1499999999999999</v>
      </c>
      <c r="W20" s="381">
        <v>1.1499999999999999</v>
      </c>
      <c r="X20" s="381">
        <v>0.96</v>
      </c>
      <c r="Y20" s="488">
        <v>1.71</v>
      </c>
      <c r="Z20" s="488">
        <v>0</v>
      </c>
      <c r="AA20" s="490">
        <v>0</v>
      </c>
      <c r="AB20" s="490">
        <v>0</v>
      </c>
      <c r="AC20" s="490">
        <v>0</v>
      </c>
    </row>
    <row r="21" spans="1:29" ht="15" customHeight="1">
      <c r="A21" s="395" t="s">
        <v>165</v>
      </c>
      <c r="B21" s="271"/>
      <c r="C21" s="271"/>
      <c r="D21" s="271"/>
      <c r="E21" s="271"/>
      <c r="F21" s="339"/>
      <c r="G21" s="339"/>
      <c r="H21" s="339"/>
      <c r="I21" s="341"/>
      <c r="J21" s="341"/>
      <c r="K21" s="341"/>
      <c r="L21" s="341"/>
      <c r="M21" s="341"/>
      <c r="N21" s="314"/>
      <c r="O21" s="395" t="s">
        <v>92</v>
      </c>
      <c r="P21" s="271"/>
      <c r="Q21" s="271"/>
      <c r="R21" s="279">
        <v>0</v>
      </c>
      <c r="S21" s="279"/>
      <c r="T21" s="479"/>
      <c r="U21" s="479"/>
      <c r="V21" s="479"/>
      <c r="W21" s="383"/>
      <c r="X21" s="383"/>
      <c r="Y21" s="488"/>
      <c r="Z21" s="488"/>
      <c r="AA21" s="490"/>
      <c r="AB21" s="490"/>
      <c r="AC21" s="490"/>
    </row>
    <row r="22" spans="1:29" ht="15" customHeight="1">
      <c r="A22" s="396" t="s">
        <v>10</v>
      </c>
      <c r="B22" s="276">
        <f>(B13-B18-B19-B20)</f>
        <v>0</v>
      </c>
      <c r="C22" s="276">
        <f>(C13+C17-C18-C19-C20)</f>
        <v>1597.4961780000003</v>
      </c>
      <c r="D22" s="276">
        <f>(D13+D17-D18-D19-D20)</f>
        <v>1653.6389110000002</v>
      </c>
      <c r="E22" s="276"/>
      <c r="F22" s="338">
        <f>(F13+F17-F18-F19+F20+F21)</f>
        <v>95.419016999999911</v>
      </c>
      <c r="G22" s="338">
        <f>(G13+G17-G18-G19+G20+G21)</f>
        <v>101.27000000000011</v>
      </c>
      <c r="H22" s="338">
        <f>(H13+H17-H18-H19+H20+H21)</f>
        <v>69.589999999999975</v>
      </c>
      <c r="I22" s="338">
        <f>(I13+I17-I18-I19+I20+I21)</f>
        <v>103.07899999999997</v>
      </c>
      <c r="J22" s="338">
        <f>(J13+J17-J18-J19+J20+J21)</f>
        <v>121.50599999999984</v>
      </c>
      <c r="K22" s="338">
        <f>(K13+K17-K18-K19-K20)</f>
        <v>156.767</v>
      </c>
      <c r="L22" s="338">
        <f>(L13+L17-L18-L19-L20)</f>
        <v>121.07100000000008</v>
      </c>
      <c r="M22" s="338">
        <f>(M13+M17-M18-M19-M20)</f>
        <v>112.1940000000001</v>
      </c>
      <c r="N22" s="314"/>
      <c r="O22" s="395" t="s">
        <v>176</v>
      </c>
      <c r="P22" s="271"/>
      <c r="Q22" s="271"/>
      <c r="R22" s="271"/>
      <c r="S22" s="271"/>
      <c r="T22" s="477">
        <v>8.4459999999999997</v>
      </c>
      <c r="U22" s="477">
        <v>18.495999999999999</v>
      </c>
      <c r="V22" s="477">
        <v>23.126000000000001</v>
      </c>
      <c r="W22" s="381">
        <v>21.274999999999999</v>
      </c>
      <c r="X22" s="381">
        <v>21.122</v>
      </c>
      <c r="Y22" s="488">
        <v>18.329999999999998</v>
      </c>
      <c r="Z22" s="488">
        <v>24.263999999999999</v>
      </c>
      <c r="AA22" s="490">
        <v>22.658000000000001</v>
      </c>
      <c r="AB22" s="490">
        <v>23.555</v>
      </c>
      <c r="AC22" s="490">
        <v>27.376999999999999</v>
      </c>
    </row>
    <row r="23" spans="1:29" ht="15" customHeight="1">
      <c r="A23" s="395" t="s">
        <v>11</v>
      </c>
      <c r="B23" s="271"/>
      <c r="C23" s="271">
        <f>84.840864+12.218329-5.206064</f>
        <v>91.853128999999996</v>
      </c>
      <c r="D23" s="271">
        <f>88.004592+5.040204</f>
        <v>93.044796000000005</v>
      </c>
      <c r="E23" s="271"/>
      <c r="F23" s="388">
        <v>17.677374</v>
      </c>
      <c r="G23" s="388">
        <v>14.94</v>
      </c>
      <c r="H23" s="388">
        <v>-2.2400000000000002</v>
      </c>
      <c r="I23" s="388">
        <v>-1.5229999999999999</v>
      </c>
      <c r="J23" s="388">
        <v>0.83199999999999996</v>
      </c>
      <c r="K23" s="388">
        <v>11.651999999999999</v>
      </c>
      <c r="L23" s="388">
        <v>7.6349999999999998</v>
      </c>
      <c r="M23" s="388">
        <v>11.747999999999999</v>
      </c>
      <c r="N23" s="314"/>
      <c r="O23" s="395" t="s">
        <v>177</v>
      </c>
      <c r="P23" s="271"/>
      <c r="Q23" s="271"/>
      <c r="R23" s="271">
        <v>2E-3</v>
      </c>
      <c r="S23" s="271"/>
      <c r="T23" s="477">
        <v>119.532</v>
      </c>
      <c r="U23" s="477">
        <v>106.43899999999999</v>
      </c>
      <c r="V23" s="477">
        <v>91.343000000000004</v>
      </c>
      <c r="W23" s="381">
        <v>97.703999999999994</v>
      </c>
      <c r="X23" s="381">
        <v>97.317999999999998</v>
      </c>
      <c r="Y23" s="488">
        <v>132.49</v>
      </c>
      <c r="Z23" s="488">
        <v>182.75399999999999</v>
      </c>
      <c r="AA23" s="490">
        <v>144.88999999999999</v>
      </c>
      <c r="AB23" s="490">
        <v>154.74600000000001</v>
      </c>
      <c r="AC23" s="490">
        <v>202.69200000000001</v>
      </c>
    </row>
    <row r="24" spans="1:29" ht="15" customHeight="1">
      <c r="A24" s="393" t="s">
        <v>12</v>
      </c>
      <c r="B24" s="272" t="e">
        <f>(B23/B22)</f>
        <v>#DIV/0!</v>
      </c>
      <c r="C24" s="272">
        <f>(C23/C22)</f>
        <v>5.7498183886108792E-2</v>
      </c>
      <c r="D24" s="272">
        <f>(D23/D22)</f>
        <v>5.6266694851618664E-2</v>
      </c>
      <c r="E24" s="272"/>
      <c r="F24" s="335">
        <f t="shared" ref="F24:K24" si="11">(F23/F22)</f>
        <v>0.18526049162715663</v>
      </c>
      <c r="G24" s="335">
        <f t="shared" si="11"/>
        <v>0.14752641453540025</v>
      </c>
      <c r="H24" s="335">
        <f t="shared" si="11"/>
        <v>-3.2188532835177482E-2</v>
      </c>
      <c r="I24" s="335">
        <f t="shared" si="11"/>
        <v>-1.4775075427584673E-2</v>
      </c>
      <c r="J24" s="335">
        <f t="shared" si="11"/>
        <v>6.8473984823794794E-3</v>
      </c>
      <c r="K24" s="335">
        <f t="shared" si="11"/>
        <v>7.4326867261604798E-2</v>
      </c>
      <c r="L24" s="335">
        <f>(L23/L22)</f>
        <v>6.306217013157564E-2</v>
      </c>
      <c r="M24" s="335">
        <f>(M23/M22)</f>
        <v>0.10471148189742757</v>
      </c>
      <c r="N24" s="314"/>
      <c r="O24" s="323"/>
      <c r="P24" s="271"/>
      <c r="Q24" s="271"/>
      <c r="R24" s="271"/>
      <c r="S24" s="271"/>
      <c r="T24" s="479"/>
      <c r="U24" s="479"/>
      <c r="V24" s="479"/>
      <c r="W24" s="383"/>
      <c r="X24" s="383"/>
      <c r="Y24" s="488"/>
      <c r="Z24" s="488"/>
      <c r="AA24" s="490"/>
      <c r="AB24" s="490"/>
      <c r="AC24" s="490"/>
    </row>
    <row r="25" spans="1:29" ht="15" customHeight="1">
      <c r="A25" s="397" t="s">
        <v>13</v>
      </c>
      <c r="B25" s="276">
        <v>0</v>
      </c>
      <c r="C25" s="276">
        <f>(C22-C23)</f>
        <v>1505.6430490000002</v>
      </c>
      <c r="D25" s="276">
        <f>(D22-D23)</f>
        <v>1560.5941150000003</v>
      </c>
      <c r="E25" s="276"/>
      <c r="F25" s="338">
        <f t="shared" ref="F25:K25" si="12">(F22-F23)</f>
        <v>77.741642999999911</v>
      </c>
      <c r="G25" s="338">
        <f t="shared" si="12"/>
        <v>86.330000000000112</v>
      </c>
      <c r="H25" s="338">
        <f t="shared" si="12"/>
        <v>71.82999999999997</v>
      </c>
      <c r="I25" s="338">
        <f t="shared" si="12"/>
        <v>104.60199999999996</v>
      </c>
      <c r="J25" s="338">
        <f t="shared" si="12"/>
        <v>120.67399999999985</v>
      </c>
      <c r="K25" s="338">
        <f t="shared" si="12"/>
        <v>145.11500000000001</v>
      </c>
      <c r="L25" s="338">
        <f>(L22-L23)</f>
        <v>113.43600000000008</v>
      </c>
      <c r="M25" s="338">
        <f>(M22-M23)</f>
        <v>100.4460000000001</v>
      </c>
      <c r="N25" s="314"/>
      <c r="O25" s="323"/>
      <c r="P25" s="271"/>
      <c r="Q25" s="271"/>
      <c r="R25" s="279"/>
      <c r="S25" s="271"/>
      <c r="T25" s="479"/>
      <c r="U25" s="479"/>
      <c r="V25" s="479"/>
      <c r="W25" s="383"/>
      <c r="X25" s="383"/>
      <c r="Y25" s="488"/>
      <c r="Z25" s="488"/>
      <c r="AA25" s="490"/>
      <c r="AB25" s="490"/>
      <c r="AC25" s="490"/>
    </row>
    <row r="26" spans="1:29" ht="15" customHeight="1">
      <c r="A26" s="397" t="s">
        <v>80</v>
      </c>
      <c r="B26" s="280" t="e">
        <f>B25/(B4)</f>
        <v>#DIV/0!</v>
      </c>
      <c r="C26" s="280">
        <f>C25/(C4)</f>
        <v>0.51547157686514589</v>
      </c>
      <c r="D26" s="280">
        <f>D25/(D4)</f>
        <v>0.52613367111417719</v>
      </c>
      <c r="E26" s="280"/>
      <c r="F26" s="342">
        <f t="shared" ref="F26:K26" si="13">F25/(F4)</f>
        <v>4.4811995918931959E-2</v>
      </c>
      <c r="G26" s="342">
        <f t="shared" si="13"/>
        <v>4.1900037857094376E-2</v>
      </c>
      <c r="H26" s="342">
        <f t="shared" si="13"/>
        <v>3.2941985783077263E-2</v>
      </c>
      <c r="I26" s="342">
        <f t="shared" si="13"/>
        <v>5.1838188651717444E-2</v>
      </c>
      <c r="J26" s="342">
        <f t="shared" si="13"/>
        <v>4.1821248593383833E-2</v>
      </c>
      <c r="K26" s="342">
        <f t="shared" si="13"/>
        <v>3.3243463844540216E-2</v>
      </c>
      <c r="L26" s="342">
        <f>L25/(L4)</f>
        <v>2.7929816475134862E-2</v>
      </c>
      <c r="M26" s="342">
        <f>M25/(M4)</f>
        <v>1.9680283078201154E-2</v>
      </c>
      <c r="N26" s="314"/>
      <c r="O26" s="323"/>
      <c r="P26" s="271"/>
      <c r="Q26" s="271"/>
      <c r="R26" s="279"/>
      <c r="S26" s="271"/>
      <c r="T26" s="479"/>
      <c r="U26" s="479"/>
      <c r="V26" s="479"/>
      <c r="W26" s="383"/>
      <c r="X26" s="383"/>
      <c r="Y26" s="488"/>
      <c r="Z26" s="488"/>
      <c r="AA26" s="490"/>
      <c r="AB26" s="490"/>
      <c r="AC26" s="490"/>
    </row>
    <row r="27" spans="1:29" ht="15" customHeight="1">
      <c r="A27" s="394" t="s">
        <v>113</v>
      </c>
      <c r="B27" s="332"/>
      <c r="C27" s="275"/>
      <c r="D27" s="275"/>
      <c r="E27" s="275"/>
      <c r="F27" s="411"/>
      <c r="G27" s="411"/>
      <c r="H27" s="335">
        <f>+((H25/F25)^(1/2)-1)</f>
        <v>-3.877274643391182E-2</v>
      </c>
      <c r="I27" s="335">
        <f>+((I25/F25)^(1/3)-1)</f>
        <v>0.10398225098394298</v>
      </c>
      <c r="J27" s="335">
        <f>+((J25/G25)^(1/3)-1)</f>
        <v>0.11810860345134278</v>
      </c>
      <c r="K27" s="335">
        <f>+((K25/H25)^(1/3)-1)</f>
        <v>0.26416029727355217</v>
      </c>
      <c r="L27" s="335">
        <f>+((L25/I25)^(1/3)-1)</f>
        <v>2.7393874033173171E-2</v>
      </c>
      <c r="M27" s="335">
        <f>+((M25/J25)^(1/3)-1)</f>
        <v>-5.9324904739600504E-2</v>
      </c>
      <c r="N27" s="314"/>
      <c r="O27" s="395" t="s">
        <v>178</v>
      </c>
      <c r="P27" s="271"/>
      <c r="Q27" s="271"/>
      <c r="R27" s="279">
        <v>0</v>
      </c>
      <c r="S27" s="271"/>
      <c r="T27" s="477">
        <v>1.427</v>
      </c>
      <c r="U27" s="477">
        <v>1.627</v>
      </c>
      <c r="V27" s="477">
        <v>1.6180000000000001</v>
      </c>
      <c r="W27" s="381">
        <v>1.639</v>
      </c>
      <c r="X27" s="381">
        <v>1.639</v>
      </c>
      <c r="Y27" s="488">
        <v>1.7</v>
      </c>
      <c r="Z27" s="488">
        <v>1.698</v>
      </c>
      <c r="AA27" s="490">
        <v>1.8560000000000001</v>
      </c>
      <c r="AB27" s="490">
        <v>1.0609999999999999</v>
      </c>
      <c r="AC27" s="490">
        <v>1.2969999999999999</v>
      </c>
    </row>
    <row r="28" spans="1:29" ht="15" customHeight="1">
      <c r="A28" s="395" t="s">
        <v>14</v>
      </c>
      <c r="B28" s="271"/>
      <c r="C28" s="271"/>
      <c r="D28" s="271"/>
      <c r="E28" s="271"/>
      <c r="F28" s="339"/>
      <c r="G28" s="339"/>
      <c r="H28" s="339"/>
      <c r="I28" s="341"/>
      <c r="J28" s="341"/>
      <c r="K28" s="341"/>
      <c r="L28" s="341"/>
      <c r="M28" s="341"/>
      <c r="N28" s="314"/>
      <c r="O28" s="395" t="s">
        <v>93</v>
      </c>
      <c r="P28" s="271"/>
      <c r="Q28" s="271"/>
      <c r="R28" s="271">
        <v>198.34476599999999</v>
      </c>
      <c r="S28" s="271"/>
      <c r="T28" s="477">
        <v>133.81200000000001</v>
      </c>
      <c r="U28" s="477">
        <v>221.72800000000001</v>
      </c>
      <c r="V28" s="477">
        <v>240.56100000000001</v>
      </c>
      <c r="W28" s="381">
        <v>184.85900000000001</v>
      </c>
      <c r="X28" s="381">
        <v>191.13</v>
      </c>
      <c r="Y28" s="488">
        <v>73.64</v>
      </c>
      <c r="Z28" s="488">
        <v>137.12700000000001</v>
      </c>
      <c r="AA28" s="490">
        <v>180.44800000000001</v>
      </c>
      <c r="AB28" s="490">
        <v>88.796999999999997</v>
      </c>
      <c r="AC28" s="490">
        <v>95.751999999999995</v>
      </c>
    </row>
    <row r="29" spans="1:29" ht="15" customHeight="1">
      <c r="A29" s="395" t="s">
        <v>69</v>
      </c>
      <c r="B29" s="271"/>
      <c r="C29" s="271">
        <v>0</v>
      </c>
      <c r="D29" s="271">
        <v>0</v>
      </c>
      <c r="E29" s="271"/>
      <c r="F29" s="339"/>
      <c r="G29" s="388">
        <v>2.93</v>
      </c>
      <c r="H29" s="388">
        <v>7.49</v>
      </c>
      <c r="I29" s="388">
        <v>-2.3450000000000002</v>
      </c>
      <c r="J29" s="388">
        <v>5.07</v>
      </c>
      <c r="K29" s="388">
        <v>10.76</v>
      </c>
      <c r="L29" s="388">
        <v>-0.29499999999999998</v>
      </c>
      <c r="M29" s="388">
        <v>4.5960000000000001</v>
      </c>
      <c r="N29" s="314"/>
      <c r="O29" s="395"/>
      <c r="P29" s="271"/>
      <c r="Q29" s="271"/>
      <c r="R29" s="271"/>
      <c r="S29" s="271"/>
      <c r="T29" s="476"/>
      <c r="U29" s="476"/>
      <c r="V29" s="476"/>
      <c r="W29" s="380"/>
      <c r="X29" s="380"/>
      <c r="Y29" s="488"/>
      <c r="Z29" s="488"/>
      <c r="AA29" s="490"/>
      <c r="AB29" s="490"/>
      <c r="AC29" s="490"/>
    </row>
    <row r="30" spans="1:29" ht="15" customHeight="1">
      <c r="A30" s="396" t="s">
        <v>15</v>
      </c>
      <c r="B30" s="276">
        <f>(B25-B28+B29)</f>
        <v>0</v>
      </c>
      <c r="C30" s="276">
        <f>(C25-C28+C29)</f>
        <v>1505.6430490000002</v>
      </c>
      <c r="D30" s="276">
        <f>(D25-D28+D29)</f>
        <v>1560.5941150000003</v>
      </c>
      <c r="E30" s="276"/>
      <c r="F30" s="338">
        <f>(F25-F28+F29)</f>
        <v>77.741642999999911</v>
      </c>
      <c r="G30" s="338">
        <f>(G25-G28+G29)</f>
        <v>89.260000000000119</v>
      </c>
      <c r="H30" s="338">
        <f>(H25-H28+H29)</f>
        <v>79.319999999999965</v>
      </c>
      <c r="I30" s="338">
        <f>(I25-I28+I29)</f>
        <v>102.25699999999996</v>
      </c>
      <c r="J30" s="338">
        <f>(J25-J28+J29)</f>
        <v>125.74399999999986</v>
      </c>
      <c r="K30" s="338">
        <f>K25+K29</f>
        <v>155.875</v>
      </c>
      <c r="L30" s="338">
        <f>L25+L29</f>
        <v>113.14100000000008</v>
      </c>
      <c r="M30" s="338">
        <f>M25+M29</f>
        <v>105.0420000000001</v>
      </c>
      <c r="N30" s="314"/>
      <c r="O30" s="396" t="s">
        <v>44</v>
      </c>
      <c r="P30" s="276">
        <f t="shared" ref="P30:AA30" si="14">SUM(P31:P39)</f>
        <v>0</v>
      </c>
      <c r="Q30" s="276">
        <f t="shared" si="14"/>
        <v>0</v>
      </c>
      <c r="R30" s="276">
        <f t="shared" si="14"/>
        <v>2304.2947150000005</v>
      </c>
      <c r="S30" s="276">
        <f t="shared" si="14"/>
        <v>0</v>
      </c>
      <c r="T30" s="475">
        <f t="shared" si="14"/>
        <v>519.22900000000004</v>
      </c>
      <c r="U30" s="475">
        <f>SUM(U31:U39)</f>
        <v>590.48800000000017</v>
      </c>
      <c r="V30" s="475">
        <f t="shared" si="14"/>
        <v>708.36800000000005</v>
      </c>
      <c r="W30" s="379">
        <f t="shared" si="14"/>
        <v>637.73899999999992</v>
      </c>
      <c r="X30" s="379">
        <f t="shared" si="14"/>
        <v>631.18899999999996</v>
      </c>
      <c r="Y30" s="475">
        <f t="shared" si="14"/>
        <v>871.94999999999993</v>
      </c>
      <c r="Z30" s="475">
        <f t="shared" si="14"/>
        <v>1042.5389999999998</v>
      </c>
      <c r="AA30" s="475">
        <f t="shared" si="14"/>
        <v>1133.578</v>
      </c>
      <c r="AB30" s="475">
        <f>SUM(AB31:AB39)</f>
        <v>1345.4970000000001</v>
      </c>
      <c r="AC30" s="475">
        <f>SUM(AC31:AC39)</f>
        <v>1626.1659999999997</v>
      </c>
    </row>
    <row r="31" spans="1:29" ht="15" customHeight="1">
      <c r="A31" s="393" t="s">
        <v>2</v>
      </c>
      <c r="B31" s="272"/>
      <c r="C31" s="272" t="e">
        <f>(C30/B30-1)</f>
        <v>#DIV/0!</v>
      </c>
      <c r="D31" s="272">
        <f>-(D30/C30-1)</f>
        <v>-3.6496742064127785E-2</v>
      </c>
      <c r="E31" s="272"/>
      <c r="F31" s="335"/>
      <c r="G31" s="343">
        <f t="shared" ref="G31:M31" si="15">(G30/F30-1)</f>
        <v>0.14816199601030067</v>
      </c>
      <c r="H31" s="343">
        <f t="shared" si="15"/>
        <v>-0.11136007170065132</v>
      </c>
      <c r="I31" s="343">
        <f t="shared" si="15"/>
        <v>0.28917044881492693</v>
      </c>
      <c r="J31" s="343">
        <f t="shared" si="15"/>
        <v>0.22968598726737444</v>
      </c>
      <c r="K31" s="343">
        <f t="shared" si="15"/>
        <v>0.23962177121771355</v>
      </c>
      <c r="L31" s="343">
        <f>(L30/K30-1)</f>
        <v>-0.27415557337610219</v>
      </c>
      <c r="M31" s="343">
        <f>(M30/L30-1)</f>
        <v>-7.1583245684587959E-2</v>
      </c>
      <c r="N31" s="314"/>
      <c r="O31" s="395" t="s">
        <v>45</v>
      </c>
      <c r="P31" s="271"/>
      <c r="Q31" s="271"/>
      <c r="R31" s="271">
        <v>971.14988800000003</v>
      </c>
      <c r="S31" s="271"/>
      <c r="T31" s="476"/>
      <c r="U31" s="476"/>
      <c r="V31" s="476"/>
      <c r="W31" s="380"/>
      <c r="X31" s="380"/>
      <c r="Y31" s="488"/>
      <c r="Z31" s="488"/>
      <c r="AA31" s="488"/>
      <c r="AB31" s="488"/>
      <c r="AC31" s="488"/>
    </row>
    <row r="32" spans="1:29" ht="15" customHeight="1">
      <c r="A32" s="394" t="s">
        <v>113</v>
      </c>
      <c r="B32" s="332"/>
      <c r="C32" s="275"/>
      <c r="D32" s="275"/>
      <c r="E32" s="275"/>
      <c r="F32" s="411"/>
      <c r="G32" s="411"/>
      <c r="H32" s="335">
        <f>+((H30/F30)^(1/2)-1)</f>
        <v>1.0100288986509831E-2</v>
      </c>
      <c r="I32" s="335">
        <f>+((I30/F30)^(1/3)-1)</f>
        <v>9.5670017382479156E-2</v>
      </c>
      <c r="J32" s="335">
        <f>+((J30/G30)^(1/3)-1)</f>
        <v>0.12101165945183157</v>
      </c>
      <c r="K32" s="335">
        <f>+((K30/H30)^(1/3)-1)</f>
        <v>0.25255821689243185</v>
      </c>
      <c r="L32" s="335">
        <f>+((L30/I30)^(1/3)-1)</f>
        <v>3.4289990796619207E-2</v>
      </c>
      <c r="M32" s="335">
        <f>+((M30/J30)^(1/3)-1)</f>
        <v>-5.8200251280656978E-2</v>
      </c>
      <c r="N32" s="314"/>
      <c r="O32" s="395" t="s">
        <v>92</v>
      </c>
      <c r="P32" s="271"/>
      <c r="Q32" s="271"/>
      <c r="R32" s="271"/>
      <c r="S32" s="271"/>
      <c r="T32" s="479"/>
      <c r="U32" s="479"/>
      <c r="V32" s="479"/>
      <c r="W32" s="383"/>
      <c r="X32" s="383"/>
      <c r="Y32" s="488"/>
      <c r="Z32" s="488"/>
      <c r="AA32" s="488"/>
      <c r="AB32" s="488"/>
      <c r="AC32" s="488"/>
    </row>
    <row r="33" spans="1:34" ht="15" customHeight="1">
      <c r="A33" s="392" t="s">
        <v>16</v>
      </c>
      <c r="B33" s="270">
        <v>5.75</v>
      </c>
      <c r="C33" s="270">
        <v>14.92</v>
      </c>
      <c r="D33" s="270">
        <v>14.3</v>
      </c>
      <c r="E33" s="270"/>
      <c r="F33" s="412">
        <v>6.04</v>
      </c>
      <c r="G33" s="344">
        <v>5.84</v>
      </c>
      <c r="H33" s="344">
        <v>4.8600000000000003</v>
      </c>
      <c r="I33" s="344">
        <v>7.08</v>
      </c>
      <c r="J33" s="344">
        <v>8.16</v>
      </c>
      <c r="K33" s="344">
        <v>9.7899999999999991</v>
      </c>
      <c r="L33" s="344">
        <v>7.6</v>
      </c>
      <c r="M33" s="344">
        <v>6.73</v>
      </c>
      <c r="N33" s="314"/>
      <c r="O33" s="395" t="s">
        <v>166</v>
      </c>
      <c r="P33" s="271"/>
      <c r="Q33" s="271"/>
      <c r="R33" s="271"/>
      <c r="S33" s="271"/>
      <c r="T33" s="479"/>
      <c r="U33" s="479"/>
      <c r="V33" s="474">
        <v>3.1629999999999998</v>
      </c>
      <c r="W33" s="378">
        <v>3.3</v>
      </c>
      <c r="X33" s="378">
        <v>3.3410000000000002</v>
      </c>
      <c r="Y33" s="488">
        <v>3.43</v>
      </c>
      <c r="Z33" s="488">
        <v>3.5739999999999998</v>
      </c>
      <c r="AA33" s="490">
        <v>3.7160000000000002</v>
      </c>
      <c r="AB33" s="490">
        <v>3.9740000000000002</v>
      </c>
      <c r="AC33" s="490">
        <v>55.232999999999997</v>
      </c>
    </row>
    <row r="34" spans="1:34" ht="15" customHeight="1">
      <c r="A34" s="398" t="s">
        <v>2</v>
      </c>
      <c r="B34" s="281"/>
      <c r="C34" s="281">
        <f>(C33/B33-1)</f>
        <v>1.594782608695652</v>
      </c>
      <c r="D34" s="281">
        <f>-(D33/C33-1)</f>
        <v>4.1554959785522705E-2</v>
      </c>
      <c r="E34" s="281"/>
      <c r="F34" s="326"/>
      <c r="G34" s="326">
        <f t="shared" ref="G34:M34" si="16">(G33/F33-1)</f>
        <v>-3.3112582781457012E-2</v>
      </c>
      <c r="H34" s="326">
        <f t="shared" si="16"/>
        <v>-0.16780821917808209</v>
      </c>
      <c r="I34" s="326">
        <f t="shared" si="16"/>
        <v>0.45679012345678993</v>
      </c>
      <c r="J34" s="326">
        <f t="shared" si="16"/>
        <v>0.15254237288135597</v>
      </c>
      <c r="K34" s="326">
        <f t="shared" si="16"/>
        <v>0.19975490196078427</v>
      </c>
      <c r="L34" s="326">
        <f>(L33/K33-1)</f>
        <v>-0.22369765066394276</v>
      </c>
      <c r="M34" s="326">
        <f>(M33/L33-1)</f>
        <v>-0.11447368421052617</v>
      </c>
      <c r="N34" s="314"/>
      <c r="O34" s="323" t="s">
        <v>167</v>
      </c>
      <c r="P34" s="271"/>
      <c r="Q34" s="271"/>
      <c r="R34" s="271">
        <v>1011.664012</v>
      </c>
      <c r="S34" s="271"/>
      <c r="T34" s="480">
        <v>406.262</v>
      </c>
      <c r="U34" s="480">
        <v>487.48700000000002</v>
      </c>
      <c r="V34" s="474">
        <v>580.27499999999998</v>
      </c>
      <c r="W34" s="381">
        <v>400.363</v>
      </c>
      <c r="X34" s="381">
        <v>347.21699999999998</v>
      </c>
      <c r="Y34" s="488">
        <v>534.25</v>
      </c>
      <c r="Z34" s="488">
        <v>810.10699999999997</v>
      </c>
      <c r="AA34" s="490">
        <v>950.26400000000001</v>
      </c>
      <c r="AB34" s="490">
        <v>829.71600000000001</v>
      </c>
      <c r="AC34" s="490">
        <v>1154.604</v>
      </c>
    </row>
    <row r="35" spans="1:34" ht="15" customHeight="1">
      <c r="A35" s="395" t="s">
        <v>113</v>
      </c>
      <c r="B35" s="333"/>
      <c r="C35" s="334"/>
      <c r="D35" s="334"/>
      <c r="E35" s="325"/>
      <c r="F35" s="413"/>
      <c r="G35" s="433"/>
      <c r="H35" s="335">
        <f>+((H33/F33)^(1/2)-1)</f>
        <v>-0.1029850828501212</v>
      </c>
      <c r="I35" s="335">
        <f>+((I33/F33)^(1/3)-1)</f>
        <v>5.4383917521333203E-2</v>
      </c>
      <c r="J35" s="335">
        <f>+((J33/G33)^(1/3)-1)</f>
        <v>0.11795872715976086</v>
      </c>
      <c r="K35" s="335">
        <f>+((K33/H33)^(1/3)-1)</f>
        <v>0.26293832017515162</v>
      </c>
      <c r="L35" s="335">
        <f>+((L33/I33)^(1/3)-1)</f>
        <v>2.3906055632392009E-2</v>
      </c>
      <c r="M35" s="335">
        <f>+((M33/J33)^(1/3)-1)</f>
        <v>-6.2204160177676937E-2</v>
      </c>
      <c r="N35" s="312"/>
      <c r="O35" s="323" t="s">
        <v>162</v>
      </c>
      <c r="P35" s="271"/>
      <c r="Q35" s="271"/>
      <c r="R35" s="271">
        <v>71.801948999999993</v>
      </c>
      <c r="S35" s="271"/>
      <c r="T35" s="480">
        <v>73.769000000000005</v>
      </c>
      <c r="U35" s="480">
        <v>35.847000000000001</v>
      </c>
      <c r="V35" s="474">
        <v>49.176000000000002</v>
      </c>
      <c r="W35" s="381">
        <v>59.533999999999999</v>
      </c>
      <c r="X35" s="381">
        <v>78.361999999999995</v>
      </c>
      <c r="Y35" s="488">
        <v>164.5</v>
      </c>
      <c r="Z35" s="488">
        <v>50.704000000000001</v>
      </c>
      <c r="AA35" s="490">
        <v>43.854999999999997</v>
      </c>
      <c r="AB35" s="490">
        <v>106.845</v>
      </c>
      <c r="AC35" s="490">
        <v>67.025000000000006</v>
      </c>
    </row>
    <row r="36" spans="1:34" ht="15" customHeight="1">
      <c r="A36" s="395"/>
      <c r="B36" s="333"/>
      <c r="C36" s="333"/>
      <c r="D36" s="333"/>
      <c r="E36" s="333"/>
      <c r="F36" s="414"/>
      <c r="G36" s="434"/>
      <c r="H36" s="434"/>
      <c r="I36" s="434"/>
      <c r="J36" s="434"/>
      <c r="K36" s="434"/>
      <c r="L36" s="434"/>
      <c r="M36" s="434"/>
      <c r="N36" s="312"/>
      <c r="O36" s="323" t="s">
        <v>163</v>
      </c>
      <c r="P36" s="271"/>
      <c r="Q36" s="271"/>
      <c r="R36" s="271">
        <v>249.678866</v>
      </c>
      <c r="S36" s="271"/>
      <c r="T36" s="480">
        <v>13.579000000000001</v>
      </c>
      <c r="U36" s="480">
        <v>12.038</v>
      </c>
      <c r="V36" s="474">
        <v>15.59</v>
      </c>
      <c r="W36" s="381">
        <v>16.087</v>
      </c>
      <c r="X36" s="381">
        <v>24.210999999999999</v>
      </c>
      <c r="Y36" s="488">
        <v>71.61</v>
      </c>
      <c r="Z36" s="488">
        <v>21.898</v>
      </c>
      <c r="AA36" s="490">
        <v>22.856000000000002</v>
      </c>
      <c r="AB36" s="490">
        <v>126.479</v>
      </c>
      <c r="AC36" s="490">
        <v>27.696000000000002</v>
      </c>
    </row>
    <row r="37" spans="1:34" ht="15" customHeight="1">
      <c r="A37" s="395"/>
      <c r="B37" s="333"/>
      <c r="C37" s="333"/>
      <c r="D37" s="333"/>
      <c r="E37" s="333"/>
      <c r="F37" s="414"/>
      <c r="G37" s="434"/>
      <c r="H37" s="434"/>
      <c r="I37" s="434"/>
      <c r="J37" s="434"/>
      <c r="K37" s="434"/>
      <c r="L37" s="434"/>
      <c r="M37" s="434"/>
      <c r="N37" s="312"/>
      <c r="O37" s="323" t="s">
        <v>179</v>
      </c>
      <c r="P37" s="271"/>
      <c r="Q37" s="271"/>
      <c r="R37" s="279">
        <v>0</v>
      </c>
      <c r="S37" s="271"/>
      <c r="T37" s="480">
        <v>4.7160000000000002</v>
      </c>
      <c r="U37" s="480">
        <v>3.113</v>
      </c>
      <c r="V37" s="474">
        <v>2.7589999999999999</v>
      </c>
      <c r="W37" s="381">
        <v>3.5659999999999998</v>
      </c>
      <c r="X37" s="381">
        <v>3.7090000000000001</v>
      </c>
      <c r="Y37" s="488">
        <v>3.27</v>
      </c>
      <c r="Z37" s="488">
        <v>3.645</v>
      </c>
      <c r="AA37" s="490">
        <v>8.4760000000000009</v>
      </c>
      <c r="AB37" s="490">
        <v>18.931999999999999</v>
      </c>
      <c r="AC37" s="490">
        <v>20.677</v>
      </c>
    </row>
    <row r="38" spans="1:34" ht="15" customHeight="1">
      <c r="A38" s="368" t="s">
        <v>103</v>
      </c>
      <c r="B38" s="368"/>
      <c r="C38" s="368"/>
      <c r="D38" s="368"/>
      <c r="E38" s="368"/>
      <c r="F38" s="368"/>
      <c r="G38" s="368"/>
      <c r="H38" s="368"/>
      <c r="I38" s="368"/>
      <c r="J38" s="368"/>
      <c r="K38" s="368"/>
      <c r="L38" s="455"/>
      <c r="M38" s="455"/>
      <c r="N38" s="312"/>
      <c r="O38" s="395" t="s">
        <v>180</v>
      </c>
      <c r="P38" s="271"/>
      <c r="Q38" s="271"/>
      <c r="R38" s="279">
        <v>0</v>
      </c>
      <c r="S38" s="279"/>
      <c r="T38" s="480">
        <v>13.971</v>
      </c>
      <c r="U38" s="480">
        <v>41.488</v>
      </c>
      <c r="V38" s="474">
        <v>46.037999999999997</v>
      </c>
      <c r="W38" s="381">
        <v>145.33600000000001</v>
      </c>
      <c r="X38" s="381">
        <v>163.37799999999999</v>
      </c>
      <c r="Y38" s="488">
        <v>78.16</v>
      </c>
      <c r="Z38" s="488">
        <v>134.88800000000001</v>
      </c>
      <c r="AA38" s="490">
        <v>80.793000000000006</v>
      </c>
      <c r="AB38" s="490">
        <v>226.012</v>
      </c>
      <c r="AC38" s="490">
        <v>258.89800000000002</v>
      </c>
    </row>
    <row r="39" spans="1:34" ht="15" customHeight="1">
      <c r="A39" s="391" t="s">
        <v>0</v>
      </c>
      <c r="B39" s="321" t="s">
        <v>31</v>
      </c>
      <c r="C39" s="321" t="s">
        <v>32</v>
      </c>
      <c r="D39" s="321" t="s">
        <v>33</v>
      </c>
      <c r="E39" s="321" t="s">
        <v>34</v>
      </c>
      <c r="F39" s="320" t="s">
        <v>85</v>
      </c>
      <c r="G39" s="320" t="s">
        <v>90</v>
      </c>
      <c r="H39" s="320" t="s">
        <v>169</v>
      </c>
      <c r="I39" s="320" t="s">
        <v>224</v>
      </c>
      <c r="J39" s="320" t="s">
        <v>229</v>
      </c>
      <c r="K39" s="320" t="s">
        <v>232</v>
      </c>
      <c r="L39" s="320" t="s">
        <v>233</v>
      </c>
      <c r="M39" s="320" t="s">
        <v>235</v>
      </c>
      <c r="N39" s="314"/>
      <c r="O39" s="395" t="s">
        <v>97</v>
      </c>
      <c r="P39" s="271"/>
      <c r="Q39" s="271"/>
      <c r="R39" s="279">
        <v>0</v>
      </c>
      <c r="S39" s="271"/>
      <c r="T39" s="480">
        <v>6.9320000000000004</v>
      </c>
      <c r="U39" s="480">
        <v>10.515000000000001</v>
      </c>
      <c r="V39" s="474">
        <v>11.367000000000001</v>
      </c>
      <c r="W39" s="378">
        <v>9.5530000000000008</v>
      </c>
      <c r="X39" s="378">
        <v>10.971</v>
      </c>
      <c r="Y39" s="488">
        <v>16.73</v>
      </c>
      <c r="Z39" s="488">
        <v>17.722999999999999</v>
      </c>
      <c r="AA39" s="490">
        <v>23.617999999999999</v>
      </c>
      <c r="AB39" s="490">
        <v>33.539000000000001</v>
      </c>
      <c r="AC39" s="490">
        <v>42.033000000000001</v>
      </c>
    </row>
    <row r="40" spans="1:34" ht="15" customHeight="1">
      <c r="A40" s="392" t="s">
        <v>17</v>
      </c>
      <c r="B40" s="324"/>
      <c r="C40" s="324">
        <v>7.2940800000000001</v>
      </c>
      <c r="D40" s="324">
        <v>21.920707</v>
      </c>
      <c r="E40" s="324"/>
      <c r="F40" s="415">
        <f>623.27/10</f>
        <v>62.326999999999998</v>
      </c>
      <c r="G40" s="415">
        <f>737.69/10</f>
        <v>73.769000000000005</v>
      </c>
      <c r="H40" s="415">
        <f>358.47/10</f>
        <v>35.847000000000001</v>
      </c>
      <c r="I40" s="389">
        <v>49.176000000000002</v>
      </c>
      <c r="J40" s="389">
        <v>164.495</v>
      </c>
      <c r="K40" s="389">
        <v>50.704000000000001</v>
      </c>
      <c r="L40" s="389">
        <f>K45</f>
        <v>43.855000000000004</v>
      </c>
      <c r="M40" s="389">
        <f>L45</f>
        <v>106.845</v>
      </c>
      <c r="N40" s="314"/>
      <c r="O40" s="395"/>
      <c r="P40" s="271"/>
      <c r="Q40" s="271"/>
      <c r="R40" s="271"/>
      <c r="S40" s="271"/>
      <c r="T40" s="476"/>
      <c r="U40" s="476"/>
      <c r="V40" s="476"/>
      <c r="W40" s="380"/>
      <c r="X40" s="380"/>
      <c r="Y40" s="488"/>
      <c r="Z40" s="488"/>
      <c r="AA40" s="490"/>
      <c r="AB40" s="490"/>
      <c r="AC40" s="490"/>
    </row>
    <row r="41" spans="1:34" ht="15" customHeight="1">
      <c r="A41" s="395" t="s">
        <v>18</v>
      </c>
      <c r="B41" s="284"/>
      <c r="C41" s="284">
        <v>180.48235099999999</v>
      </c>
      <c r="D41" s="284">
        <v>-40.288313000000002</v>
      </c>
      <c r="E41" s="284"/>
      <c r="F41" s="416">
        <f>-737.54406/10</f>
        <v>-73.754405999999989</v>
      </c>
      <c r="G41" s="416">
        <f>-412.86/10</f>
        <v>-41.286000000000001</v>
      </c>
      <c r="H41" s="416">
        <f>369.59/10</f>
        <v>36.958999999999996</v>
      </c>
      <c r="I41" s="444">
        <v>169.65199999999999</v>
      </c>
      <c r="J41" s="444">
        <v>-104.101</v>
      </c>
      <c r="K41" s="444">
        <v>32.128999999999998</v>
      </c>
      <c r="L41" s="444">
        <v>31.437999999999999</v>
      </c>
      <c r="M41" s="444">
        <v>-24.026</v>
      </c>
      <c r="N41" s="314"/>
      <c r="O41" s="396" t="s">
        <v>46</v>
      </c>
      <c r="P41" s="276">
        <f>SUM(P43:P47)</f>
        <v>0</v>
      </c>
      <c r="Q41" s="276">
        <f>SUM(Q43:Q47)</f>
        <v>0</v>
      </c>
      <c r="R41" s="276">
        <f>SUM(R43:R47)</f>
        <v>706.61606500000005</v>
      </c>
      <c r="S41" s="276">
        <f>SUM(S43:S47)</f>
        <v>0</v>
      </c>
      <c r="T41" s="475">
        <f t="shared" ref="T41:Z41" si="17">SUM(T42:T47)+T9</f>
        <v>200.54660000000001</v>
      </c>
      <c r="U41" s="475">
        <f>SUM(U42:U47)+U9</f>
        <v>323.911</v>
      </c>
      <c r="V41" s="475">
        <f t="shared" si="17"/>
        <v>397.86800000000005</v>
      </c>
      <c r="W41" s="379">
        <f t="shared" si="17"/>
        <v>247.03700000000001</v>
      </c>
      <c r="X41" s="379">
        <f t="shared" si="17"/>
        <v>239.31299999999999</v>
      </c>
      <c r="Y41" s="475">
        <f t="shared" si="17"/>
        <v>334.93</v>
      </c>
      <c r="Z41" s="475">
        <f t="shared" si="17"/>
        <v>523.63699999999994</v>
      </c>
      <c r="AA41" s="475">
        <f>SUM(AA42:AA47)+AA9</f>
        <v>495.58100000000002</v>
      </c>
      <c r="AB41" s="475">
        <f>SUM(AB42:AB47)+AB9</f>
        <v>525.64800000000002</v>
      </c>
      <c r="AC41" s="475">
        <f>SUM(AC42:AC47)+AC9</f>
        <v>800.79499999999996</v>
      </c>
      <c r="AD41" s="269" t="s">
        <v>230</v>
      </c>
    </row>
    <row r="42" spans="1:34" ht="15" customHeight="1">
      <c r="A42" s="395" t="s">
        <v>79</v>
      </c>
      <c r="B42" s="284"/>
      <c r="C42" s="284">
        <v>-289.16806400000002</v>
      </c>
      <c r="D42" s="284">
        <v>-254.827887</v>
      </c>
      <c r="E42" s="284"/>
      <c r="F42" s="416">
        <f>63.95796/10</f>
        <v>6.3957959999999998</v>
      </c>
      <c r="G42" s="416">
        <f>-84.41/10</f>
        <v>-8.4409999999999989</v>
      </c>
      <c r="H42" s="416">
        <f>-44.03/10</f>
        <v>-4.4030000000000005</v>
      </c>
      <c r="I42" s="444">
        <v>20.382999999999999</v>
      </c>
      <c r="J42" s="444">
        <v>1.1499999999999999</v>
      </c>
      <c r="K42" s="444">
        <v>-1.236</v>
      </c>
      <c r="L42" s="444">
        <v>11.481</v>
      </c>
      <c r="M42" s="444">
        <v>-126.44499999999999</v>
      </c>
      <c r="N42" s="314"/>
      <c r="O42" s="395" t="s">
        <v>181</v>
      </c>
      <c r="P42" s="276"/>
      <c r="Q42" s="276"/>
      <c r="R42" s="276"/>
      <c r="S42" s="276"/>
      <c r="T42" s="477">
        <v>1.419</v>
      </c>
      <c r="U42" s="477">
        <v>1.6439999999999999</v>
      </c>
      <c r="V42" s="477">
        <v>2.157</v>
      </c>
      <c r="W42" s="381">
        <v>6.2619999999999996</v>
      </c>
      <c r="X42" s="381">
        <v>0</v>
      </c>
      <c r="Y42" s="488">
        <v>0</v>
      </c>
      <c r="Z42" s="488">
        <v>0</v>
      </c>
      <c r="AA42" s="490">
        <v>0</v>
      </c>
      <c r="AB42" s="490">
        <v>0</v>
      </c>
      <c r="AC42" s="490">
        <v>0</v>
      </c>
      <c r="AD42" s="319"/>
    </row>
    <row r="43" spans="1:34" ht="15" customHeight="1">
      <c r="A43" s="395" t="s">
        <v>19</v>
      </c>
      <c r="B43" s="284"/>
      <c r="C43" s="284">
        <v>123.31234000000001</v>
      </c>
      <c r="D43" s="284">
        <v>284.52159899999998</v>
      </c>
      <c r="E43" s="284"/>
      <c r="F43" s="416">
        <f>817.51505/10</f>
        <v>81.751504999999995</v>
      </c>
      <c r="G43" s="416">
        <f>118.06/10</f>
        <v>11.806000000000001</v>
      </c>
      <c r="H43" s="416">
        <f>-192.27/10</f>
        <v>-19.227</v>
      </c>
      <c r="I43" s="444">
        <v>-74.715999999999994</v>
      </c>
      <c r="J43" s="444">
        <v>-10.837999999999999</v>
      </c>
      <c r="K43" s="444">
        <v>-37.741999999999997</v>
      </c>
      <c r="L43" s="444">
        <v>20.071000000000002</v>
      </c>
      <c r="M43" s="444">
        <v>110.651</v>
      </c>
      <c r="N43" s="314"/>
      <c r="O43" s="395" t="s">
        <v>82</v>
      </c>
      <c r="P43" s="271"/>
      <c r="Q43" s="271"/>
      <c r="R43" s="271">
        <v>266.593322</v>
      </c>
      <c r="S43" s="271"/>
      <c r="T43" s="477">
        <v>15.166600000000001</v>
      </c>
      <c r="U43" s="477">
        <v>41.716999999999999</v>
      </c>
      <c r="V43" s="477">
        <v>94.936000000000007</v>
      </c>
      <c r="W43" s="381">
        <v>62.890999999999998</v>
      </c>
      <c r="X43" s="381">
        <v>69.820999999999998</v>
      </c>
      <c r="Y43" s="488">
        <v>54.25</v>
      </c>
      <c r="Z43" s="488">
        <v>101.904</v>
      </c>
      <c r="AA43" s="490">
        <v>102.14700000000001</v>
      </c>
      <c r="AB43" s="490">
        <v>79.570999999999998</v>
      </c>
      <c r="AC43" s="490">
        <f>13.08+113.726</f>
        <v>126.806</v>
      </c>
    </row>
    <row r="44" spans="1:34" ht="15" customHeight="1">
      <c r="A44" s="399" t="s">
        <v>20</v>
      </c>
      <c r="B44" s="285">
        <f>+B41+B42+B43</f>
        <v>0</v>
      </c>
      <c r="C44" s="285">
        <f>+C41+C42+C43</f>
        <v>14.626626999999985</v>
      </c>
      <c r="D44" s="285">
        <f>+D41+D42+D43</f>
        <v>-10.594601000000011</v>
      </c>
      <c r="E44" s="285"/>
      <c r="F44" s="417">
        <f>143.92895/10</f>
        <v>14.392894999999999</v>
      </c>
      <c r="G44" s="417">
        <f>-379.21/10</f>
        <v>-37.920999999999999</v>
      </c>
      <c r="H44" s="417">
        <f>133.29/10</f>
        <v>13.328999999999999</v>
      </c>
      <c r="I44" s="417">
        <v>115.319</v>
      </c>
      <c r="J44" s="417">
        <f>J41+J42+J43</f>
        <v>-113.78899999999999</v>
      </c>
      <c r="K44" s="417">
        <f>K41+K42+K43</f>
        <v>-6.8490000000000002</v>
      </c>
      <c r="L44" s="417">
        <f>L41+L42+L43</f>
        <v>62.989999999999995</v>
      </c>
      <c r="M44" s="417">
        <f>M41+M42+M43</f>
        <v>-39.820000000000007</v>
      </c>
      <c r="N44" s="314"/>
      <c r="O44" s="395" t="s">
        <v>83</v>
      </c>
      <c r="P44" s="271"/>
      <c r="Q44" s="271"/>
      <c r="R44" s="279">
        <v>0</v>
      </c>
      <c r="S44" s="271"/>
      <c r="T44" s="477">
        <v>81.406000000000006</v>
      </c>
      <c r="U44" s="477">
        <v>140.44900000000001</v>
      </c>
      <c r="V44" s="477">
        <v>140.46600000000001</v>
      </c>
      <c r="W44" s="381">
        <v>137.84700000000001</v>
      </c>
      <c r="X44" s="381">
        <v>137.62899999999999</v>
      </c>
      <c r="Y44" s="488">
        <v>171.83</v>
      </c>
      <c r="Z44" s="488">
        <v>244.87799999999999</v>
      </c>
      <c r="AA44" s="490">
        <v>212.55199999999999</v>
      </c>
      <c r="AB44" s="490">
        <v>237.25</v>
      </c>
      <c r="AC44" s="490">
        <v>292.209</v>
      </c>
    </row>
    <row r="45" spans="1:34" ht="15" customHeight="1">
      <c r="A45" s="399" t="s">
        <v>72</v>
      </c>
      <c r="B45" s="285">
        <f>+B40+B44</f>
        <v>0</v>
      </c>
      <c r="C45" s="285">
        <f>+C40+C44</f>
        <v>21.920706999999986</v>
      </c>
      <c r="D45" s="285">
        <f>+D40+D44</f>
        <v>11.326105999999989</v>
      </c>
      <c r="E45" s="285"/>
      <c r="F45" s="417">
        <f t="shared" ref="F45:L45" si="18">F40+F44</f>
        <v>76.719894999999994</v>
      </c>
      <c r="G45" s="417">
        <f t="shared" si="18"/>
        <v>35.848000000000006</v>
      </c>
      <c r="H45" s="417">
        <f t="shared" si="18"/>
        <v>49.176000000000002</v>
      </c>
      <c r="I45" s="417">
        <f t="shared" si="18"/>
        <v>164.495</v>
      </c>
      <c r="J45" s="417">
        <f t="shared" si="18"/>
        <v>50.706000000000017</v>
      </c>
      <c r="K45" s="417">
        <f t="shared" si="18"/>
        <v>43.855000000000004</v>
      </c>
      <c r="L45" s="417">
        <f>L40+L44</f>
        <v>106.845</v>
      </c>
      <c r="M45" s="417">
        <f t="shared" ref="M45" si="19">M40+M44</f>
        <v>67.024999999999991</v>
      </c>
      <c r="N45" s="314"/>
      <c r="O45" s="395" t="s">
        <v>78</v>
      </c>
      <c r="P45" s="271"/>
      <c r="Q45" s="271"/>
      <c r="R45" s="271">
        <v>252.55324300000001</v>
      </c>
      <c r="S45" s="271"/>
      <c r="T45" s="477">
        <v>66.828999999999994</v>
      </c>
      <c r="U45" s="477">
        <v>70.144000000000005</v>
      </c>
      <c r="V45" s="477">
        <v>71.816999999999993</v>
      </c>
      <c r="W45" s="381">
        <v>31.673999999999999</v>
      </c>
      <c r="X45" s="381">
        <v>31.163</v>
      </c>
      <c r="Y45" s="488">
        <v>73.59</v>
      </c>
      <c r="Z45" s="488">
        <v>112.077</v>
      </c>
      <c r="AA45" s="490">
        <v>145.86699999999999</v>
      </c>
      <c r="AB45" s="490">
        <v>107.672</v>
      </c>
      <c r="AC45" s="490">
        <v>139.90899999999999</v>
      </c>
      <c r="AE45" s="336"/>
      <c r="AG45" s="337"/>
      <c r="AH45" s="337"/>
    </row>
    <row r="46" spans="1:34" ht="15" customHeight="1">
      <c r="I46" s="435"/>
      <c r="J46" s="435"/>
      <c r="N46" s="314"/>
      <c r="O46" s="395" t="s">
        <v>182</v>
      </c>
      <c r="P46" s="271"/>
      <c r="Q46" s="271"/>
      <c r="R46" s="279">
        <v>0</v>
      </c>
      <c r="S46" s="279"/>
      <c r="T46" s="477">
        <v>0.57899999999999996</v>
      </c>
      <c r="U46" s="479"/>
      <c r="V46" s="479">
        <v>0</v>
      </c>
      <c r="W46" s="383">
        <v>0</v>
      </c>
      <c r="X46" s="383">
        <v>0</v>
      </c>
      <c r="Y46" s="488">
        <v>0</v>
      </c>
      <c r="Z46" s="488">
        <v>0</v>
      </c>
      <c r="AA46" s="490">
        <v>0</v>
      </c>
      <c r="AB46" s="490">
        <v>0</v>
      </c>
      <c r="AC46" s="490">
        <v>0</v>
      </c>
    </row>
    <row r="47" spans="1:34" ht="15" customHeight="1">
      <c r="B47" s="269"/>
      <c r="C47" s="269"/>
      <c r="D47" s="269"/>
      <c r="E47" s="269"/>
      <c r="G47" s="418"/>
      <c r="H47" s="420"/>
      <c r="I47" s="420"/>
      <c r="J47" s="420"/>
      <c r="K47" s="420"/>
      <c r="L47" s="420"/>
      <c r="M47" s="420"/>
      <c r="N47" s="314"/>
      <c r="O47" s="395" t="s">
        <v>70</v>
      </c>
      <c r="P47" s="271"/>
      <c r="Q47" s="271"/>
      <c r="R47" s="271">
        <v>187.46950000000001</v>
      </c>
      <c r="S47" s="279"/>
      <c r="T47" s="477">
        <v>0.22800000000000001</v>
      </c>
      <c r="U47" s="477"/>
      <c r="V47" s="477">
        <v>1.0820000000000001</v>
      </c>
      <c r="W47" s="381">
        <v>1.4319999999999999</v>
      </c>
      <c r="X47" s="381">
        <v>0.7</v>
      </c>
      <c r="Y47" s="488">
        <v>0</v>
      </c>
      <c r="Z47" s="488">
        <v>0.47499999999999998</v>
      </c>
      <c r="AA47" s="490">
        <v>0.98499999999999999</v>
      </c>
      <c r="AB47" s="490">
        <v>3.6440000000000001</v>
      </c>
      <c r="AC47" s="490">
        <v>7.3550000000000004</v>
      </c>
    </row>
    <row r="48" spans="1:34" ht="15" customHeight="1">
      <c r="H48" s="420"/>
      <c r="I48" s="420"/>
      <c r="J48" s="420"/>
      <c r="K48" s="420"/>
      <c r="L48" s="420"/>
      <c r="M48" s="420"/>
      <c r="N48" s="314"/>
      <c r="O48" s="395"/>
      <c r="P48" s="271"/>
      <c r="Q48" s="271"/>
      <c r="R48" s="271"/>
      <c r="S48" s="271"/>
      <c r="T48" s="476"/>
      <c r="U48" s="476"/>
      <c r="V48" s="476"/>
      <c r="W48" s="380"/>
      <c r="X48" s="380"/>
      <c r="Y48" s="488"/>
      <c r="Z48" s="488"/>
      <c r="AA48" s="488"/>
      <c r="AB48" s="488"/>
      <c r="AC48" s="488"/>
    </row>
    <row r="49" spans="1:34" ht="15" customHeight="1">
      <c r="B49" s="286"/>
      <c r="C49" s="286"/>
      <c r="D49" s="286"/>
      <c r="E49" s="286"/>
      <c r="F49" s="419"/>
      <c r="H49" s="420"/>
      <c r="I49" s="420"/>
      <c r="J49" s="420"/>
      <c r="K49" s="420"/>
      <c r="L49" s="420"/>
      <c r="M49" s="420"/>
      <c r="N49" s="314"/>
      <c r="O49" s="396" t="s">
        <v>47</v>
      </c>
      <c r="P49" s="276">
        <f t="shared" ref="P49:AA49" si="20">(P30-P41-P9)</f>
        <v>0</v>
      </c>
      <c r="Q49" s="276">
        <f t="shared" si="20"/>
        <v>0</v>
      </c>
      <c r="R49" s="276">
        <f t="shared" si="20"/>
        <v>893.42854900000032</v>
      </c>
      <c r="S49" s="276">
        <f t="shared" si="20"/>
        <v>0</v>
      </c>
      <c r="T49" s="475">
        <f t="shared" si="20"/>
        <v>283.76340000000005</v>
      </c>
      <c r="U49" s="475">
        <f>(U30-U41-U9)</f>
        <v>196.62000000000018</v>
      </c>
      <c r="V49" s="475">
        <f t="shared" si="20"/>
        <v>223.09</v>
      </c>
      <c r="W49" s="379">
        <f t="shared" si="20"/>
        <v>383.7709999999999</v>
      </c>
      <c r="X49" s="379">
        <f t="shared" si="20"/>
        <v>391.87599999999998</v>
      </c>
      <c r="Y49" s="475">
        <f t="shared" si="20"/>
        <v>501.76</v>
      </c>
      <c r="Z49" s="475">
        <f t="shared" si="20"/>
        <v>454.59899999999982</v>
      </c>
      <c r="AA49" s="475">
        <f t="shared" si="20"/>
        <v>603.96699999999998</v>
      </c>
      <c r="AB49" s="475">
        <f>(AB30-AB41-AB9)</f>
        <v>722.33800000000008</v>
      </c>
      <c r="AC49" s="475">
        <f>(AC30-AC41-AC9)</f>
        <v>590.85499999999979</v>
      </c>
    </row>
    <row r="50" spans="1:34" ht="15" customHeight="1">
      <c r="B50" s="287"/>
      <c r="C50" s="287"/>
      <c r="D50" s="287"/>
      <c r="E50" s="287"/>
      <c r="F50" s="419"/>
      <c r="G50" s="420"/>
      <c r="H50" s="420"/>
      <c r="I50" s="420"/>
      <c r="J50" s="420"/>
      <c r="K50" s="420"/>
      <c r="L50" s="420"/>
      <c r="M50" s="420"/>
      <c r="N50" s="314"/>
      <c r="O50" s="395" t="s">
        <v>48</v>
      </c>
      <c r="P50" s="271"/>
      <c r="Q50" s="271"/>
      <c r="R50" s="271">
        <v>62.554617999999998</v>
      </c>
      <c r="S50" s="271"/>
      <c r="T50" s="474">
        <v>1.478</v>
      </c>
      <c r="U50" s="474">
        <v>3.65</v>
      </c>
      <c r="V50" s="474">
        <v>3.0379999999999998</v>
      </c>
      <c r="W50" s="381">
        <v>5.4249999999999998</v>
      </c>
      <c r="X50" s="381">
        <v>4.0759999999999996</v>
      </c>
      <c r="Y50" s="488">
        <v>3.29</v>
      </c>
      <c r="Z50" s="488">
        <v>3.0219999999999998</v>
      </c>
      <c r="AA50" s="490">
        <v>3.706</v>
      </c>
      <c r="AB50" s="490">
        <v>2.637</v>
      </c>
      <c r="AC50" s="490">
        <v>2.8780000000000001</v>
      </c>
    </row>
    <row r="51" spans="1:34" ht="15" customHeight="1">
      <c r="B51" s="287"/>
      <c r="C51" s="287"/>
      <c r="D51" s="287"/>
      <c r="E51" s="287"/>
      <c r="F51" s="420"/>
      <c r="G51" s="420"/>
      <c r="H51" s="420"/>
      <c r="I51" s="420"/>
      <c r="J51" s="420"/>
      <c r="K51" s="420"/>
      <c r="L51" s="420"/>
      <c r="M51" s="420"/>
      <c r="N51" s="314"/>
      <c r="O51" s="395" t="s">
        <v>183</v>
      </c>
      <c r="P51" s="271"/>
      <c r="Q51" s="271"/>
      <c r="R51" s="271"/>
      <c r="S51" s="271"/>
      <c r="T51" s="474">
        <v>8.4239999999999995</v>
      </c>
      <c r="U51" s="474">
        <v>6.78</v>
      </c>
      <c r="V51" s="474">
        <v>4.6230000000000002</v>
      </c>
      <c r="W51" s="380">
        <v>0</v>
      </c>
      <c r="X51" s="380">
        <v>0</v>
      </c>
      <c r="Y51" s="488">
        <v>0</v>
      </c>
      <c r="Z51" s="488">
        <v>0</v>
      </c>
      <c r="AA51" s="490">
        <v>0</v>
      </c>
      <c r="AB51" s="490">
        <v>0</v>
      </c>
      <c r="AC51" s="490">
        <v>0</v>
      </c>
      <c r="AE51" s="316"/>
    </row>
    <row r="52" spans="1:34" ht="15" customHeight="1" thickBot="1">
      <c r="B52" s="287"/>
      <c r="C52" s="287"/>
      <c r="D52" s="287"/>
      <c r="E52" s="287"/>
      <c r="F52" s="420"/>
      <c r="G52" s="420"/>
      <c r="H52" s="420"/>
      <c r="I52" s="420"/>
      <c r="J52" s="420"/>
      <c r="K52" s="420"/>
      <c r="L52" s="420"/>
      <c r="M52" s="420"/>
      <c r="N52" s="314"/>
      <c r="O52" s="395" t="s">
        <v>83</v>
      </c>
      <c r="P52" s="271"/>
      <c r="Q52" s="271"/>
      <c r="R52" s="271">
        <v>0</v>
      </c>
      <c r="S52" s="279"/>
      <c r="T52" s="474">
        <v>24.913</v>
      </c>
      <c r="U52" s="474">
        <v>25.652999999999999</v>
      </c>
      <c r="V52" s="474">
        <v>10.250999999999999</v>
      </c>
      <c r="W52" s="380">
        <v>10.25</v>
      </c>
      <c r="X52" s="380">
        <v>10.250999999999999</v>
      </c>
      <c r="Y52" s="488">
        <v>12.98</v>
      </c>
      <c r="Z52" s="488">
        <v>16.207999999999998</v>
      </c>
      <c r="AA52" s="490">
        <v>4.58</v>
      </c>
      <c r="AB52" s="490">
        <v>14.919</v>
      </c>
      <c r="AC52" s="490">
        <v>38.890999999999998</v>
      </c>
    </row>
    <row r="53" spans="1:34" ht="15" customHeight="1" thickBot="1">
      <c r="A53" s="401" t="s">
        <v>21</v>
      </c>
      <c r="B53" s="302" t="s">
        <v>31</v>
      </c>
      <c r="C53" s="303" t="s">
        <v>32</v>
      </c>
      <c r="D53" s="303" t="s">
        <v>33</v>
      </c>
      <c r="E53" s="303" t="s">
        <v>34</v>
      </c>
      <c r="F53" s="421" t="s">
        <v>85</v>
      </c>
      <c r="G53" s="436" t="s">
        <v>90</v>
      </c>
      <c r="H53" s="443" t="s">
        <v>169</v>
      </c>
      <c r="I53" s="421" t="s">
        <v>224</v>
      </c>
      <c r="J53" s="443" t="s">
        <v>229</v>
      </c>
      <c r="K53" s="446" t="s">
        <v>232</v>
      </c>
      <c r="L53" s="456" t="s">
        <v>233</v>
      </c>
      <c r="M53" s="456" t="s">
        <v>235</v>
      </c>
      <c r="N53" s="314"/>
      <c r="O53" s="395" t="s">
        <v>107</v>
      </c>
      <c r="P53" s="271"/>
      <c r="Q53" s="271"/>
      <c r="R53" s="271">
        <v>0</v>
      </c>
      <c r="S53" s="271"/>
      <c r="T53" s="479"/>
      <c r="U53" s="479"/>
      <c r="V53" s="474">
        <v>0.247</v>
      </c>
      <c r="W53" s="380">
        <v>0.25</v>
      </c>
      <c r="X53" s="380">
        <v>0</v>
      </c>
      <c r="Y53" s="488">
        <v>0</v>
      </c>
      <c r="Z53" s="488">
        <v>0</v>
      </c>
      <c r="AA53" s="490">
        <v>0</v>
      </c>
      <c r="AB53" s="490">
        <v>0</v>
      </c>
      <c r="AC53" s="490">
        <v>0</v>
      </c>
    </row>
    <row r="54" spans="1:34" ht="15" customHeight="1">
      <c r="A54" s="402" t="s">
        <v>27</v>
      </c>
      <c r="B54" s="308">
        <f>SUM(B49:B53)</f>
        <v>0</v>
      </c>
      <c r="C54" s="288">
        <f>SUM(C49:C53)</f>
        <v>0</v>
      </c>
      <c r="D54" s="288">
        <f>SUM(D49:D53)</f>
        <v>0</v>
      </c>
      <c r="E54" s="288"/>
      <c r="F54" s="422">
        <f t="shared" ref="F54:K54" si="21">F41</f>
        <v>-73.754405999999989</v>
      </c>
      <c r="G54" s="437">
        <f t="shared" si="21"/>
        <v>-41.286000000000001</v>
      </c>
      <c r="H54" s="437">
        <f t="shared" si="21"/>
        <v>36.958999999999996</v>
      </c>
      <c r="I54" s="422">
        <f t="shared" si="21"/>
        <v>169.65199999999999</v>
      </c>
      <c r="J54" s="437">
        <f t="shared" si="21"/>
        <v>-104.101</v>
      </c>
      <c r="K54" s="447">
        <f t="shared" si="21"/>
        <v>32.128999999999998</v>
      </c>
      <c r="L54" s="457">
        <f>L41</f>
        <v>31.437999999999999</v>
      </c>
      <c r="M54" s="457">
        <f>M41</f>
        <v>-24.026</v>
      </c>
      <c r="N54" s="314"/>
      <c r="O54" s="395" t="s">
        <v>168</v>
      </c>
      <c r="P54" s="271"/>
      <c r="Q54" s="271"/>
      <c r="R54" s="271"/>
      <c r="S54" s="271"/>
      <c r="T54" s="479"/>
      <c r="U54" s="479"/>
      <c r="V54" s="479"/>
      <c r="W54" s="380"/>
      <c r="X54" s="380"/>
      <c r="Y54" s="488">
        <v>0</v>
      </c>
      <c r="Z54" s="488">
        <v>0</v>
      </c>
      <c r="AA54" s="490">
        <v>0</v>
      </c>
      <c r="AB54" s="490">
        <v>0</v>
      </c>
      <c r="AC54" s="490">
        <v>1.2</v>
      </c>
    </row>
    <row r="55" spans="1:34" ht="15" customHeight="1">
      <c r="A55" s="403" t="s">
        <v>28</v>
      </c>
      <c r="B55" s="309"/>
      <c r="C55" s="289">
        <f>-(Consolidated!Q16-Consolidated!P16)</f>
        <v>0</v>
      </c>
      <c r="D55" s="289">
        <f>-(Consolidated!R16-Consolidated!Q16)</f>
        <v>-1059.722117</v>
      </c>
      <c r="E55" s="289"/>
      <c r="F55" s="423">
        <f>(-67.83+76.25)</f>
        <v>8.4200000000000017</v>
      </c>
      <c r="G55" s="438">
        <f>(-628.81+117.97)/10</f>
        <v>-51.083999999999989</v>
      </c>
      <c r="H55" s="438">
        <f>(-34.48+7.37)/10</f>
        <v>-2.7109999999999994</v>
      </c>
      <c r="I55" s="423">
        <v>-3.4750000000000001</v>
      </c>
      <c r="J55" s="438">
        <v>-9.49</v>
      </c>
      <c r="K55" s="448">
        <v>-11.835000000000001</v>
      </c>
      <c r="L55" s="458">
        <v>-7.6769999999999996</v>
      </c>
      <c r="M55" s="458">
        <f>-98.958+2.423</f>
        <v>-96.534999999999997</v>
      </c>
      <c r="N55" s="314"/>
      <c r="O55" s="396" t="s">
        <v>88</v>
      </c>
      <c r="P55" s="276">
        <f t="shared" ref="P55:AA55" si="22">P15+P30</f>
        <v>0</v>
      </c>
      <c r="Q55" s="276">
        <f t="shared" si="22"/>
        <v>0</v>
      </c>
      <c r="R55" s="276">
        <f t="shared" si="22"/>
        <v>3608.4645350000001</v>
      </c>
      <c r="S55" s="276">
        <f t="shared" si="22"/>
        <v>0</v>
      </c>
      <c r="T55" s="475">
        <f t="shared" si="22"/>
        <v>859.40900000000011</v>
      </c>
      <c r="U55" s="475">
        <f t="shared" si="22"/>
        <v>1063.5070000000001</v>
      </c>
      <c r="V55" s="475">
        <f t="shared" si="22"/>
        <v>1180.104</v>
      </c>
      <c r="W55" s="379">
        <f t="shared" si="22"/>
        <v>1055.56</v>
      </c>
      <c r="X55" s="379">
        <f t="shared" si="22"/>
        <v>1046.9839999999999</v>
      </c>
      <c r="Y55" s="475">
        <f t="shared" si="22"/>
        <v>1201.9099999999999</v>
      </c>
      <c r="Z55" s="475">
        <f t="shared" si="22"/>
        <v>1489.7569999999996</v>
      </c>
      <c r="AA55" s="475">
        <f t="shared" si="22"/>
        <v>1584.4639999999999</v>
      </c>
      <c r="AB55" s="475">
        <f t="shared" ref="AB55:AC55" si="23">AB15+AB30</f>
        <v>1710.21</v>
      </c>
      <c r="AC55" s="475">
        <f t="shared" si="23"/>
        <v>2130.2939999999999</v>
      </c>
      <c r="AH55"/>
    </row>
    <row r="56" spans="1:34" ht="16.5" thickBot="1">
      <c r="A56" s="404" t="s">
        <v>29</v>
      </c>
      <c r="B56" s="306"/>
      <c r="C56" s="290">
        <f>SUM(C54:C55)</f>
        <v>0</v>
      </c>
      <c r="D56" s="290">
        <f>SUM(D54:D55)</f>
        <v>-1059.722117</v>
      </c>
      <c r="E56" s="290"/>
      <c r="F56" s="424">
        <f>SUM(F54:F55)</f>
        <v>-65.334405999999987</v>
      </c>
      <c r="G56" s="439">
        <f>SUM(G54:G55)</f>
        <v>-92.36999999999999</v>
      </c>
      <c r="H56" s="439">
        <f>SUM(H54:H55)</f>
        <v>34.247999999999998</v>
      </c>
      <c r="I56" s="424">
        <f t="shared" ref="I56:K56" si="24">SUM(I54:I55)</f>
        <v>166.17699999999999</v>
      </c>
      <c r="J56" s="439">
        <f t="shared" si="24"/>
        <v>-113.59099999999999</v>
      </c>
      <c r="K56" s="449">
        <f t="shared" si="24"/>
        <v>20.293999999999997</v>
      </c>
      <c r="L56" s="459">
        <f>SUM(L54:L55)</f>
        <v>23.760999999999999</v>
      </c>
      <c r="M56" s="459">
        <f>SUM(M54:M55)</f>
        <v>-120.56099999999999</v>
      </c>
      <c r="N56" s="314"/>
      <c r="O56" s="396" t="s">
        <v>234</v>
      </c>
      <c r="P56" s="276">
        <f>P53+P41+P10+P6+P50+P52+P54</f>
        <v>0</v>
      </c>
      <c r="Q56" s="276">
        <f>Q53+Q41+Q10+Q6+Q50+Q52+Q54</f>
        <v>0</v>
      </c>
      <c r="R56" s="276">
        <f>R53+R41+R10+R6+R50+R52+R54</f>
        <v>3710.9501359999999</v>
      </c>
      <c r="S56" s="276">
        <f>S53+S41+S10+S6+S50+S52+S54</f>
        <v>0</v>
      </c>
      <c r="T56" s="475">
        <f>T53+T41+T10+T6+T50+T52+T54+T51</f>
        <v>894.32959999999991</v>
      </c>
      <c r="U56" s="475">
        <f t="shared" ref="U56:Z56" si="25">U53+U41+U10+U6+U50+U51+U52+U54</f>
        <v>1133.4650000000001</v>
      </c>
      <c r="V56" s="475">
        <f t="shared" si="25"/>
        <v>1267.5170000000001</v>
      </c>
      <c r="W56" s="379">
        <f t="shared" si="25"/>
        <v>1062.492</v>
      </c>
      <c r="X56" s="379">
        <f t="shared" si="25"/>
        <v>1046.9840000000002</v>
      </c>
      <c r="Y56" s="475">
        <f t="shared" si="25"/>
        <v>1237.18</v>
      </c>
      <c r="Z56" s="475">
        <f t="shared" si="25"/>
        <v>1554.0610000000001</v>
      </c>
      <c r="AA56" s="475">
        <f>AA53+AA41+AA6+AA50+AA51+AA52+AA54</f>
        <v>1584.463</v>
      </c>
      <c r="AB56" s="475">
        <f t="shared" ref="AB56" si="26">AB53+AB41+AB6+AB50+AB51+AB52+AB54</f>
        <v>1710.212</v>
      </c>
      <c r="AC56" s="475">
        <f>AC53+AC41+AC8+AC6+AC50+AC51+AC52+AC54</f>
        <v>2130.2939999999999</v>
      </c>
      <c r="AD56" s="316"/>
      <c r="AH56" s="319"/>
    </row>
    <row r="57" spans="1:34" ht="15" customHeight="1">
      <c r="I57" s="435"/>
      <c r="J57" s="435"/>
      <c r="N57" s="314"/>
      <c r="O57" s="469"/>
      <c r="P57" s="291"/>
      <c r="Q57" s="291"/>
      <c r="R57" s="291"/>
      <c r="S57" s="291"/>
      <c r="T57" s="481"/>
      <c r="U57" s="481"/>
      <c r="V57" s="481"/>
    </row>
    <row r="58" spans="1:34" ht="15" customHeight="1" thickBot="1">
      <c r="I58" s="435"/>
      <c r="J58" s="435"/>
      <c r="N58" s="314"/>
      <c r="O58" s="469"/>
      <c r="P58" s="291"/>
      <c r="Q58" s="291"/>
      <c r="R58" s="291"/>
      <c r="S58" s="291"/>
      <c r="T58" s="481"/>
      <c r="U58" s="481"/>
      <c r="V58" s="481"/>
    </row>
    <row r="59" spans="1:34" ht="16.5" thickBot="1">
      <c r="A59" s="401" t="s">
        <v>21</v>
      </c>
      <c r="B59" s="302" t="s">
        <v>31</v>
      </c>
      <c r="C59" s="303" t="s">
        <v>32</v>
      </c>
      <c r="D59" s="303" t="s">
        <v>33</v>
      </c>
      <c r="E59" s="303" t="s">
        <v>34</v>
      </c>
      <c r="F59" s="425" t="s">
        <v>85</v>
      </c>
      <c r="G59" s="436" t="s">
        <v>90</v>
      </c>
      <c r="H59" s="436" t="s">
        <v>169</v>
      </c>
      <c r="I59" s="425" t="s">
        <v>224</v>
      </c>
      <c r="J59" s="436" t="s">
        <v>229</v>
      </c>
      <c r="K59" s="450" t="s">
        <v>232</v>
      </c>
      <c r="L59" s="460" t="s">
        <v>233</v>
      </c>
      <c r="M59" s="460" t="s">
        <v>235</v>
      </c>
      <c r="N59" s="314"/>
      <c r="O59" s="369" t="s">
        <v>49</v>
      </c>
      <c r="P59" s="369"/>
      <c r="Q59" s="369"/>
      <c r="R59" s="369"/>
      <c r="S59" s="369"/>
      <c r="T59" s="369"/>
      <c r="U59" s="369"/>
      <c r="V59" s="369"/>
      <c r="W59" s="369"/>
      <c r="X59" s="369"/>
      <c r="Y59" s="369"/>
      <c r="Z59" s="369"/>
      <c r="AA59" s="369"/>
      <c r="AB59" s="320"/>
      <c r="AC59" s="320"/>
    </row>
    <row r="60" spans="1:34" ht="15.75">
      <c r="A60" s="405" t="s">
        <v>73</v>
      </c>
      <c r="B60" s="311">
        <v>21957533</v>
      </c>
      <c r="C60" s="310">
        <v>21957533</v>
      </c>
      <c r="D60" s="310">
        <v>16743793</v>
      </c>
      <c r="E60" s="310"/>
      <c r="F60" s="384">
        <v>14784000</v>
      </c>
      <c r="G60" s="385">
        <v>14784000</v>
      </c>
      <c r="H60" s="385">
        <v>14784000</v>
      </c>
      <c r="I60" s="384">
        <v>14784000</v>
      </c>
      <c r="J60" s="385">
        <v>14784000</v>
      </c>
      <c r="K60" s="386">
        <v>14784000</v>
      </c>
      <c r="L60" s="387">
        <v>14784000</v>
      </c>
      <c r="M60" s="387">
        <v>14810700</v>
      </c>
      <c r="N60" s="314"/>
      <c r="O60" s="391" t="s">
        <v>50</v>
      </c>
      <c r="P60" s="321" t="s">
        <v>31</v>
      </c>
      <c r="Q60" s="321" t="s">
        <v>32</v>
      </c>
      <c r="R60" s="321" t="s">
        <v>33</v>
      </c>
      <c r="S60" s="321" t="s">
        <v>34</v>
      </c>
      <c r="T60" s="320" t="s">
        <v>85</v>
      </c>
      <c r="U60" s="430" t="s">
        <v>90</v>
      </c>
      <c r="V60" s="430" t="s">
        <v>169</v>
      </c>
      <c r="W60" s="321" t="s">
        <v>222</v>
      </c>
      <c r="X60" s="321" t="s">
        <v>223</v>
      </c>
      <c r="Y60" s="320" t="s">
        <v>224</v>
      </c>
      <c r="Z60" s="320" t="s">
        <v>229</v>
      </c>
      <c r="AA60" s="320" t="s">
        <v>232</v>
      </c>
      <c r="AB60" s="320" t="s">
        <v>233</v>
      </c>
      <c r="AC60" s="493" t="s">
        <v>235</v>
      </c>
    </row>
    <row r="61" spans="1:34" ht="15" customHeight="1">
      <c r="A61" s="403" t="s">
        <v>74</v>
      </c>
      <c r="B61" s="305">
        <f>B60*Consolidated!P61/10^6</f>
        <v>603.83215749999999</v>
      </c>
      <c r="C61" s="285">
        <f>C60*Consolidated!Q61/10^6</f>
        <v>436.95490669999998</v>
      </c>
      <c r="D61" s="285">
        <f>D60*Consolidated!R61/10^6</f>
        <v>3414.0593927000004</v>
      </c>
      <c r="E61" s="285"/>
      <c r="F61" s="426">
        <f>F60*Consolidated!U61/10^6</f>
        <v>606.14400000000001</v>
      </c>
      <c r="G61" s="440">
        <f>G60*Consolidated!V61/10^6</f>
        <v>576.57600000000002</v>
      </c>
      <c r="H61" s="440">
        <f>H60*Consolidated!V61/10^6</f>
        <v>576.57600000000002</v>
      </c>
      <c r="I61" s="426">
        <f>I60*Consolidated!Y61/10^6</f>
        <v>764.33280000000002</v>
      </c>
      <c r="J61" s="440">
        <f>J60*Consolidated!Z61/10^6</f>
        <v>1713.4656</v>
      </c>
      <c r="K61" s="451">
        <f>K60*Consolidated!AA61/10^6</f>
        <v>1527.1872000000001</v>
      </c>
      <c r="L61" s="461">
        <f>L60*Consolidated!AB61/10^6</f>
        <v>1762.2528</v>
      </c>
      <c r="M61" s="465">
        <f>M60*Consolidated!AC61/10^6</f>
        <v>1512.4686839999999</v>
      </c>
      <c r="N61" s="314"/>
      <c r="O61" s="470" t="s">
        <v>51</v>
      </c>
      <c r="P61" s="285">
        <v>27.5</v>
      </c>
      <c r="Q61" s="285">
        <v>19.899999999999999</v>
      </c>
      <c r="R61" s="285">
        <v>203.9</v>
      </c>
      <c r="S61" s="324">
        <v>31.55</v>
      </c>
      <c r="T61" s="415">
        <v>73.400000000000006</v>
      </c>
      <c r="U61" s="415">
        <v>41</v>
      </c>
      <c r="V61" s="415">
        <v>39</v>
      </c>
      <c r="W61" s="324">
        <v>40</v>
      </c>
      <c r="X61" s="324">
        <v>41</v>
      </c>
      <c r="Y61" s="415">
        <v>51.7</v>
      </c>
      <c r="Z61" s="415">
        <v>115.9</v>
      </c>
      <c r="AA61" s="345">
        <v>103.3</v>
      </c>
      <c r="AB61" s="345">
        <v>119.2</v>
      </c>
      <c r="AC61" s="345">
        <v>102.12</v>
      </c>
    </row>
    <row r="62" spans="1:34" ht="15" customHeight="1">
      <c r="A62" s="403" t="s">
        <v>77</v>
      </c>
      <c r="B62" s="309">
        <f>Consolidated!P10</f>
        <v>0</v>
      </c>
      <c r="C62" s="289">
        <f>Consolidated!Q10</f>
        <v>0</v>
      </c>
      <c r="D62" s="289">
        <f>Consolidated!R10</f>
        <v>870.02611300000001</v>
      </c>
      <c r="E62" s="289"/>
      <c r="F62" s="427">
        <f>T10</f>
        <v>37.564</v>
      </c>
      <c r="G62" s="441">
        <f>U10</f>
        <v>71.677999999999997</v>
      </c>
      <c r="H62" s="441">
        <f>V10</f>
        <v>88.24799999999999</v>
      </c>
      <c r="I62" s="427">
        <f>Y10</f>
        <v>35.26</v>
      </c>
      <c r="J62" s="427">
        <f>Z10</f>
        <v>64.302999999999997</v>
      </c>
      <c r="K62" s="452">
        <f>AA10</f>
        <v>34.03</v>
      </c>
      <c r="L62" s="462">
        <f>AB10</f>
        <v>97.510999999999996</v>
      </c>
      <c r="M62" s="466">
        <f>AC10</f>
        <v>267.81200000000001</v>
      </c>
      <c r="N62" s="314"/>
      <c r="O62" s="470" t="s">
        <v>52</v>
      </c>
      <c r="P62" s="285">
        <f t="shared" ref="P62:V62" si="27">B33</f>
        <v>5.75</v>
      </c>
      <c r="Q62" s="285">
        <f t="shared" si="27"/>
        <v>14.92</v>
      </c>
      <c r="R62" s="285">
        <f t="shared" si="27"/>
        <v>14.3</v>
      </c>
      <c r="S62" s="285">
        <f t="shared" si="27"/>
        <v>0</v>
      </c>
      <c r="T62" s="417">
        <f t="shared" si="27"/>
        <v>6.04</v>
      </c>
      <c r="U62" s="417">
        <f t="shared" si="27"/>
        <v>5.84</v>
      </c>
      <c r="V62" s="417">
        <f t="shared" si="27"/>
        <v>4.8600000000000003</v>
      </c>
      <c r="W62" s="285" t="e">
        <f>#REF!</f>
        <v>#REF!</v>
      </c>
      <c r="X62" s="285" t="e">
        <f>#REF!</f>
        <v>#REF!</v>
      </c>
      <c r="Y62" s="417">
        <f>I33</f>
        <v>7.08</v>
      </c>
      <c r="Z62" s="417">
        <f>J33</f>
        <v>8.16</v>
      </c>
      <c r="AA62" s="417">
        <f>K33</f>
        <v>9.7899999999999991</v>
      </c>
      <c r="AB62" s="417">
        <f>L33</f>
        <v>7.6</v>
      </c>
      <c r="AC62" s="417">
        <f>M33</f>
        <v>6.73</v>
      </c>
      <c r="AD62" s="269" t="s">
        <v>231</v>
      </c>
    </row>
    <row r="63" spans="1:34" ht="15" customHeight="1">
      <c r="A63" s="403" t="s">
        <v>75</v>
      </c>
      <c r="B63" s="309">
        <f>Consolidated!P35</f>
        <v>0</v>
      </c>
      <c r="C63" s="289">
        <f>Consolidated!Q35</f>
        <v>0</v>
      </c>
      <c r="D63" s="289">
        <f>Consolidated!R35</f>
        <v>71.801948999999993</v>
      </c>
      <c r="E63" s="289"/>
      <c r="F63" s="427">
        <f>T35+T36</f>
        <v>87.348000000000013</v>
      </c>
      <c r="G63" s="441">
        <f>U35+U36</f>
        <v>47.885000000000005</v>
      </c>
      <c r="H63" s="441">
        <f>V35+V36</f>
        <v>64.766000000000005</v>
      </c>
      <c r="I63" s="427">
        <f>Y35+Y36</f>
        <v>236.11</v>
      </c>
      <c r="J63" s="441">
        <f>Z35+Z36</f>
        <v>72.602000000000004</v>
      </c>
      <c r="K63" s="453">
        <f>AA35+AA36</f>
        <v>66.710999999999999</v>
      </c>
      <c r="L63" s="462">
        <f>AB35+AB36</f>
        <v>233.32400000000001</v>
      </c>
      <c r="M63" s="466">
        <f>AC35+AC36</f>
        <v>94.721000000000004</v>
      </c>
      <c r="N63" s="314"/>
      <c r="O63" s="471" t="s">
        <v>53</v>
      </c>
      <c r="P63" s="289">
        <f>(P6*1000000)/Consolidated!B60</f>
        <v>0</v>
      </c>
      <c r="Q63" s="289">
        <f>(Q6*1000000)/Consolidated!C60</f>
        <v>0</v>
      </c>
      <c r="R63" s="289">
        <f>(R6*1000000)/Consolidated!D60</f>
        <v>123.73261781246339</v>
      </c>
      <c r="S63" s="289" t="e">
        <f>(S6*1000000)/Consolidated!E60</f>
        <v>#DIV/0!</v>
      </c>
      <c r="T63" s="482">
        <f>(T6*1000000)/Consolidated!F60</f>
        <v>42.032196969696969</v>
      </c>
      <c r="U63" s="482">
        <f>(U6*1000000)/Consolidated!G60</f>
        <v>47.46976461038961</v>
      </c>
      <c r="V63" s="482">
        <f>(V6*1000000)/Consolidated!H60</f>
        <v>51.626217532467543</v>
      </c>
      <c r="W63" s="289">
        <f>(W6*1000000)/Consolidated!I60</f>
        <v>53.562770562770574</v>
      </c>
      <c r="X63" s="289">
        <f>(X6*1000000)/Consolidated!J60</f>
        <v>53.662337662337663</v>
      </c>
      <c r="Y63" s="482">
        <f>(Y6*1000000)/Consolidated!K60</f>
        <v>57.543290043290042</v>
      </c>
      <c r="Z63" s="482">
        <f>(Z6*1000000)/Consolidated!J60</f>
        <v>64.048363095238102</v>
      </c>
      <c r="AA63" s="482">
        <f>(AA6*1000000)/Consolidated!K60</f>
        <v>73.092261904761898</v>
      </c>
      <c r="AB63" s="482">
        <f>(AB6*1000000)/Consolidated!L60</f>
        <v>78.937229437229433</v>
      </c>
      <c r="AC63" s="482">
        <f>(AC6*1000000)/Consolidated!M60</f>
        <v>84.616797315454363</v>
      </c>
    </row>
    <row r="64" spans="1:34" ht="15" customHeight="1" thickBot="1">
      <c r="A64" s="406" t="s">
        <v>76</v>
      </c>
      <c r="B64" s="306">
        <f>B61+B62-B63</f>
        <v>603.83215749999999</v>
      </c>
      <c r="C64" s="290">
        <f>C61+C62-C63</f>
        <v>436.95490669999998</v>
      </c>
      <c r="D64" s="290">
        <f>D61+D62-D63</f>
        <v>4212.2835567000011</v>
      </c>
      <c r="E64" s="290"/>
      <c r="F64" s="428">
        <f>F61+F62-F63</f>
        <v>556.3599999999999</v>
      </c>
      <c r="G64" s="442">
        <f>G61+G62-G63</f>
        <v>600.36900000000003</v>
      </c>
      <c r="H64" s="442">
        <f>H61+H62-H63</f>
        <v>600.05800000000011</v>
      </c>
      <c r="I64" s="428">
        <f t="shared" ref="I64:K64" si="28">I61+I62-I63</f>
        <v>563.4828</v>
      </c>
      <c r="J64" s="442">
        <f t="shared" si="28"/>
        <v>1705.1665999999998</v>
      </c>
      <c r="K64" s="454">
        <f t="shared" si="28"/>
        <v>1494.5062</v>
      </c>
      <c r="L64" s="463">
        <f>L61+L62-L63</f>
        <v>1626.4397999999999</v>
      </c>
      <c r="M64" s="467">
        <f>M61+M62-M63</f>
        <v>1685.5596839999998</v>
      </c>
      <c r="N64" s="314"/>
      <c r="O64" s="471" t="s">
        <v>54</v>
      </c>
      <c r="P64" s="289">
        <v>0.6</v>
      </c>
      <c r="Q64" s="289">
        <v>0.6</v>
      </c>
      <c r="R64" s="289">
        <v>2</v>
      </c>
      <c r="S64" s="289">
        <v>1.5</v>
      </c>
      <c r="T64" s="482">
        <v>2</v>
      </c>
      <c r="U64" s="482">
        <v>1</v>
      </c>
      <c r="V64" s="482">
        <v>1</v>
      </c>
      <c r="W64" s="289">
        <v>1</v>
      </c>
      <c r="X64" s="289">
        <v>1</v>
      </c>
      <c r="Y64" s="482">
        <v>1</v>
      </c>
      <c r="Z64" s="482">
        <v>0.5</v>
      </c>
      <c r="AA64" s="482">
        <v>1.5</v>
      </c>
      <c r="AB64" s="482">
        <v>2</v>
      </c>
      <c r="AC64" s="482"/>
    </row>
    <row r="65" spans="1:29" ht="15" customHeight="1">
      <c r="I65" s="435"/>
      <c r="J65" s="435"/>
      <c r="L65" s="464"/>
      <c r="N65" s="314"/>
      <c r="O65" s="471" t="s">
        <v>55</v>
      </c>
      <c r="P65" s="289">
        <f t="shared" ref="P65:S65" si="29">(P61/P62)</f>
        <v>4.7826086956521738</v>
      </c>
      <c r="Q65" s="289">
        <f t="shared" si="29"/>
        <v>1.3337801608579087</v>
      </c>
      <c r="R65" s="289">
        <f t="shared" si="29"/>
        <v>14.258741258741258</v>
      </c>
      <c r="S65" s="292" t="e">
        <f t="shared" si="29"/>
        <v>#DIV/0!</v>
      </c>
      <c r="T65" s="483">
        <f>(T61/T62)</f>
        <v>12.152317880794703</v>
      </c>
      <c r="U65" s="483">
        <f>(U61/U62)</f>
        <v>7.0205479452054798</v>
      </c>
      <c r="V65" s="483">
        <f>(V61/V62)</f>
        <v>8.0246913580246915</v>
      </c>
      <c r="W65" s="292" t="e">
        <f t="shared" ref="W65:Y65" si="30">(W61/W62)</f>
        <v>#REF!</v>
      </c>
      <c r="X65" s="292" t="e">
        <f t="shared" si="30"/>
        <v>#REF!</v>
      </c>
      <c r="Y65" s="483">
        <f t="shared" si="30"/>
        <v>7.3022598870056497</v>
      </c>
      <c r="Z65" s="483">
        <f>(Z61/Z62)</f>
        <v>14.203431372549019</v>
      </c>
      <c r="AA65" s="483">
        <f>(AA61/AA62)</f>
        <v>10.551583248212463</v>
      </c>
      <c r="AB65" s="483">
        <f>(AB61/AB62)</f>
        <v>15.684210526315791</v>
      </c>
      <c r="AC65" s="483">
        <f>(AC61/AC62)</f>
        <v>15.173848439821693</v>
      </c>
    </row>
    <row r="66" spans="1:29" ht="15" customHeight="1" thickBot="1">
      <c r="H66" s="418"/>
      <c r="I66" s="418"/>
      <c r="J66" s="418"/>
      <c r="K66" s="418"/>
      <c r="L66" s="418"/>
      <c r="M66" s="418"/>
      <c r="N66" s="314"/>
      <c r="O66" s="471" t="s">
        <v>56</v>
      </c>
      <c r="P66" s="289" t="e">
        <f t="shared" ref="P66:S66" si="31">(P61/P63)</f>
        <v>#DIV/0!</v>
      </c>
      <c r="Q66" s="289" t="e">
        <f t="shared" si="31"/>
        <v>#DIV/0!</v>
      </c>
      <c r="R66" s="289">
        <f t="shared" si="31"/>
        <v>1.6479082363636979</v>
      </c>
      <c r="S66" s="292" t="e">
        <f t="shared" si="31"/>
        <v>#DIV/0!</v>
      </c>
      <c r="T66" s="483">
        <f>(T61/T63)</f>
        <v>1.7462803586716533</v>
      </c>
      <c r="U66" s="483">
        <f>(U61/U63)</f>
        <v>0.86370767448521146</v>
      </c>
      <c r="V66" s="483">
        <f>(V61/V63)</f>
        <v>0.75543012570062951</v>
      </c>
      <c r="W66" s="292">
        <f t="shared" ref="W66:Y66" si="32">(W61/W63)</f>
        <v>0.74678735957326425</v>
      </c>
      <c r="X66" s="292">
        <f t="shared" si="32"/>
        <v>0.76403678606001935</v>
      </c>
      <c r="Y66" s="483">
        <f t="shared" si="32"/>
        <v>0.89845401542223069</v>
      </c>
      <c r="Z66" s="483">
        <f>(Z61/Z63)</f>
        <v>1.8095700561099428</v>
      </c>
      <c r="AA66" s="483">
        <f t="shared" ref="AA66" si="33">(AA61/AA63)</f>
        <v>1.413282299767906</v>
      </c>
      <c r="AB66" s="483">
        <f>(AB61/AB63)</f>
        <v>1.5100605994132004</v>
      </c>
      <c r="AC66" s="483">
        <f>(AC61/AC63)</f>
        <v>1.2068525782096562</v>
      </c>
    </row>
    <row r="67" spans="1:29" ht="15" customHeight="1" thickBot="1">
      <c r="A67" s="359" t="s">
        <v>236</v>
      </c>
      <c r="B67" s="360"/>
      <c r="C67" s="360"/>
      <c r="D67" s="360"/>
      <c r="E67" s="360"/>
      <c r="F67" s="360"/>
      <c r="G67" s="361"/>
      <c r="H67" s="418"/>
      <c r="I67" s="418"/>
      <c r="J67" s="418"/>
      <c r="K67" s="418"/>
      <c r="L67" s="418"/>
      <c r="M67" s="418"/>
      <c r="N67" s="314"/>
      <c r="O67" s="471" t="s">
        <v>57</v>
      </c>
      <c r="P67" s="289" t="e">
        <f>Consolidated!B64/B13</f>
        <v>#DIV/0!</v>
      </c>
      <c r="Q67" s="289">
        <f>Consolidated!C64/C13</f>
        <v>0.25865823146153766</v>
      </c>
      <c r="R67" s="289">
        <f>Consolidated!D64/D13</f>
        <v>2.3806546251337184</v>
      </c>
      <c r="S67" s="292" t="e">
        <f>Consolidated!E64/E13</f>
        <v>#DIV/0!</v>
      </c>
      <c r="T67" s="483">
        <f>Consolidated!F64/F13</f>
        <v>5.6752553714457035</v>
      </c>
      <c r="U67" s="483">
        <f>Consolidated!G64/G13</f>
        <v>5.450962411476298</v>
      </c>
      <c r="V67" s="483">
        <f>Consolidated!H64/H13</f>
        <v>6.5209519669637057</v>
      </c>
      <c r="W67" s="292">
        <f>Consolidated!I64/I13</f>
        <v>5.8990462830163031</v>
      </c>
      <c r="X67" s="292">
        <f>Consolidated!J64/J13</f>
        <v>13.398340496750942</v>
      </c>
      <c r="Y67" s="483">
        <f>Consolidated!K64/K13</f>
        <v>8.2067476813082436</v>
      </c>
      <c r="Z67" s="483">
        <f>Consolidated!J64/J13</f>
        <v>13.398340496750942</v>
      </c>
      <c r="AA67" s="483">
        <f>Consolidated!K64/K13</f>
        <v>8.2067476813082436</v>
      </c>
      <c r="AB67" s="483">
        <f>Consolidated!L64/L13</f>
        <v>12.995923292049531</v>
      </c>
      <c r="AC67" s="483">
        <f>Consolidated!M64/M13</f>
        <v>12.585472033689483</v>
      </c>
    </row>
    <row r="68" spans="1:29" ht="15" customHeight="1">
      <c r="A68" s="407" t="s">
        <v>108</v>
      </c>
      <c r="B68" s="317"/>
      <c r="C68" s="304"/>
      <c r="D68" s="304"/>
      <c r="E68" s="362" t="s">
        <v>196</v>
      </c>
      <c r="F68" s="362"/>
      <c r="G68" s="363"/>
      <c r="H68" s="418"/>
      <c r="I68" s="418"/>
      <c r="J68" s="418"/>
      <c r="K68" s="418"/>
      <c r="L68" s="418"/>
      <c r="M68" s="418"/>
      <c r="N68" s="314"/>
      <c r="O68" s="472" t="s">
        <v>58</v>
      </c>
      <c r="P68" s="281" t="e">
        <f t="shared" ref="P68:V68" si="34">(B25/P6)</f>
        <v>#DIV/0!</v>
      </c>
      <c r="Q68" s="281" t="e">
        <f t="shared" si="34"/>
        <v>#DIV/0!</v>
      </c>
      <c r="R68" s="281">
        <f t="shared" si="34"/>
        <v>0.7532721607679419</v>
      </c>
      <c r="S68" s="293" t="e">
        <f t="shared" si="34"/>
        <v>#DIV/0!</v>
      </c>
      <c r="T68" s="326">
        <f t="shared" si="34"/>
        <v>0.12510644122020442</v>
      </c>
      <c r="U68" s="326">
        <f t="shared" si="34"/>
        <v>0.12301348118319805</v>
      </c>
      <c r="V68" s="326">
        <f t="shared" si="34"/>
        <v>9.4111697207438741E-2</v>
      </c>
      <c r="W68" s="281" t="e">
        <f>(#REF!/W6)</f>
        <v>#REF!</v>
      </c>
      <c r="X68" s="281" t="e">
        <f>(#REF!/X6)</f>
        <v>#REF!</v>
      </c>
      <c r="Y68" s="326">
        <f>(I25/Y6)</f>
        <v>0.12295702463795369</v>
      </c>
      <c r="Z68" s="326">
        <f>J25/Z6</f>
        <v>0.12744233496780499</v>
      </c>
      <c r="AA68" s="326">
        <f>K25/AA6</f>
        <v>0.13429163165512367</v>
      </c>
      <c r="AB68" s="326">
        <f>L25/AB6</f>
        <v>9.7202418492418285E-2</v>
      </c>
      <c r="AC68" s="326">
        <f>M25/AC6</f>
        <v>8.0149437375621871E-2</v>
      </c>
    </row>
    <row r="69" spans="1:29" ht="15" customHeight="1">
      <c r="A69" s="408" t="s">
        <v>109</v>
      </c>
      <c r="B69" s="307"/>
      <c r="C69" s="283"/>
      <c r="D69" s="283"/>
      <c r="E69" s="355" t="s">
        <v>195</v>
      </c>
      <c r="F69" s="355"/>
      <c r="G69" s="356"/>
      <c r="H69" s="418"/>
      <c r="I69" s="418"/>
      <c r="J69" s="418"/>
      <c r="K69" s="418"/>
      <c r="L69" s="418"/>
      <c r="M69" s="418"/>
      <c r="N69" s="314"/>
      <c r="O69" s="472" t="s">
        <v>59</v>
      </c>
      <c r="P69" s="281" t="e">
        <f t="shared" ref="P69:V69" si="35">(B22+B19)/P11</f>
        <v>#DIV/0!</v>
      </c>
      <c r="Q69" s="281" t="e">
        <f t="shared" si="35"/>
        <v>#DIV/0!</v>
      </c>
      <c r="R69" s="281">
        <f t="shared" si="35"/>
        <v>0.77645570696273336</v>
      </c>
      <c r="S69" s="281" t="e">
        <f t="shared" si="35"/>
        <v>#DIV/0!</v>
      </c>
      <c r="T69" s="326">
        <f t="shared" si="35"/>
        <v>0.16042515602612969</v>
      </c>
      <c r="U69" s="326">
        <f t="shared" si="35"/>
        <v>0.15239380365252983</v>
      </c>
      <c r="V69" s="326">
        <f t="shared" si="35"/>
        <v>0.10942947104401593</v>
      </c>
      <c r="W69" s="281" t="e">
        <f>(#REF!+#REF!)/W11</f>
        <v>#REF!</v>
      </c>
      <c r="X69" s="281" t="e">
        <f>(#REF!+#REF!)/X11</f>
        <v>#REF!</v>
      </c>
      <c r="Y69" s="326">
        <f>(I22+I19)/Y11</f>
        <v>0.12542820563097609</v>
      </c>
      <c r="Z69" s="326">
        <f>(J13-J18)/Z12</f>
        <v>0.12113505568666404</v>
      </c>
      <c r="AA69" s="326">
        <f>(K13-K18)/AA12</f>
        <v>0.15596165979264992</v>
      </c>
      <c r="AB69" s="326">
        <f>(L13-L18)/AB12</f>
        <v>9.4948174937234273E-2</v>
      </c>
      <c r="AC69" s="326">
        <f>(M13-M18)/AC12</f>
        <v>8.8895140199428596E-2</v>
      </c>
    </row>
    <row r="70" spans="1:29" ht="15" customHeight="1">
      <c r="A70" s="408" t="s">
        <v>110</v>
      </c>
      <c r="B70" s="307"/>
      <c r="C70" s="283"/>
      <c r="D70" s="283"/>
      <c r="E70" s="355"/>
      <c r="F70" s="355"/>
      <c r="G70" s="356"/>
      <c r="H70" s="418"/>
      <c r="I70" s="418"/>
      <c r="J70" s="418"/>
      <c r="K70" s="418"/>
      <c r="L70" s="418"/>
      <c r="M70" s="418"/>
      <c r="N70" s="314"/>
      <c r="O70" s="471" t="s">
        <v>60</v>
      </c>
      <c r="P70" s="289" t="e">
        <f t="shared" ref="P70:AB70" si="36">(P10/P6)</f>
        <v>#DIV/0!</v>
      </c>
      <c r="Q70" s="289" t="e">
        <f t="shared" si="36"/>
        <v>#DIV/0!</v>
      </c>
      <c r="R70" s="289">
        <f t="shared" si="36"/>
        <v>0.41994676499471706</v>
      </c>
      <c r="S70" s="292" t="e">
        <f t="shared" si="36"/>
        <v>#DIV/0!</v>
      </c>
      <c r="T70" s="483">
        <f t="shared" si="36"/>
        <v>6.0450206307008002E-2</v>
      </c>
      <c r="U70" s="483">
        <f t="shared" si="36"/>
        <v>0.10213552999246216</v>
      </c>
      <c r="V70" s="483">
        <f t="shared" si="36"/>
        <v>0.11562256794044351</v>
      </c>
      <c r="W70" s="292">
        <f t="shared" si="36"/>
        <v>9.6707548694738542E-3</v>
      </c>
      <c r="X70" s="292">
        <f t="shared" si="36"/>
        <v>0</v>
      </c>
      <c r="Y70" s="483">
        <f t="shared" si="36"/>
        <v>4.1447244686853485E-2</v>
      </c>
      <c r="Z70" s="483">
        <f t="shared" si="36"/>
        <v>6.7909611560359101E-2</v>
      </c>
      <c r="AA70" s="483">
        <f t="shared" si="36"/>
        <v>3.1491880406738504E-2</v>
      </c>
      <c r="AB70" s="483">
        <f>(AB10/AB6)</f>
        <v>8.3556410924346694E-2</v>
      </c>
      <c r="AC70" s="483">
        <f>(AC10/AC6)</f>
        <v>0.21369672383609128</v>
      </c>
    </row>
    <row r="71" spans="1:29" ht="15" customHeight="1" thickBot="1">
      <c r="A71" s="409" t="s">
        <v>111</v>
      </c>
      <c r="B71" s="318"/>
      <c r="C71" s="294"/>
      <c r="D71" s="294"/>
      <c r="E71" s="357" t="s">
        <v>237</v>
      </c>
      <c r="F71" s="357"/>
      <c r="G71" s="358"/>
      <c r="H71" s="418"/>
      <c r="I71" s="418"/>
      <c r="J71" s="418"/>
      <c r="K71" s="418"/>
      <c r="L71" s="418"/>
      <c r="M71" s="418"/>
      <c r="N71" s="314"/>
      <c r="O71" s="471" t="s">
        <v>61</v>
      </c>
      <c r="P71" s="289" t="e">
        <f>(P10-P34)/P6</f>
        <v>#DIV/0!</v>
      </c>
      <c r="Q71" s="289" t="e">
        <f>(Q10-Q34)/Q6</f>
        <v>#DIV/0!</v>
      </c>
      <c r="R71" s="289">
        <f>(R10-R34)/R6</f>
        <v>-6.8366197976058266E-2</v>
      </c>
      <c r="S71" s="292" t="e">
        <f>(S10-S35)/S6</f>
        <v>#DIV/0!</v>
      </c>
      <c r="T71" s="484">
        <f t="shared" ref="T71:AA71" si="37">(T10-SUM(T35:T36))/T6</f>
        <v>-8.0115351687469041E-2</v>
      </c>
      <c r="U71" s="484">
        <f t="shared" si="37"/>
        <v>3.3903159478649678E-2</v>
      </c>
      <c r="V71" s="484">
        <f t="shared" si="37"/>
        <v>3.0766126602047559E-2</v>
      </c>
      <c r="W71" s="327">
        <f t="shared" si="37"/>
        <v>-8.5825739513456706E-2</v>
      </c>
      <c r="X71" s="327">
        <f t="shared" si="37"/>
        <v>-0.12929195909970956</v>
      </c>
      <c r="Y71" s="484">
        <f t="shared" si="37"/>
        <v>-0.23609413202933988</v>
      </c>
      <c r="Z71" s="484">
        <f t="shared" si="37"/>
        <v>-8.7644723627112366E-3</v>
      </c>
      <c r="AA71" s="484">
        <f t="shared" si="37"/>
        <v>-3.0243495256321508E-2</v>
      </c>
      <c r="AB71" s="484">
        <f>(AB10-SUM(AB35:AB36))/AB6</f>
        <v>-0.11637709424442678</v>
      </c>
      <c r="AC71" s="484">
        <f>(AC10-SUM(AC35:AC36))/AC6</f>
        <v>0.13811546766206473</v>
      </c>
    </row>
    <row r="72" spans="1:29" ht="15" customHeight="1">
      <c r="A72" s="410"/>
      <c r="B72" s="295"/>
      <c r="C72" s="295"/>
      <c r="D72" s="295"/>
      <c r="E72" s="295"/>
      <c r="F72" s="429"/>
      <c r="G72" s="429"/>
      <c r="H72" s="418"/>
      <c r="I72" s="418"/>
      <c r="J72" s="418"/>
      <c r="K72" s="418"/>
      <c r="L72" s="418"/>
      <c r="M72" s="418"/>
      <c r="N72" s="314"/>
      <c r="O72" s="471" t="s">
        <v>62</v>
      </c>
      <c r="P72" s="296">
        <f t="shared" ref="P72:U72" si="38">(P64/P61)</f>
        <v>2.1818181818181816E-2</v>
      </c>
      <c r="Q72" s="296">
        <f t="shared" si="38"/>
        <v>3.0150753768844223E-2</v>
      </c>
      <c r="R72" s="296">
        <f t="shared" si="38"/>
        <v>9.8087297694948502E-3</v>
      </c>
      <c r="S72" s="297">
        <f t="shared" si="38"/>
        <v>4.7543581616481777E-2</v>
      </c>
      <c r="T72" s="485">
        <f t="shared" si="38"/>
        <v>2.7247956403269751E-2</v>
      </c>
      <c r="U72" s="485">
        <f t="shared" si="38"/>
        <v>2.4390243902439025E-2</v>
      </c>
      <c r="V72" s="485">
        <f>(V64/V61)</f>
        <v>2.564102564102564E-2</v>
      </c>
      <c r="W72" s="300">
        <f t="shared" ref="W72:Z72" si="39">(W64/W61)</f>
        <v>2.5000000000000001E-2</v>
      </c>
      <c r="X72" s="300">
        <f t="shared" si="39"/>
        <v>2.4390243902439025E-2</v>
      </c>
      <c r="Y72" s="485">
        <f t="shared" si="39"/>
        <v>1.9342359767891681E-2</v>
      </c>
      <c r="Z72" s="485">
        <f t="shared" si="39"/>
        <v>4.3140638481449526E-3</v>
      </c>
      <c r="AA72" s="485">
        <f>(AA64/AA61)</f>
        <v>1.452081316553727E-2</v>
      </c>
      <c r="AB72" s="485">
        <f>(AB64/AB61)</f>
        <v>1.6778523489932886E-2</v>
      </c>
      <c r="AC72" s="485">
        <f>(AC64/AC61)</f>
        <v>0</v>
      </c>
    </row>
    <row r="73" spans="1:29" ht="15" customHeight="1">
      <c r="A73" s="410"/>
      <c r="B73" s="295"/>
      <c r="C73" s="295"/>
      <c r="D73" s="295"/>
      <c r="E73" s="295"/>
      <c r="F73" s="429"/>
      <c r="G73" s="429"/>
      <c r="H73" s="418"/>
      <c r="I73" s="418"/>
      <c r="J73" s="418"/>
      <c r="K73" s="418"/>
      <c r="L73" s="418"/>
      <c r="M73" s="418"/>
      <c r="N73" s="314"/>
      <c r="O73" s="471" t="s">
        <v>63</v>
      </c>
      <c r="P73" s="298" t="e">
        <f t="shared" ref="P73:V73" si="40">(AVERAGE(O34:P34)/B4*365)</f>
        <v>#DIV/0!</v>
      </c>
      <c r="Q73" s="298" t="e">
        <f t="shared" si="40"/>
        <v>#DIV/0!</v>
      </c>
      <c r="R73" s="298">
        <f t="shared" si="40"/>
        <v>124.49023794197426</v>
      </c>
      <c r="S73" s="298" t="e">
        <f t="shared" si="40"/>
        <v>#DIV/0!</v>
      </c>
      <c r="T73" s="328">
        <f t="shared" si="40"/>
        <v>85.475104332388</v>
      </c>
      <c r="U73" s="328">
        <f t="shared" si="40"/>
        <v>79.164616478513665</v>
      </c>
      <c r="V73" s="328">
        <f t="shared" si="40"/>
        <v>89.367835358862635</v>
      </c>
      <c r="W73" s="298" t="e">
        <f>(AVERAGE(V34:W34)/#REF!*365)</f>
        <v>#REF!</v>
      </c>
      <c r="X73" s="298" t="e">
        <f>(AVERAGE(W34:X34)/#REF!*365)</f>
        <v>#REF!</v>
      </c>
      <c r="Y73" s="328">
        <f>(AVERAGE(V34:Y34)/I4*365)</f>
        <v>84.206742825057887</v>
      </c>
      <c r="Z73" s="328">
        <f>(AVERAGE(Y34:Z34)/J4*365)</f>
        <v>85.027765830950997</v>
      </c>
      <c r="AA73" s="328">
        <f>(AVERAGE(Z34:AA34)/K4*365)</f>
        <v>73.597156866585621</v>
      </c>
      <c r="AB73" s="328">
        <f>(AVERAGE(AA34:AB34)/L4*365)</f>
        <v>79.982535862666339</v>
      </c>
      <c r="AC73" s="328">
        <f>(AVERAGE(AB34:AC34)/M4*365)</f>
        <v>70.953410046062899</v>
      </c>
    </row>
    <row r="74" spans="1:29" ht="15" customHeight="1">
      <c r="A74" s="410"/>
      <c r="B74" s="295"/>
      <c r="C74" s="295"/>
      <c r="D74" s="295"/>
      <c r="E74" s="295"/>
      <c r="F74" s="429"/>
      <c r="G74" s="429"/>
      <c r="H74" s="418"/>
      <c r="I74" s="418"/>
      <c r="J74" s="418"/>
      <c r="K74" s="418"/>
      <c r="L74" s="418"/>
      <c r="M74" s="418"/>
      <c r="N74" s="314"/>
      <c r="O74" s="471" t="s">
        <v>64</v>
      </c>
      <c r="P74" s="298"/>
      <c r="Q74" s="298" t="e">
        <f>AVERAGE(P43:Q43)/(C8+C9)*365</f>
        <v>#DIV/0!</v>
      </c>
      <c r="R74" s="298" t="e">
        <f>AVERAGE(Q43:R43)/(D8+D9)*365</f>
        <v>#DIV/0!</v>
      </c>
      <c r="S74" s="298" t="e">
        <f>AVERAGE(R43:S43)/(E8)*365</f>
        <v>#DIV/0!</v>
      </c>
      <c r="T74" s="328">
        <f t="shared" ref="T74:Y74" si="41">AVERAGE(S43:T43)/(F7)*365</f>
        <v>3.3820771926650992</v>
      </c>
      <c r="U74" s="328">
        <f t="shared" si="41"/>
        <v>5.3230663918286982</v>
      </c>
      <c r="V74" s="328">
        <f t="shared" si="41"/>
        <v>11.94130300505631</v>
      </c>
      <c r="W74" s="298">
        <f t="shared" si="41"/>
        <v>14.983562958589422</v>
      </c>
      <c r="X74" s="298">
        <f t="shared" si="41"/>
        <v>8.7810546283016038</v>
      </c>
      <c r="Y74" s="328">
        <f t="shared" si="41"/>
        <v>5.4129455534539836</v>
      </c>
      <c r="Z74" s="328">
        <f>AVERAGE(Y43:Z43)/(I7)*365</f>
        <v>14.824733982370397</v>
      </c>
      <c r="AA74" s="328">
        <f>AVERAGE(Z43:AA43)/(J7)*365</f>
        <v>13.501288338353506</v>
      </c>
      <c r="AB74" s="328">
        <f>AVERAGE(AA43:AB43)/(L7)*365</f>
        <v>8.4250184690456766</v>
      </c>
      <c r="AC74" s="328">
        <f>AVERAGE(AB43:AC43)/(M7)*365</f>
        <v>7.5782893467373293</v>
      </c>
    </row>
    <row r="75" spans="1:29" ht="15" customHeight="1">
      <c r="H75" s="418"/>
      <c r="I75" s="418"/>
      <c r="J75" s="418"/>
      <c r="K75" s="418"/>
      <c r="L75" s="418"/>
      <c r="M75" s="418"/>
      <c r="N75" s="314"/>
      <c r="O75" s="471" t="s">
        <v>65</v>
      </c>
      <c r="P75" s="298"/>
      <c r="Q75" s="298" t="e">
        <f>(AVERAGE(P31:Q31)/(C8+C9)*365)</f>
        <v>#DIV/0!</v>
      </c>
      <c r="R75" s="298" t="e">
        <f>(AVERAGE(Q31:R31)/(D8+D9)*365)</f>
        <v>#DIV/0!</v>
      </c>
      <c r="S75" s="298" t="e">
        <f>(AVERAGE(R31:S31)/(E8+E9)*365)</f>
        <v>#DIV/0!</v>
      </c>
      <c r="T75" s="328" t="s">
        <v>221</v>
      </c>
      <c r="U75" s="328" t="s">
        <v>221</v>
      </c>
      <c r="V75" s="328" t="s">
        <v>221</v>
      </c>
      <c r="W75" s="298" t="s">
        <v>221</v>
      </c>
      <c r="X75" s="298" t="s">
        <v>221</v>
      </c>
      <c r="Y75" s="328" t="s">
        <v>221</v>
      </c>
      <c r="Z75" s="328" t="s">
        <v>228</v>
      </c>
      <c r="AA75" s="328" t="s">
        <v>228</v>
      </c>
      <c r="AB75" s="326" t="s">
        <v>228</v>
      </c>
      <c r="AC75" s="326" t="s">
        <v>228</v>
      </c>
    </row>
    <row r="76" spans="1:29" ht="15" customHeight="1">
      <c r="H76" s="418"/>
      <c r="I76" s="418"/>
      <c r="J76" s="418"/>
      <c r="K76" s="418"/>
      <c r="L76" s="418"/>
      <c r="M76" s="418"/>
      <c r="N76" s="314"/>
      <c r="O76" s="471" t="s">
        <v>81</v>
      </c>
      <c r="P76" s="298"/>
      <c r="Q76" s="298" t="e">
        <f t="shared" ref="Q76:S76" si="42">(Q75+Q73-Q74)</f>
        <v>#DIV/0!</v>
      </c>
      <c r="R76" s="298" t="e">
        <f t="shared" si="42"/>
        <v>#DIV/0!</v>
      </c>
      <c r="S76" s="298" t="e">
        <f t="shared" si="42"/>
        <v>#DIV/0!</v>
      </c>
      <c r="T76" s="328">
        <f t="shared" ref="T76:U76" si="43">(T73-T74)</f>
        <v>82.093027139722906</v>
      </c>
      <c r="U76" s="328">
        <f t="shared" si="43"/>
        <v>73.841550086684961</v>
      </c>
      <c r="V76" s="328">
        <f>(V73-V74)</f>
        <v>77.426532353806323</v>
      </c>
      <c r="W76" s="298" t="e">
        <f t="shared" ref="W76:Y76" si="44">(W73-W74)</f>
        <v>#REF!</v>
      </c>
      <c r="X76" s="298" t="e">
        <f t="shared" si="44"/>
        <v>#REF!</v>
      </c>
      <c r="Y76" s="328">
        <f t="shared" si="44"/>
        <v>78.793797271603907</v>
      </c>
      <c r="Z76" s="328">
        <f>(Z73-Z74)</f>
        <v>70.203031848580594</v>
      </c>
      <c r="AA76" s="328">
        <f>(AA73-AA74)</f>
        <v>60.095868528232117</v>
      </c>
      <c r="AB76" s="328">
        <f>(AB73-AB74)</f>
        <v>71.557517393620657</v>
      </c>
      <c r="AC76" s="328">
        <f>(AC73-AC74)</f>
        <v>63.375120699325571</v>
      </c>
    </row>
    <row r="77" spans="1:29" ht="15" customHeight="1">
      <c r="H77" s="418"/>
      <c r="I77" s="418"/>
      <c r="J77" s="418"/>
      <c r="K77" s="418"/>
      <c r="L77" s="418"/>
      <c r="M77" s="418"/>
      <c r="N77" s="314"/>
      <c r="O77" s="471" t="s">
        <v>66</v>
      </c>
      <c r="P77" s="298"/>
      <c r="Q77" s="298" t="e">
        <f>AVERAGE(P49:Q49)/#REF!*365</f>
        <v>#REF!</v>
      </c>
      <c r="R77" s="298">
        <f>AVERAGE(Q49:R49)/D4*365</f>
        <v>54.97039102403243</v>
      </c>
      <c r="S77" s="298" t="e">
        <f>AVERAGE(R49:S49)/E4*365</f>
        <v>#DIV/0!</v>
      </c>
      <c r="T77" s="328">
        <f>AVERAGE(S49:T49)/F4*365</f>
        <v>29.85106436328423</v>
      </c>
      <c r="U77" s="328">
        <f>AVERAGE(T49:U49)/G4*365</f>
        <v>42.550389005911548</v>
      </c>
      <c r="V77" s="328">
        <f>AVERAGE(U49:V49)/H4*365</f>
        <v>35.12821600550334</v>
      </c>
      <c r="W77" s="298" t="e">
        <f>AVERAGE(V49:W49)/#REF!*365</f>
        <v>#REF!</v>
      </c>
      <c r="X77" s="298" t="e">
        <f>AVERAGE(W49:X49)/#REF!*365</f>
        <v>#REF!</v>
      </c>
      <c r="Y77" s="328">
        <f>AVERAGE(X49:Y49)/I4*365</f>
        <v>80.822699934980491</v>
      </c>
      <c r="Z77" s="328">
        <f>AVERAGE(Y49:Z49)/I4*365</f>
        <v>86.49552668773191</v>
      </c>
      <c r="AA77" s="328">
        <f>AVERAGE(Z49:AA49)/J4*365</f>
        <v>66.952083386039902</v>
      </c>
      <c r="AB77" s="328">
        <f>AVERAGE(AA49:AB49)/L4*365</f>
        <v>59.596870317269683</v>
      </c>
      <c r="AC77" s="328">
        <f>AVERAGE(AB49:AC49)/M4*365</f>
        <v>46.955894915446834</v>
      </c>
    </row>
    <row r="78" spans="1:29" ht="15" customHeight="1">
      <c r="H78" s="418"/>
      <c r="I78" s="418"/>
      <c r="J78" s="418"/>
      <c r="K78" s="418"/>
      <c r="L78" s="418"/>
      <c r="M78" s="418"/>
      <c r="N78" s="314"/>
      <c r="O78" s="473" t="s">
        <v>86</v>
      </c>
      <c r="P78" s="299"/>
      <c r="Q78" s="299" t="e">
        <f>C19/Q10</f>
        <v>#DIV/0!</v>
      </c>
      <c r="R78" s="299">
        <f>D19/R10</f>
        <v>0.15203499300026183</v>
      </c>
      <c r="S78" s="300" t="e">
        <f>E19/S10</f>
        <v>#DIV/0!</v>
      </c>
      <c r="T78" s="329">
        <f>G19/T10</f>
        <v>0.30454690661271427</v>
      </c>
      <c r="U78" s="329">
        <f>H19/U10</f>
        <v>0.22336002678646172</v>
      </c>
      <c r="V78" s="329" t="e">
        <f>#REF!/V10</f>
        <v>#REF!</v>
      </c>
      <c r="W78" s="329" t="e">
        <f>#REF!/W10</f>
        <v>#REF!</v>
      </c>
      <c r="X78" s="329" t="e">
        <f>#REF!/X10</f>
        <v>#REF!</v>
      </c>
      <c r="Y78" s="329">
        <f>I19/Y10</f>
        <v>0.16069200226885991</v>
      </c>
      <c r="Z78" s="329">
        <f>J19/Z10</f>
        <v>0.11372719779792545</v>
      </c>
      <c r="AA78" s="329">
        <f>K19/AA10</f>
        <v>0.51689685571554511</v>
      </c>
      <c r="AB78" s="329">
        <f>L19/AB10</f>
        <v>0.1505471177610731</v>
      </c>
      <c r="AC78" s="329">
        <f>M19/AC10</f>
        <v>0.11482308485056682</v>
      </c>
    </row>
    <row r="79" spans="1:29" ht="15" customHeight="1">
      <c r="H79" s="418"/>
      <c r="I79" s="418"/>
      <c r="J79" s="418"/>
      <c r="K79" s="418"/>
      <c r="L79" s="418"/>
      <c r="M79" s="418"/>
      <c r="N79" s="314"/>
      <c r="O79" s="395" t="s">
        <v>98</v>
      </c>
      <c r="P79" s="289"/>
      <c r="Q79" s="289">
        <f t="shared" ref="Q79:Y79" si="45">(C22+C19)/C19</f>
        <v>13.674528802140234</v>
      </c>
      <c r="R79" s="289">
        <f t="shared" si="45"/>
        <v>13.50157805272908</v>
      </c>
      <c r="S79" s="289" t="e">
        <f t="shared" si="45"/>
        <v>#DIV/0!</v>
      </c>
      <c r="T79" s="482">
        <f t="shared" si="45"/>
        <v>10.282598800331879</v>
      </c>
      <c r="U79" s="482">
        <f t="shared" si="45"/>
        <v>9.8522727272727373</v>
      </c>
      <c r="V79" s="482">
        <f t="shared" si="45"/>
        <v>5.3466583385384121</v>
      </c>
      <c r="W79" s="289">
        <f t="shared" si="45"/>
        <v>19.19255206494881</v>
      </c>
      <c r="X79" s="289">
        <f t="shared" si="45"/>
        <v>17.615069055107323</v>
      </c>
      <c r="Y79" s="482">
        <f t="shared" si="45"/>
        <v>9.9122797043774877</v>
      </c>
      <c r="Z79" s="482">
        <f>(I22+I19)/I19</f>
        <v>19.19255206494881</v>
      </c>
      <c r="AA79" s="482">
        <f>(J22+J19)/J19</f>
        <v>17.615069055107323</v>
      </c>
      <c r="AB79" s="482">
        <f>(K22+K19)/K19</f>
        <v>9.9122797043774877</v>
      </c>
      <c r="AC79" s="482">
        <f>(L22+L19)/L19</f>
        <v>9.2473433242506875</v>
      </c>
    </row>
    <row r="80" spans="1:29" ht="15" customHeight="1">
      <c r="H80" s="418"/>
      <c r="I80" s="418"/>
      <c r="J80" s="418"/>
      <c r="K80" s="418"/>
      <c r="L80" s="418"/>
      <c r="M80" s="418"/>
    </row>
    <row r="81" spans="8:13" ht="15" customHeight="1">
      <c r="H81" s="418"/>
      <c r="I81" s="418"/>
      <c r="J81" s="418"/>
      <c r="K81" s="418"/>
      <c r="L81" s="418"/>
      <c r="M81" s="418"/>
    </row>
    <row r="82" spans="8:13" ht="15" customHeight="1">
      <c r="H82" s="418"/>
      <c r="I82" s="418"/>
      <c r="J82" s="418"/>
      <c r="K82" s="418"/>
      <c r="L82" s="418"/>
      <c r="M82" s="418"/>
    </row>
    <row r="83" spans="8:13" ht="15" customHeight="1">
      <c r="H83" s="418"/>
      <c r="I83" s="418"/>
      <c r="J83" s="418"/>
      <c r="K83" s="418"/>
      <c r="L83" s="418"/>
      <c r="M83" s="418"/>
    </row>
    <row r="84" spans="8:13" ht="15" customHeight="1">
      <c r="H84" s="418"/>
      <c r="I84" s="418"/>
      <c r="J84" s="418"/>
      <c r="K84" s="418"/>
      <c r="L84" s="418"/>
      <c r="M84" s="418"/>
    </row>
    <row r="85" spans="8:13" ht="15" customHeight="1">
      <c r="H85" s="418"/>
      <c r="I85" s="418"/>
      <c r="J85" s="418"/>
      <c r="K85" s="418"/>
      <c r="L85" s="418"/>
      <c r="M85" s="418"/>
    </row>
    <row r="86" spans="8:13" ht="15" customHeight="1">
      <c r="H86" s="418"/>
      <c r="I86" s="418"/>
      <c r="J86" s="418"/>
      <c r="K86" s="418"/>
      <c r="L86" s="418"/>
      <c r="M86" s="418"/>
    </row>
    <row r="87" spans="8:13" ht="15" customHeight="1">
      <c r="H87" s="418"/>
      <c r="I87" s="418"/>
      <c r="J87" s="418"/>
      <c r="K87" s="418"/>
      <c r="L87" s="418"/>
      <c r="M87" s="418"/>
    </row>
    <row r="88" spans="8:13" ht="15" customHeight="1">
      <c r="H88" s="418"/>
      <c r="I88" s="418"/>
      <c r="J88" s="418"/>
      <c r="K88" s="418"/>
      <c r="L88" s="418"/>
      <c r="M88" s="418"/>
    </row>
    <row r="89" spans="8:13" ht="15" customHeight="1">
      <c r="H89" s="418"/>
      <c r="I89" s="418"/>
      <c r="J89" s="418"/>
      <c r="K89" s="418"/>
      <c r="L89" s="418"/>
      <c r="M89" s="418"/>
    </row>
    <row r="90" spans="8:13" ht="15" customHeight="1">
      <c r="H90" s="418"/>
      <c r="I90" s="418"/>
      <c r="J90" s="418"/>
      <c r="K90" s="418"/>
      <c r="L90" s="418"/>
      <c r="M90" s="418"/>
    </row>
    <row r="91" spans="8:13" ht="15" customHeight="1">
      <c r="H91" s="418"/>
      <c r="I91" s="418"/>
      <c r="J91" s="418"/>
      <c r="K91" s="418"/>
      <c r="L91" s="418"/>
      <c r="M91" s="418"/>
    </row>
    <row r="92" spans="8:13" ht="15" customHeight="1">
      <c r="H92" s="418"/>
      <c r="I92" s="418"/>
      <c r="J92" s="418"/>
      <c r="K92" s="418"/>
      <c r="L92" s="418"/>
      <c r="M92" s="418"/>
    </row>
    <row r="93" spans="8:13" ht="15" customHeight="1">
      <c r="H93" s="418"/>
      <c r="I93" s="418"/>
      <c r="J93" s="418"/>
      <c r="K93" s="418"/>
      <c r="L93" s="418"/>
      <c r="M93" s="418"/>
    </row>
    <row r="94" spans="8:13" ht="15" customHeight="1">
      <c r="H94" s="418"/>
      <c r="I94" s="418"/>
      <c r="J94" s="418"/>
      <c r="K94" s="418"/>
      <c r="L94" s="418"/>
      <c r="M94" s="418"/>
    </row>
    <row r="95" spans="8:13" ht="15" customHeight="1">
      <c r="H95" s="418"/>
      <c r="I95" s="418"/>
      <c r="J95" s="418"/>
      <c r="K95" s="418"/>
      <c r="L95" s="418"/>
      <c r="M95" s="418"/>
    </row>
    <row r="96" spans="8:13" ht="15" customHeight="1">
      <c r="H96" s="418"/>
      <c r="I96" s="418"/>
      <c r="J96" s="418"/>
      <c r="K96" s="418"/>
      <c r="L96" s="418"/>
      <c r="M96" s="418"/>
    </row>
    <row r="97" spans="8:13" ht="15" customHeight="1">
      <c r="H97" s="418"/>
      <c r="I97" s="418"/>
      <c r="J97" s="418"/>
      <c r="K97" s="418"/>
      <c r="L97" s="418"/>
      <c r="M97" s="418"/>
    </row>
    <row r="98" spans="8:13" ht="15" customHeight="1">
      <c r="H98" s="418"/>
      <c r="I98" s="418"/>
      <c r="J98" s="418"/>
      <c r="K98" s="418"/>
      <c r="L98" s="418"/>
      <c r="M98" s="418"/>
    </row>
    <row r="99" spans="8:13" ht="15" customHeight="1">
      <c r="H99" s="418"/>
      <c r="I99" s="418"/>
      <c r="J99" s="418"/>
      <c r="K99" s="418"/>
      <c r="L99" s="418"/>
      <c r="M99" s="418"/>
    </row>
    <row r="100" spans="8:13" ht="15" customHeight="1">
      <c r="H100" s="418"/>
      <c r="I100" s="418"/>
      <c r="J100" s="418"/>
      <c r="K100" s="418"/>
      <c r="L100" s="418"/>
      <c r="M100" s="418"/>
    </row>
    <row r="101" spans="8:13" ht="15" customHeight="1">
      <c r="H101" s="418"/>
      <c r="I101" s="418"/>
      <c r="J101" s="418"/>
      <c r="K101" s="418"/>
      <c r="L101" s="418"/>
      <c r="M101" s="418"/>
    </row>
    <row r="102" spans="8:13" ht="15" customHeight="1">
      <c r="H102" s="418"/>
      <c r="I102" s="418"/>
      <c r="J102" s="418"/>
      <c r="K102" s="418"/>
      <c r="L102" s="418"/>
      <c r="M102" s="418"/>
    </row>
    <row r="103" spans="8:13" ht="15" customHeight="1">
      <c r="H103" s="418"/>
      <c r="I103" s="418"/>
      <c r="J103" s="418"/>
      <c r="K103" s="418"/>
      <c r="L103" s="418"/>
      <c r="M103" s="418"/>
    </row>
    <row r="104" spans="8:13" ht="15" customHeight="1">
      <c r="H104" s="418"/>
      <c r="I104" s="418"/>
      <c r="J104" s="418"/>
      <c r="K104" s="418"/>
      <c r="L104" s="418"/>
      <c r="M104" s="418"/>
    </row>
  </sheetData>
  <mergeCells count="10">
    <mergeCell ref="A1:AA1"/>
    <mergeCell ref="O2:AA2"/>
    <mergeCell ref="A38:K38"/>
    <mergeCell ref="O59:AA59"/>
    <mergeCell ref="A2:M2"/>
    <mergeCell ref="E70:G70"/>
    <mergeCell ref="E71:G71"/>
    <mergeCell ref="A67:G67"/>
    <mergeCell ref="E68:G68"/>
    <mergeCell ref="E69:G69"/>
  </mergeCells>
  <phoneticPr fontId="21" type="noConversion"/>
  <printOptions horizontalCentered="1"/>
  <pageMargins left="0.23622047244094491" right="0.23622047244094491" top="0.23622047244094491" bottom="0.23622047244094491" header="0.31496062992125984" footer="0.31496062992125984"/>
  <pageSetup paperSize="9" scale="47" orientation="landscape" horizontalDpi="1200" verticalDpi="1200" r:id="rId1"/>
  <ignoredErrors>
    <ignoredError sqref="R66:S66 R78:S78 R76:S76 R72:S72 R70:S70 R68:S68 R67:S67 R71:S71 R65:S65" evalError="1"/>
    <ignoredError sqref="R75:S75 R74:S74" evalError="1" formulaRange="1"/>
    <ignoredError sqref="I5" formula="1"/>
    <ignoredError sqref="T71:X71 T74:V74 T73:X73 T72:X72 Z74 Y72 Y73:Z73 Y71:Z71 Z72:AC72 AA71:AC71 Y74 AA73:AC73 AA74:AC7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workbookViewId="0">
      <selection activeCell="L5" sqref="L5"/>
    </sheetView>
  </sheetViews>
  <sheetFormatPr defaultColWidth="9.140625" defaultRowHeight="15"/>
  <cols>
    <col min="1" max="1" width="20.42578125" style="86" bestFit="1" customWidth="1"/>
    <col min="2" max="3" width="9.5703125" style="86" customWidth="1"/>
    <col min="4" max="4" width="13.140625" style="86" customWidth="1"/>
    <col min="5" max="5" width="12.5703125" style="86" bestFit="1" customWidth="1"/>
    <col min="6" max="6" width="11.5703125" style="86" bestFit="1" customWidth="1"/>
    <col min="7" max="7" width="5" style="86" customWidth="1"/>
    <col min="8" max="8" width="21.42578125" style="86" bestFit="1" customWidth="1"/>
    <col min="9" max="10" width="12.5703125" style="86" customWidth="1"/>
    <col min="11" max="12" width="14.28515625" style="86" customWidth="1"/>
    <col min="13" max="13" width="12.5703125" style="86" customWidth="1"/>
    <col min="14" max="16384" width="9.140625" style="86"/>
  </cols>
  <sheetData>
    <row r="1" spans="1:13">
      <c r="A1" s="372" t="s">
        <v>197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</row>
    <row r="2" spans="1:13">
      <c r="A2" s="121" t="s">
        <v>170</v>
      </c>
    </row>
    <row r="3" spans="1:13" s="121" customFormat="1" ht="15.75" thickBot="1">
      <c r="B3" s="113" t="s">
        <v>169</v>
      </c>
      <c r="C3" s="113" t="s">
        <v>169</v>
      </c>
      <c r="D3" s="113" t="s">
        <v>169</v>
      </c>
      <c r="E3" s="113" t="s">
        <v>169</v>
      </c>
      <c r="F3" s="113"/>
      <c r="I3" s="113" t="s">
        <v>169</v>
      </c>
      <c r="J3" s="113" t="s">
        <v>169</v>
      </c>
      <c r="K3" s="113" t="s">
        <v>169</v>
      </c>
      <c r="L3" s="113" t="s">
        <v>169</v>
      </c>
      <c r="M3" s="113"/>
    </row>
    <row r="4" spans="1:13" ht="45.75" thickBot="1">
      <c r="A4" s="120" t="s">
        <v>130</v>
      </c>
      <c r="B4" s="111" t="s">
        <v>198</v>
      </c>
      <c r="C4" s="111" t="s">
        <v>199</v>
      </c>
      <c r="D4" s="111" t="s">
        <v>200</v>
      </c>
      <c r="E4" s="111" t="s">
        <v>201</v>
      </c>
      <c r="F4" s="110"/>
      <c r="H4" s="120" t="s">
        <v>129</v>
      </c>
      <c r="I4" s="111" t="s">
        <v>198</v>
      </c>
      <c r="J4" s="111" t="s">
        <v>199</v>
      </c>
      <c r="K4" s="111" t="s">
        <v>200</v>
      </c>
      <c r="L4" s="111" t="s">
        <v>211</v>
      </c>
      <c r="M4" s="110"/>
    </row>
    <row r="5" spans="1:13">
      <c r="A5" s="92" t="s">
        <v>208</v>
      </c>
      <c r="B5" s="204">
        <v>2180.5</v>
      </c>
      <c r="C5" s="141">
        <v>1089.6880000000001</v>
      </c>
      <c r="D5" s="102">
        <v>52007.26</v>
      </c>
      <c r="E5" s="102">
        <v>109914.82</v>
      </c>
      <c r="F5" s="101"/>
      <c r="H5" s="92" t="s">
        <v>128</v>
      </c>
      <c r="I5" s="102">
        <f>Consolidated!V6</f>
        <v>763.24200000000008</v>
      </c>
      <c r="J5" s="102">
        <v>345.47340100000002</v>
      </c>
      <c r="K5" s="102">
        <v>5720.8829999999998</v>
      </c>
      <c r="L5" s="102">
        <v>22759.4</v>
      </c>
      <c r="M5" s="101"/>
    </row>
    <row r="6" spans="1:13">
      <c r="A6" s="92" t="s">
        <v>212</v>
      </c>
      <c r="B6" s="205">
        <v>1734.84</v>
      </c>
      <c r="C6" s="102">
        <v>628.185204</v>
      </c>
      <c r="D6" s="102">
        <v>30412.940999999999</v>
      </c>
      <c r="E6" s="102">
        <v>43149.32</v>
      </c>
      <c r="F6" s="101"/>
      <c r="H6" s="92" t="s">
        <v>40</v>
      </c>
      <c r="I6" s="102">
        <f>Consolidated!V8/10</f>
        <v>8.3799999999999999E-2</v>
      </c>
      <c r="J6" s="102">
        <f>0.152126/10</f>
        <v>1.5212600000000001E-2</v>
      </c>
      <c r="K6" s="102"/>
      <c r="L6" s="102">
        <f>1149.67/10</f>
        <v>114.96700000000001</v>
      </c>
      <c r="M6" s="101"/>
    </row>
    <row r="7" spans="1:13">
      <c r="A7" s="109" t="s">
        <v>117</v>
      </c>
      <c r="B7" s="108">
        <f>((B5/B6)^(1/2)-1)</f>
        <v>0.12111027258526708</v>
      </c>
      <c r="C7" s="108">
        <f>((C5/C6)^(1/3)-1)</f>
        <v>0.20153978365140568</v>
      </c>
      <c r="D7" s="108">
        <f>((D5/D6)^(1/3)-1)</f>
        <v>0.19582744918882677</v>
      </c>
      <c r="E7" s="108">
        <f>((E5/E6)^(1/3)-1)</f>
        <v>0.3657171581480072</v>
      </c>
      <c r="F7" s="107"/>
      <c r="H7" s="92" t="s">
        <v>41</v>
      </c>
      <c r="I7" s="102">
        <f>Consolidated!V9/10</f>
        <v>8.7409999999999997</v>
      </c>
      <c r="J7" s="102">
        <f>31.598326/10</f>
        <v>3.1598326000000001</v>
      </c>
      <c r="K7" s="102">
        <f>762.342/10</f>
        <v>76.234200000000001</v>
      </c>
      <c r="L7" s="102">
        <f>8826.6/10</f>
        <v>882.66000000000008</v>
      </c>
      <c r="M7" s="101"/>
    </row>
    <row r="8" spans="1:13">
      <c r="A8" s="92"/>
      <c r="B8" s="119"/>
      <c r="C8" s="106"/>
      <c r="D8" s="106"/>
      <c r="E8" s="106"/>
      <c r="F8" s="105"/>
      <c r="H8" s="109" t="s">
        <v>42</v>
      </c>
      <c r="I8" s="117">
        <f>I6+I7</f>
        <v>8.8247999999999998</v>
      </c>
      <c r="J8" s="117">
        <f>J6+J7</f>
        <v>3.1750452</v>
      </c>
      <c r="K8" s="117">
        <f>K6+K7</f>
        <v>76.234200000000001</v>
      </c>
      <c r="L8" s="117">
        <f>L6+L7</f>
        <v>997.62700000000007</v>
      </c>
      <c r="M8" s="116"/>
    </row>
    <row r="9" spans="1:13">
      <c r="A9" s="92" t="s">
        <v>127</v>
      </c>
      <c r="B9" s="102"/>
      <c r="C9" s="102"/>
      <c r="D9" s="102"/>
      <c r="E9" s="102"/>
      <c r="F9" s="101"/>
      <c r="H9" s="109" t="s">
        <v>43</v>
      </c>
      <c r="I9" s="117">
        <f>(I10+I11-I17-I7)</f>
        <v>69.482600000000005</v>
      </c>
      <c r="J9" s="117">
        <f>(J10+J11-J17-J7)</f>
        <v>34.717264899999996</v>
      </c>
      <c r="K9" s="117">
        <f>(K10+K11-K17-K7)</f>
        <v>681.27240000000018</v>
      </c>
      <c r="L9" s="117">
        <f>(L10+L11-L17-L7)</f>
        <v>3034.0990000000011</v>
      </c>
      <c r="M9" s="116"/>
    </row>
    <row r="10" spans="1:13">
      <c r="A10" s="92" t="s">
        <v>126</v>
      </c>
      <c r="B10" s="102"/>
      <c r="C10" s="102"/>
      <c r="D10" s="102"/>
      <c r="E10" s="102"/>
      <c r="F10" s="101"/>
      <c r="H10" s="92" t="s">
        <v>125</v>
      </c>
      <c r="I10" s="102">
        <f>Consolidated!V15/10</f>
        <v>47.1736</v>
      </c>
      <c r="J10" s="102">
        <f>37.698287/10</f>
        <v>3.7698287000000001</v>
      </c>
      <c r="K10" s="102">
        <v>687.86220000000003</v>
      </c>
      <c r="L10" s="102">
        <f>24270.9/10</f>
        <v>2427.09</v>
      </c>
      <c r="M10" s="101"/>
    </row>
    <row r="11" spans="1:13">
      <c r="A11" s="92"/>
      <c r="B11" s="106"/>
      <c r="C11" s="106"/>
      <c r="D11" s="118"/>
      <c r="E11" s="106"/>
      <c r="F11" s="105"/>
      <c r="H11" s="92" t="s">
        <v>124</v>
      </c>
      <c r="I11" s="102">
        <f>Consolidated!V30/10</f>
        <v>70.836800000000011</v>
      </c>
      <c r="J11" s="102">
        <f>535.41494/10</f>
        <v>53.541494</v>
      </c>
      <c r="K11" s="102">
        <v>567.39290000000005</v>
      </c>
      <c r="L11" s="102">
        <f>28914.31/10</f>
        <v>2891.431</v>
      </c>
      <c r="M11" s="101"/>
    </row>
    <row r="12" spans="1:13">
      <c r="A12" s="109" t="s">
        <v>202</v>
      </c>
      <c r="B12" s="117">
        <v>91.66</v>
      </c>
      <c r="C12" s="117">
        <v>-12.086257</v>
      </c>
      <c r="D12" s="117">
        <v>950</v>
      </c>
      <c r="E12" s="117">
        <v>746440.73</v>
      </c>
      <c r="F12" s="116"/>
      <c r="H12" s="92" t="s">
        <v>123</v>
      </c>
      <c r="I12" s="102">
        <f>Consolidated!V31/10</f>
        <v>0</v>
      </c>
      <c r="J12" s="102"/>
      <c r="K12" s="102"/>
      <c r="L12" s="102"/>
      <c r="M12" s="101"/>
    </row>
    <row r="13" spans="1:13">
      <c r="A13" s="109" t="s">
        <v>213</v>
      </c>
      <c r="B13" s="117">
        <v>98.03</v>
      </c>
      <c r="C13" s="117">
        <v>126.62</v>
      </c>
      <c r="D13" s="117">
        <v>370</v>
      </c>
      <c r="E13" s="117">
        <v>391346.3</v>
      </c>
      <c r="F13" s="116"/>
      <c r="H13" s="92" t="s">
        <v>122</v>
      </c>
      <c r="I13" s="102">
        <f>Consolidated!U31/10</f>
        <v>0</v>
      </c>
      <c r="J13" s="102"/>
      <c r="K13" s="102"/>
      <c r="L13" s="102"/>
      <c r="M13" s="101"/>
    </row>
    <row r="14" spans="1:13">
      <c r="A14" s="109" t="s">
        <v>117</v>
      </c>
      <c r="B14" s="108">
        <f>((B12/B13)^(1/2)-1)</f>
        <v>-3.3035733922997745E-2</v>
      </c>
      <c r="C14" s="108">
        <f>((C12/C13)^(1/3)-1)</f>
        <v>-1.4570143517213985</v>
      </c>
      <c r="D14" s="108">
        <f>((D12/D13)^(1/3)-1)</f>
        <v>0.36932738530992992</v>
      </c>
      <c r="E14" s="108">
        <f>((E12/E13)^(1/3)-1)</f>
        <v>0.24016089301202226</v>
      </c>
      <c r="F14" s="107"/>
      <c r="H14" s="92" t="s">
        <v>217</v>
      </c>
      <c r="I14" s="102">
        <f>Consolidated!V34/10</f>
        <v>58.027499999999996</v>
      </c>
      <c r="J14" s="102">
        <v>26.2671697</v>
      </c>
      <c r="K14" s="102">
        <v>295.93650000000002</v>
      </c>
      <c r="L14" s="102">
        <f>9982.07/10</f>
        <v>998.20699999999999</v>
      </c>
      <c r="M14" s="101"/>
    </row>
    <row r="15" spans="1:13">
      <c r="A15" s="92"/>
      <c r="B15" s="106"/>
      <c r="C15" s="106"/>
      <c r="D15" s="106"/>
      <c r="E15" s="106"/>
      <c r="F15" s="105"/>
      <c r="H15" s="92" t="s">
        <v>121</v>
      </c>
      <c r="I15" s="102">
        <f>Consolidated!U34/10</f>
        <v>48.748699999999999</v>
      </c>
      <c r="J15" s="102">
        <v>26.41</v>
      </c>
      <c r="K15" s="102">
        <v>264.34910000000002</v>
      </c>
      <c r="L15" s="102">
        <f>9131.9/10</f>
        <v>913.18999999999994</v>
      </c>
      <c r="M15" s="101"/>
    </row>
    <row r="16" spans="1:13">
      <c r="A16" s="92" t="s">
        <v>203</v>
      </c>
      <c r="B16" s="102">
        <f>Consolidated!H18</f>
        <v>12.41</v>
      </c>
      <c r="C16" s="102">
        <v>7.7896939999999999</v>
      </c>
      <c r="D16" s="102">
        <v>105.111</v>
      </c>
      <c r="E16" s="102">
        <v>2486.0700000000002</v>
      </c>
      <c r="F16" s="101"/>
      <c r="H16" s="92" t="s">
        <v>120</v>
      </c>
      <c r="I16" s="102">
        <f>6.477/10</f>
        <v>0.64770000000000005</v>
      </c>
      <c r="J16" s="102">
        <v>2.4266741000000001</v>
      </c>
      <c r="K16" s="102">
        <v>97</v>
      </c>
      <c r="L16" s="102">
        <v>758.72299999999996</v>
      </c>
      <c r="M16" s="101"/>
    </row>
    <row r="17" spans="1:13">
      <c r="A17" s="92" t="s">
        <v>204</v>
      </c>
      <c r="B17" s="102">
        <f>Consolidated!H19</f>
        <v>16.010000000000002</v>
      </c>
      <c r="C17" s="102">
        <v>13.548296000000001</v>
      </c>
      <c r="D17" s="102">
        <v>122.89</v>
      </c>
      <c r="E17" s="102">
        <v>1668.01</v>
      </c>
      <c r="F17" s="101"/>
      <c r="H17" s="92" t="s">
        <v>119</v>
      </c>
      <c r="I17" s="102">
        <f>Consolidated!V41/10</f>
        <v>39.786800000000007</v>
      </c>
      <c r="J17" s="102">
        <v>19.4342252</v>
      </c>
      <c r="K17" s="102">
        <v>497.74849999999998</v>
      </c>
      <c r="L17" s="102">
        <v>1401.7619999999999</v>
      </c>
      <c r="M17" s="101"/>
    </row>
    <row r="18" spans="1:13">
      <c r="A18" s="92"/>
      <c r="B18" s="102"/>
      <c r="C18" s="102"/>
      <c r="D18" s="102"/>
      <c r="E18" s="102"/>
      <c r="F18" s="101"/>
      <c r="H18" s="92" t="s">
        <v>218</v>
      </c>
      <c r="I18" s="102">
        <f>Consolidated!W43/10</f>
        <v>6.2890999999999995</v>
      </c>
      <c r="J18" s="102">
        <v>2.2490570000000001</v>
      </c>
      <c r="K18" s="102">
        <v>37.823300000000003</v>
      </c>
      <c r="L18" s="102">
        <f>1632.57/10</f>
        <v>163.25700000000001</v>
      </c>
      <c r="M18" s="101"/>
    </row>
    <row r="19" spans="1:13">
      <c r="A19" s="92" t="s">
        <v>214</v>
      </c>
      <c r="B19" s="102">
        <f>Consolidated!F18</f>
        <v>7.6277590000000002</v>
      </c>
      <c r="C19" s="102">
        <v>2.9770289999999999</v>
      </c>
      <c r="D19" s="102">
        <v>61.046999999999997</v>
      </c>
      <c r="E19" s="102">
        <v>332.995</v>
      </c>
      <c r="F19" s="101"/>
      <c r="H19" s="92" t="s">
        <v>118</v>
      </c>
      <c r="I19" s="102">
        <f>Consolidated!U43/10</f>
        <v>4.1716999999999995</v>
      </c>
      <c r="J19" s="102">
        <v>1.6276584999999999</v>
      </c>
      <c r="K19" s="102">
        <v>27.983699999999999</v>
      </c>
      <c r="L19" s="102">
        <f>1729.17/10</f>
        <v>172.917</v>
      </c>
      <c r="M19" s="101"/>
    </row>
    <row r="20" spans="1:13" ht="15.75" thickBot="1">
      <c r="A20" s="92" t="s">
        <v>215</v>
      </c>
      <c r="B20" s="102">
        <f>Consolidated!F19</f>
        <v>10.279343000000001</v>
      </c>
      <c r="C20" s="102">
        <v>6.3548049999999998</v>
      </c>
      <c r="D20" s="102">
        <v>10.971</v>
      </c>
      <c r="E20" s="102">
        <v>478.60700000000003</v>
      </c>
      <c r="F20" s="101"/>
      <c r="H20" s="115" t="s">
        <v>47</v>
      </c>
      <c r="I20" s="114">
        <f>I11-I17-I7</f>
        <v>22.309000000000005</v>
      </c>
      <c r="J20" s="114">
        <f>J11-J17-J7</f>
        <v>30.947436199999999</v>
      </c>
      <c r="K20" s="114">
        <f>K11-K17-K7</f>
        <v>-6.5897999999999257</v>
      </c>
      <c r="L20" s="114">
        <f>L11-L17-L7</f>
        <v>607.00900000000001</v>
      </c>
      <c r="M20" s="114"/>
    </row>
    <row r="21" spans="1:13">
      <c r="A21" s="92"/>
      <c r="B21" s="102"/>
      <c r="C21" s="102"/>
      <c r="D21" s="102"/>
      <c r="E21" s="102"/>
      <c r="F21" s="101"/>
    </row>
    <row r="22" spans="1:13">
      <c r="A22" s="92" t="s">
        <v>205</v>
      </c>
      <c r="B22" s="102">
        <f>Consolidated!H22</f>
        <v>69.589999999999975</v>
      </c>
      <c r="C22" s="102">
        <v>-29.274135000000001</v>
      </c>
      <c r="D22" s="102">
        <v>829.74</v>
      </c>
      <c r="E22" s="102">
        <v>2796.5</v>
      </c>
      <c r="F22" s="101"/>
    </row>
    <row r="23" spans="1:13">
      <c r="A23" s="92" t="s">
        <v>216</v>
      </c>
      <c r="B23" s="102">
        <f>Consolidated!F22</f>
        <v>95.419016999999911</v>
      </c>
      <c r="C23" s="102">
        <v>118.606239</v>
      </c>
      <c r="D23" s="102">
        <v>515.05899999999997</v>
      </c>
      <c r="E23" s="102">
        <v>1723.1489999999999</v>
      </c>
      <c r="F23" s="203"/>
    </row>
    <row r="24" spans="1:13" ht="15.75" thickBot="1">
      <c r="A24" s="92"/>
      <c r="B24" s="102"/>
      <c r="C24" s="102"/>
      <c r="D24" s="102"/>
      <c r="E24" s="102"/>
      <c r="F24" s="101"/>
      <c r="I24" s="113" t="s">
        <v>169</v>
      </c>
      <c r="J24" s="113" t="s">
        <v>169</v>
      </c>
      <c r="K24" s="113" t="s">
        <v>169</v>
      </c>
      <c r="L24" s="113" t="s">
        <v>169</v>
      </c>
      <c r="M24" s="113"/>
    </row>
    <row r="25" spans="1:13" ht="45">
      <c r="A25" s="92" t="s">
        <v>206</v>
      </c>
      <c r="B25" s="102">
        <f>Consolidated!H25</f>
        <v>71.82999999999997</v>
      </c>
      <c r="C25" s="102">
        <v>-34.437690000000003</v>
      </c>
      <c r="D25" s="102">
        <v>349.75299999999999</v>
      </c>
      <c r="E25" s="102">
        <v>-4318.78</v>
      </c>
      <c r="F25" s="101"/>
      <c r="H25" s="112" t="s">
        <v>49</v>
      </c>
      <c r="I25" s="111" t="s">
        <v>198</v>
      </c>
      <c r="J25" s="111" t="s">
        <v>220</v>
      </c>
      <c r="K25" s="111" t="s">
        <v>200</v>
      </c>
      <c r="L25" s="111" t="s">
        <v>211</v>
      </c>
      <c r="M25" s="110"/>
    </row>
    <row r="26" spans="1:13">
      <c r="A26" s="92" t="s">
        <v>219</v>
      </c>
      <c r="B26" s="102">
        <f>Consolidated!F25</f>
        <v>77.741642999999911</v>
      </c>
      <c r="C26" s="102">
        <v>76.819540000000003</v>
      </c>
      <c r="D26" s="102">
        <v>575.70399999999995</v>
      </c>
      <c r="E26" s="102">
        <v>1218.7940000000001</v>
      </c>
      <c r="F26" s="101"/>
      <c r="H26" s="92" t="s">
        <v>73</v>
      </c>
      <c r="I26" s="98">
        <f>Consolidated!H60</f>
        <v>14784000</v>
      </c>
      <c r="J26" s="98">
        <v>79408926</v>
      </c>
      <c r="K26" s="229">
        <v>17096769</v>
      </c>
      <c r="L26" s="229">
        <v>147637945</v>
      </c>
      <c r="M26" s="97"/>
    </row>
    <row r="27" spans="1:13">
      <c r="A27" s="109" t="s">
        <v>117</v>
      </c>
      <c r="B27" s="146">
        <f>Consolidated!H27</f>
        <v>-3.877274643391182E-2</v>
      </c>
      <c r="C27" s="149">
        <f>(C25/C26)^(1/3)-1</f>
        <v>-1.7653394559979039</v>
      </c>
      <c r="D27" s="149">
        <f t="shared" ref="D27:E27" si="0">(D25/D26)^(1/3)-1</f>
        <v>-0.15305722580988934</v>
      </c>
      <c r="E27" s="149">
        <f t="shared" si="0"/>
        <v>-2.5245567365343407</v>
      </c>
      <c r="F27" s="149"/>
      <c r="H27" s="92" t="s">
        <v>74</v>
      </c>
      <c r="I27" s="100">
        <f>Consolidated!H61/10</f>
        <v>57.657600000000002</v>
      </c>
      <c r="J27" s="100">
        <f>J26*J31/10^7</f>
        <v>174.30259257</v>
      </c>
      <c r="K27" s="230">
        <v>38506.197999999997</v>
      </c>
      <c r="L27" s="230">
        <v>61218.074000000001</v>
      </c>
      <c r="M27" s="99"/>
    </row>
    <row r="28" spans="1:13">
      <c r="A28" s="92"/>
      <c r="B28" s="106"/>
      <c r="C28" s="106"/>
      <c r="D28" s="106"/>
      <c r="E28" s="106"/>
      <c r="F28" s="105"/>
      <c r="H28" s="92" t="s">
        <v>77</v>
      </c>
      <c r="I28" s="100">
        <f>Consolidated!G62/10</f>
        <v>7.1677999999999997</v>
      </c>
      <c r="J28" s="100">
        <f>J8</f>
        <v>3.1750452</v>
      </c>
      <c r="K28" s="100">
        <f>K8</f>
        <v>76.234200000000001</v>
      </c>
      <c r="L28" s="100">
        <f>L8</f>
        <v>997.62700000000007</v>
      </c>
      <c r="M28" s="99"/>
    </row>
    <row r="29" spans="1:13" ht="15.75" thickBot="1">
      <c r="A29" s="89" t="s">
        <v>207</v>
      </c>
      <c r="B29" s="104">
        <f>Consolidated!H33</f>
        <v>4.8600000000000003</v>
      </c>
      <c r="C29" s="104">
        <v>-3.55</v>
      </c>
      <c r="D29" s="104">
        <v>20.46</v>
      </c>
      <c r="E29" s="104">
        <v>-30.22</v>
      </c>
      <c r="F29" s="103"/>
      <c r="H29" s="92" t="s">
        <v>75</v>
      </c>
      <c r="I29" s="100">
        <f>Consolidated!H63/10</f>
        <v>6.4766000000000004</v>
      </c>
      <c r="J29" s="100">
        <f>J16</f>
        <v>2.4266741000000001</v>
      </c>
      <c r="K29" s="100">
        <f>K16</f>
        <v>97</v>
      </c>
      <c r="L29" s="100">
        <f>L16</f>
        <v>758.72299999999996</v>
      </c>
      <c r="M29" s="99"/>
    </row>
    <row r="30" spans="1:13">
      <c r="H30" s="92" t="s">
        <v>76</v>
      </c>
      <c r="I30" s="100">
        <f>Consolidated!H64/10</f>
        <v>60.005800000000008</v>
      </c>
      <c r="J30" s="100">
        <f>J27+J28-J29</f>
        <v>175.05096366999999</v>
      </c>
      <c r="K30" s="100">
        <f>K27+K28-K29</f>
        <v>38485.432199999996</v>
      </c>
      <c r="L30" s="100">
        <f>L27+L28-L29</f>
        <v>61456.978000000003</v>
      </c>
      <c r="M30" s="99"/>
    </row>
    <row r="31" spans="1:13">
      <c r="H31" s="92" t="s">
        <v>51</v>
      </c>
      <c r="I31" s="102">
        <f>Consolidated!W61</f>
        <v>40</v>
      </c>
      <c r="J31" s="102">
        <v>21.95</v>
      </c>
      <c r="K31" s="102">
        <v>2258.35</v>
      </c>
      <c r="L31" s="102">
        <v>424.1</v>
      </c>
      <c r="M31" s="101"/>
    </row>
    <row r="32" spans="1:13">
      <c r="H32" s="92" t="s">
        <v>52</v>
      </c>
      <c r="I32" s="100">
        <f>B29</f>
        <v>4.8600000000000003</v>
      </c>
      <c r="J32" s="100">
        <f>C29</f>
        <v>-3.55</v>
      </c>
      <c r="K32" s="100">
        <f>D29</f>
        <v>20.46</v>
      </c>
      <c r="L32" s="100">
        <f>E29</f>
        <v>-30.22</v>
      </c>
      <c r="M32" s="99"/>
    </row>
    <row r="33" spans="8:13">
      <c r="H33" s="92" t="s">
        <v>53</v>
      </c>
      <c r="I33" s="100">
        <f>Consolidated!W63</f>
        <v>53.562770562770574</v>
      </c>
      <c r="J33" s="100">
        <f>J5*10^7/J26</f>
        <v>43.505613084352767</v>
      </c>
      <c r="K33" s="100">
        <f>K5*10^7/K26</f>
        <v>3346.1778655370499</v>
      </c>
      <c r="L33" s="100">
        <f>L5*10^7/L26</f>
        <v>1541.5684633107023</v>
      </c>
      <c r="M33" s="99"/>
    </row>
    <row r="34" spans="8:13">
      <c r="H34" s="92" t="s">
        <v>55</v>
      </c>
      <c r="I34" s="91">
        <f>Consolidated!V65</f>
        <v>8.0246913580246915</v>
      </c>
      <c r="J34" s="91">
        <f>J31/J32</f>
        <v>-6.183098591549296</v>
      </c>
      <c r="K34" s="91">
        <f>K31/K32</f>
        <v>110.37878787878788</v>
      </c>
      <c r="L34" s="91">
        <f>L31/L32</f>
        <v>-14.033752481800134</v>
      </c>
      <c r="M34" s="90"/>
    </row>
    <row r="35" spans="8:13">
      <c r="H35" s="92" t="s">
        <v>56</v>
      </c>
      <c r="I35" s="91">
        <f>Consolidated!W66</f>
        <v>0.74678735957326425</v>
      </c>
      <c r="J35" s="91">
        <f>J31/J33</f>
        <v>0.50453259806823725</v>
      </c>
      <c r="K35" s="91">
        <f>K31/K33</f>
        <v>0.67490435079951816</v>
      </c>
      <c r="L35" s="91">
        <f>L31/L33</f>
        <v>0.27510941621703561</v>
      </c>
      <c r="M35" s="90"/>
    </row>
    <row r="36" spans="8:13">
      <c r="H36" s="92" t="s">
        <v>57</v>
      </c>
      <c r="I36" s="91">
        <f>Consolidated!W67</f>
        <v>5.8990462830163031</v>
      </c>
      <c r="J36" s="91">
        <f>J30/C12</f>
        <v>-14.483471902839728</v>
      </c>
      <c r="K36" s="91">
        <f>K30/D12</f>
        <v>40.510981263157888</v>
      </c>
      <c r="L36" s="91">
        <f>L30/E12</f>
        <v>8.2333366240612299E-2</v>
      </c>
      <c r="M36" s="90"/>
    </row>
    <row r="37" spans="8:13">
      <c r="H37" s="92" t="s">
        <v>58</v>
      </c>
      <c r="I37" s="94">
        <f>Consolidated!V68</f>
        <v>9.4111697207438741E-2</v>
      </c>
      <c r="J37" s="94">
        <f>C25/J5</f>
        <v>-9.9682609139567308E-2</v>
      </c>
      <c r="K37" s="94">
        <f>D25/K5</f>
        <v>6.1136191738233418E-2</v>
      </c>
      <c r="L37" s="94">
        <f>E25/L5</f>
        <v>-0.18975807798096608</v>
      </c>
      <c r="M37" s="94"/>
    </row>
    <row r="38" spans="8:13">
      <c r="H38" s="92" t="s">
        <v>59</v>
      </c>
      <c r="I38" s="94">
        <f>Consolidated!V69</f>
        <v>0.10942947104401593</v>
      </c>
      <c r="J38" s="94">
        <f>(C22+C17)/J9/10</f>
        <v>-4.5296883395903695E-2</v>
      </c>
      <c r="K38" s="94">
        <f>(D22+D17)/K9/10</f>
        <v>0.13983099858441347</v>
      </c>
      <c r="L38" s="94">
        <f>(E22+E17)/L9/10</f>
        <v>0.14714450649105382</v>
      </c>
      <c r="M38" s="93"/>
    </row>
    <row r="39" spans="8:13">
      <c r="H39" s="92" t="s">
        <v>115</v>
      </c>
      <c r="I39" s="91">
        <f>I10/B5</f>
        <v>2.1634304058702133E-2</v>
      </c>
      <c r="J39" s="91">
        <f>J10/C5</f>
        <v>3.4595486965076239E-3</v>
      </c>
      <c r="K39" s="91">
        <f>K10/D5</f>
        <v>1.3226272639627621E-2</v>
      </c>
      <c r="L39" s="91">
        <f>L10/E5</f>
        <v>2.2081553697672434E-2</v>
      </c>
      <c r="M39" s="90"/>
    </row>
    <row r="40" spans="8:13">
      <c r="H40" s="92" t="s">
        <v>60</v>
      </c>
      <c r="I40" s="91">
        <f>Consolidated!W70</f>
        <v>9.6707548694738542E-3</v>
      </c>
      <c r="J40" s="91">
        <f>J8/J5</f>
        <v>9.1904186858078833E-3</v>
      </c>
      <c r="K40" s="91">
        <f>K8/K5</f>
        <v>1.3325600261358256E-2</v>
      </c>
      <c r="L40" s="91">
        <f>L8/L5</f>
        <v>4.3833624787999681E-2</v>
      </c>
      <c r="M40" s="90"/>
    </row>
    <row r="41" spans="8:13">
      <c r="H41" s="92" t="s">
        <v>61</v>
      </c>
      <c r="I41" s="91">
        <f>Consolidated!W71</f>
        <v>-8.5825739513456706E-2</v>
      </c>
      <c r="J41" s="91">
        <f>(J8-J16)/J5</f>
        <v>2.1662191585047671E-3</v>
      </c>
      <c r="K41" s="91">
        <f>(K8-K16)/K5</f>
        <v>-3.6298242771264505E-3</v>
      </c>
      <c r="L41" s="91">
        <f>(L8-L16)/L5</f>
        <v>1.0496937529108855E-2</v>
      </c>
      <c r="M41" s="90"/>
    </row>
    <row r="42" spans="8:13">
      <c r="H42" s="92" t="s">
        <v>116</v>
      </c>
      <c r="I42" s="147">
        <f>Consolidated!W64</f>
        <v>1</v>
      </c>
      <c r="J42" s="147">
        <v>2.5</v>
      </c>
      <c r="K42" s="147">
        <v>7.5</v>
      </c>
      <c r="L42" s="147">
        <v>0.5</v>
      </c>
      <c r="M42" s="148"/>
    </row>
    <row r="43" spans="8:13">
      <c r="H43" s="92" t="s">
        <v>62</v>
      </c>
      <c r="I43" s="94">
        <f>Consolidated!W72</f>
        <v>2.5000000000000001E-2</v>
      </c>
      <c r="J43" s="94">
        <f>J42/J31</f>
        <v>0.11389521640091116</v>
      </c>
      <c r="K43" s="94">
        <f>K42/K31</f>
        <v>3.321008701042797E-3</v>
      </c>
      <c r="L43" s="94">
        <f>L42/L31</f>
        <v>1.1789672247111531E-3</v>
      </c>
      <c r="M43" s="93"/>
    </row>
    <row r="44" spans="8:13">
      <c r="H44" s="92" t="s">
        <v>63</v>
      </c>
      <c r="I44" s="96" t="e">
        <f>Consolidated!W73</f>
        <v>#REF!</v>
      </c>
      <c r="J44" s="96">
        <f>AVERAGE(J14:J15)/C5*365</f>
        <v>8.8223266386800621</v>
      </c>
      <c r="K44" s="96">
        <f>AVERAGE(K14:K15)/D5*365</f>
        <v>1.9661124619908836</v>
      </c>
      <c r="L44" s="96">
        <f>AVERAGE(L14:L15)/E5*365</f>
        <v>3.1736389369513587</v>
      </c>
      <c r="M44" s="95"/>
    </row>
    <row r="45" spans="8:13">
      <c r="H45" s="92" t="s">
        <v>64</v>
      </c>
      <c r="I45" s="96">
        <f>Consolidated!W74</f>
        <v>14.983562958589422</v>
      </c>
      <c r="J45" s="96" t="e">
        <f>AVERAGE(J18:J19)/C9*365</f>
        <v>#DIV/0!</v>
      </c>
      <c r="K45" s="96" t="e">
        <f>AVERAGE(K18:K19)/D9*365</f>
        <v>#DIV/0!</v>
      </c>
      <c r="L45" s="96" t="e">
        <f>AVERAGE(L18:L19)/E9*365</f>
        <v>#DIV/0!</v>
      </c>
      <c r="M45" s="95"/>
    </row>
    <row r="46" spans="8:13">
      <c r="H46" s="92" t="s">
        <v>65</v>
      </c>
      <c r="I46" s="96" t="str">
        <f>Consolidated!W75</f>
        <v>-</v>
      </c>
      <c r="J46" s="96" t="e">
        <f>AVERAGE(J12:J13)/(C9+C10)*365</f>
        <v>#DIV/0!</v>
      </c>
      <c r="K46" s="96" t="e">
        <f>AVERAGE(K12:K13)/(D9+D10)*365</f>
        <v>#DIV/0!</v>
      </c>
      <c r="L46" s="96" t="e">
        <f>AVERAGE(L12:L13)/(E9+E10)*365</f>
        <v>#DIV/0!</v>
      </c>
      <c r="M46" s="95"/>
    </row>
    <row r="47" spans="8:13">
      <c r="H47" s="92" t="s">
        <v>81</v>
      </c>
      <c r="I47" s="96" t="e">
        <f>I44+I46-I45</f>
        <v>#REF!</v>
      </c>
      <c r="J47" s="96" t="e">
        <f>J44+J46-J45</f>
        <v>#DIV/0!</v>
      </c>
      <c r="K47" s="96" t="e">
        <f>K44+K46-K45</f>
        <v>#DIV/0!</v>
      </c>
      <c r="L47" s="96" t="e">
        <f>L44+L46-L45</f>
        <v>#DIV/0!</v>
      </c>
      <c r="M47" s="95"/>
    </row>
    <row r="48" spans="8:13">
      <c r="H48" s="92" t="s">
        <v>66</v>
      </c>
      <c r="I48" s="96" t="e">
        <f>Consolidated!W77</f>
        <v>#REF!</v>
      </c>
      <c r="J48" s="96">
        <f>J20/C5*365</f>
        <v>10.366099482604193</v>
      </c>
      <c r="K48" s="96">
        <f>K20/D5*365</f>
        <v>-4.6248869869321564E-2</v>
      </c>
      <c r="L48" s="96">
        <f>L20/E5*365</f>
        <v>2.0157271330654045</v>
      </c>
      <c r="M48" s="95"/>
    </row>
    <row r="49" spans="8:13">
      <c r="H49" s="92" t="s">
        <v>86</v>
      </c>
      <c r="I49" s="94" t="e">
        <f>Consolidated!W78</f>
        <v>#REF!</v>
      </c>
      <c r="J49" s="94">
        <f>C17/J8/10</f>
        <v>0.42671190948714682</v>
      </c>
      <c r="K49" s="94">
        <f t="shared" ref="K49:L49" si="1">D17/K8/10</f>
        <v>0.16120061599649499</v>
      </c>
      <c r="L49" s="94">
        <f t="shared" si="1"/>
        <v>0.16719776028515668</v>
      </c>
      <c r="M49" s="93"/>
    </row>
    <row r="50" spans="8:13" ht="15.75" thickBot="1">
      <c r="H50" s="89" t="s">
        <v>114</v>
      </c>
      <c r="I50" s="88">
        <f>Consolidated!W79</f>
        <v>19.19255206494881</v>
      </c>
      <c r="J50" s="88">
        <f>(C22+C17)/C17</f>
        <v>-1.1607244925856359</v>
      </c>
      <c r="K50" s="88">
        <f>(D22+D17)/D17</f>
        <v>7.7518919358776142</v>
      </c>
      <c r="L50" s="88">
        <f>(E22+E17)/E17</f>
        <v>2.6765487017463925</v>
      </c>
      <c r="M50" s="87"/>
    </row>
  </sheetData>
  <mergeCells count="1">
    <mergeCell ref="A1:M1"/>
  </mergeCells>
  <printOptions horizontalCentered="1"/>
  <pageMargins left="0.23622047244094491" right="0.23622047244094491" top="0.23622047244094491" bottom="0.23622047244094491" header="0.31496062992125984" footer="0.31496062992125984"/>
  <pageSetup paperSize="9" scale="76" orientation="landscape" horizontalDpi="1200" r:id="rId1"/>
  <ignoredErrors>
    <ignoredError sqref="J44:L4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view="pageBreakPreview" zoomScaleSheetLayoutView="100" workbookViewId="0">
      <selection activeCell="B37" sqref="B37"/>
    </sheetView>
  </sheetViews>
  <sheetFormatPr defaultColWidth="9.140625" defaultRowHeight="15"/>
  <cols>
    <col min="1" max="1" width="25.42578125" style="122" customWidth="1"/>
    <col min="2" max="5" width="14.5703125" style="122" customWidth="1"/>
    <col min="6" max="8" width="14.5703125" style="123" customWidth="1"/>
    <col min="9" max="9" width="14.5703125" style="122" customWidth="1"/>
    <col min="10" max="16384" width="9.140625" style="122"/>
  </cols>
  <sheetData>
    <row r="1" spans="1:9" s="86" customFormat="1" ht="19.5" thickBot="1">
      <c r="A1" s="373" t="s">
        <v>209</v>
      </c>
      <c r="B1" s="374"/>
      <c r="C1" s="374"/>
      <c r="D1" s="374"/>
      <c r="E1" s="374"/>
      <c r="F1" s="374"/>
      <c r="G1" s="374"/>
      <c r="H1" s="374"/>
      <c r="I1" s="375"/>
    </row>
    <row r="2" spans="1:9" s="144" customFormat="1" ht="30">
      <c r="A2" s="376" t="s">
        <v>156</v>
      </c>
      <c r="B2" s="111" t="s">
        <v>198</v>
      </c>
      <c r="C2" s="111" t="s">
        <v>198</v>
      </c>
      <c r="D2" s="111" t="s">
        <v>210</v>
      </c>
      <c r="E2" s="111" t="s">
        <v>210</v>
      </c>
      <c r="F2" s="111" t="s">
        <v>200</v>
      </c>
      <c r="G2" s="111" t="s">
        <v>200</v>
      </c>
      <c r="H2" s="111" t="s">
        <v>211</v>
      </c>
      <c r="I2" s="111" t="s">
        <v>211</v>
      </c>
    </row>
    <row r="3" spans="1:9" s="144" customFormat="1" ht="31.5">
      <c r="A3" s="377"/>
      <c r="B3" s="145" t="s">
        <v>225</v>
      </c>
      <c r="C3" s="145" t="s">
        <v>226</v>
      </c>
      <c r="D3" s="145" t="s">
        <v>225</v>
      </c>
      <c r="E3" s="145" t="s">
        <v>226</v>
      </c>
      <c r="F3" s="145" t="s">
        <v>225</v>
      </c>
      <c r="G3" s="145" t="s">
        <v>226</v>
      </c>
      <c r="H3" s="145" t="s">
        <v>225</v>
      </c>
      <c r="I3" s="145" t="s">
        <v>226</v>
      </c>
    </row>
    <row r="4" spans="1:9" ht="15.75">
      <c r="A4" s="129" t="s">
        <v>155</v>
      </c>
      <c r="B4" s="143"/>
      <c r="C4" s="143"/>
      <c r="D4" s="143"/>
      <c r="E4" s="143"/>
      <c r="F4" s="142"/>
      <c r="G4" s="142"/>
      <c r="H4" s="142"/>
      <c r="I4" s="142"/>
    </row>
    <row r="5" spans="1:9">
      <c r="A5" s="129" t="s">
        <v>130</v>
      </c>
      <c r="B5" s="126"/>
      <c r="C5" s="126"/>
      <c r="D5" s="126"/>
      <c r="E5" s="126"/>
      <c r="F5" s="130"/>
      <c r="G5" s="130"/>
      <c r="H5" s="130"/>
      <c r="I5" s="130"/>
    </row>
    <row r="6" spans="1:9">
      <c r="A6" s="126" t="s">
        <v>112</v>
      </c>
      <c r="B6" s="117">
        <f>Consolidated!I4</f>
        <v>2017.856</v>
      </c>
      <c r="C6" s="117">
        <f>Consolidated!J4</f>
        <v>2885.471</v>
      </c>
      <c r="D6" s="141">
        <v>1022.462</v>
      </c>
      <c r="E6" s="141">
        <v>724.19</v>
      </c>
      <c r="F6" s="141">
        <v>48814.567000000003</v>
      </c>
      <c r="G6" s="141">
        <v>29003.346000000001</v>
      </c>
      <c r="H6" s="141">
        <v>108368.95</v>
      </c>
      <c r="I6" s="248">
        <v>62147.49</v>
      </c>
    </row>
    <row r="7" spans="1:9">
      <c r="A7" s="126" t="s">
        <v>153</v>
      </c>
      <c r="B7" s="237">
        <f>Consolidated!I6</f>
        <v>5.1663774413412078E-2</v>
      </c>
      <c r="C7" s="124"/>
      <c r="D7" s="124">
        <v>0.23</v>
      </c>
      <c r="E7" s="124"/>
      <c r="F7" s="124">
        <v>0.1</v>
      </c>
      <c r="G7" s="124"/>
      <c r="H7" s="124">
        <v>0.21</v>
      </c>
      <c r="I7" s="124"/>
    </row>
    <row r="8" spans="1:9" s="132" customFormat="1">
      <c r="A8" s="129" t="s">
        <v>4</v>
      </c>
      <c r="B8" s="236">
        <f>Consolidated!I13</f>
        <v>95.520999999999958</v>
      </c>
      <c r="C8" s="236">
        <f>Consolidated!J13</f>
        <v>127.26699999999983</v>
      </c>
      <c r="D8" s="140">
        <v>48.378999999999998</v>
      </c>
      <c r="E8" s="140">
        <v>38.869999999999997</v>
      </c>
      <c r="F8" s="140">
        <v>985.06700000000001</v>
      </c>
      <c r="G8" s="140">
        <v>636.65499999999997</v>
      </c>
      <c r="H8" s="140">
        <v>4581.1000000000004</v>
      </c>
      <c r="I8" s="248">
        <v>2592</v>
      </c>
    </row>
    <row r="9" spans="1:9">
      <c r="A9" s="126" t="s">
        <v>153</v>
      </c>
      <c r="B9" s="237">
        <f>Consolidated!I15</f>
        <v>-8.6139806975864541E-3</v>
      </c>
      <c r="C9" s="124"/>
      <c r="D9" s="124">
        <f>'Peer Analysis working'!C14</f>
        <v>-1.4570143517213985</v>
      </c>
      <c r="E9" s="124"/>
      <c r="F9" s="124">
        <f>'Peer Analysis working'!D14</f>
        <v>0.36932738530992992</v>
      </c>
      <c r="G9" s="124"/>
      <c r="H9" s="124">
        <f>'Peer Analysis working'!E14</f>
        <v>0.24016089301202226</v>
      </c>
      <c r="I9" s="124"/>
    </row>
    <row r="10" spans="1:9" s="132" customFormat="1">
      <c r="A10" s="129" t="s">
        <v>154</v>
      </c>
      <c r="B10" s="233">
        <f>Consolidated!I16</f>
        <v>4.7337867518792202E-2</v>
      </c>
      <c r="C10" s="253">
        <f>Consolidated!J16</f>
        <v>4.4106144196216085E-2</v>
      </c>
      <c r="D10" s="138">
        <f t="shared" ref="D10:I10" si="0">+D8/D$6</f>
        <v>4.7316183877738241E-2</v>
      </c>
      <c r="E10" s="138">
        <v>5.3699999999999998E-2</v>
      </c>
      <c r="F10" s="138">
        <f t="shared" si="0"/>
        <v>2.0179775434656624E-2</v>
      </c>
      <c r="G10" s="138">
        <v>2.1899999999999999E-2</v>
      </c>
      <c r="H10" s="138">
        <f t="shared" si="0"/>
        <v>4.2273178802599828E-2</v>
      </c>
      <c r="I10" s="138">
        <f t="shared" si="0"/>
        <v>4.1707235481272052E-2</v>
      </c>
    </row>
    <row r="11" spans="1:9" s="132" customFormat="1">
      <c r="A11" s="129" t="s">
        <v>13</v>
      </c>
      <c r="B11" s="235">
        <f>Consolidated!I25</f>
        <v>104.60199999999996</v>
      </c>
      <c r="C11" s="235">
        <f>Consolidated!J25</f>
        <v>120.67399999999985</v>
      </c>
      <c r="D11" s="139">
        <v>42.953000000000003</v>
      </c>
      <c r="E11" s="139">
        <v>30.68</v>
      </c>
      <c r="F11" s="139">
        <v>784.74699999999996</v>
      </c>
      <c r="G11" s="139">
        <v>-224.178</v>
      </c>
      <c r="H11" s="139">
        <v>736.89</v>
      </c>
      <c r="I11" s="139">
        <v>858.6</v>
      </c>
    </row>
    <row r="12" spans="1:9">
      <c r="A12" s="126" t="s">
        <v>153</v>
      </c>
      <c r="B12" s="234">
        <f>Consolidated!I27</f>
        <v>0.10398225098394298</v>
      </c>
      <c r="C12" s="124"/>
      <c r="D12" s="124">
        <v>-7.0000000000000007E-2</v>
      </c>
      <c r="E12" s="124"/>
      <c r="F12" s="124">
        <v>0.03</v>
      </c>
      <c r="G12" s="124"/>
      <c r="H12" s="124">
        <v>-0.47</v>
      </c>
      <c r="I12" s="124"/>
    </row>
    <row r="13" spans="1:9">
      <c r="A13" s="129" t="s">
        <v>152</v>
      </c>
      <c r="B13" s="233">
        <f>+B11/B$6</f>
        <v>5.1838188651717444E-2</v>
      </c>
      <c r="C13" s="233">
        <f>Consolidated!J26</f>
        <v>4.1821248593383833E-2</v>
      </c>
      <c r="D13" s="138">
        <f t="shared" ref="D13:I13" si="1">+D11/D$6</f>
        <v>4.2009385189865252E-2</v>
      </c>
      <c r="E13" s="138">
        <v>4.24E-2</v>
      </c>
      <c r="F13" s="138">
        <f t="shared" si="1"/>
        <v>1.6076082371067633E-2</v>
      </c>
      <c r="G13" s="138">
        <v>-7.7000000000000002E-3</v>
      </c>
      <c r="H13" s="138">
        <f t="shared" si="1"/>
        <v>6.7998259649096901E-3</v>
      </c>
      <c r="I13" s="138">
        <f t="shared" si="1"/>
        <v>1.3815521753171368E-2</v>
      </c>
    </row>
    <row r="14" spans="1:9">
      <c r="A14" s="126" t="s">
        <v>16</v>
      </c>
      <c r="B14" s="252">
        <f>Consolidated!I33</f>
        <v>7.08</v>
      </c>
      <c r="C14" s="252">
        <f>Consolidated!J33</f>
        <v>8.16</v>
      </c>
      <c r="D14" s="118">
        <v>4.43</v>
      </c>
      <c r="E14" s="118">
        <v>3.17</v>
      </c>
      <c r="F14" s="118">
        <v>45.33</v>
      </c>
      <c r="G14" s="118">
        <v>-13.11</v>
      </c>
      <c r="H14" s="118">
        <v>3.87</v>
      </c>
      <c r="I14" s="118">
        <v>5.59</v>
      </c>
    </row>
    <row r="15" spans="1:9">
      <c r="A15" s="126"/>
      <c r="B15" s="126"/>
      <c r="C15" s="126"/>
      <c r="D15" s="126"/>
      <c r="E15" s="126"/>
      <c r="F15" s="130"/>
      <c r="G15" s="130"/>
      <c r="H15" s="130"/>
      <c r="I15" s="126"/>
    </row>
    <row r="16" spans="1:9">
      <c r="A16" s="126"/>
      <c r="B16" s="126"/>
      <c r="C16" s="126"/>
      <c r="D16" s="126"/>
      <c r="E16" s="126"/>
      <c r="F16" s="130"/>
      <c r="G16" s="130"/>
      <c r="H16" s="130"/>
      <c r="I16" s="126"/>
    </row>
    <row r="17" spans="1:9">
      <c r="A17" s="129" t="s">
        <v>151</v>
      </c>
      <c r="B17" s="129"/>
      <c r="C17" s="129"/>
      <c r="D17" s="129"/>
      <c r="E17" s="129"/>
      <c r="F17" s="129"/>
      <c r="G17" s="129"/>
      <c r="H17" s="129"/>
      <c r="I17" s="129"/>
    </row>
    <row r="18" spans="1:9" s="132" customFormat="1">
      <c r="A18" s="129" t="s">
        <v>150</v>
      </c>
      <c r="B18" s="235">
        <f>Consolidated!Y6</f>
        <v>850.72</v>
      </c>
      <c r="C18" s="235">
        <f>Consolidated!Z6</f>
        <v>946.89100000000008</v>
      </c>
      <c r="D18" s="137">
        <v>388.358</v>
      </c>
      <c r="E18" s="137">
        <v>419.03100000000001</v>
      </c>
      <c r="F18" s="137">
        <v>6560.2889999999998</v>
      </c>
      <c r="G18" s="137">
        <v>6411.09</v>
      </c>
      <c r="H18" s="137">
        <v>23431.1</v>
      </c>
      <c r="I18" s="137">
        <v>23248.39</v>
      </c>
    </row>
    <row r="19" spans="1:9" s="132" customFormat="1">
      <c r="A19" s="129" t="s">
        <v>77</v>
      </c>
      <c r="B19" s="254">
        <f>Consolidated!Y10</f>
        <v>35.26</v>
      </c>
      <c r="C19" s="254">
        <f>Consolidated!Z10</f>
        <v>64.302999999999997</v>
      </c>
      <c r="D19" s="137">
        <f t="shared" ref="D19:I19" si="2">SUM(D20:D21)</f>
        <v>63.044000000000004</v>
      </c>
      <c r="E19" s="137">
        <f t="shared" si="2"/>
        <v>80.147000000000006</v>
      </c>
      <c r="F19" s="137">
        <f t="shared" si="2"/>
        <v>762.34199999999998</v>
      </c>
      <c r="G19" s="137"/>
      <c r="H19" s="137">
        <f t="shared" si="2"/>
        <v>5156.99</v>
      </c>
      <c r="I19" s="137">
        <f t="shared" si="2"/>
        <v>6916.82</v>
      </c>
    </row>
    <row r="20" spans="1:9">
      <c r="A20" s="136" t="s">
        <v>149</v>
      </c>
      <c r="B20" s="226">
        <f>Consolidated!Y8</f>
        <v>0</v>
      </c>
      <c r="C20" s="226">
        <v>0</v>
      </c>
      <c r="D20" s="118">
        <v>10.076000000000001</v>
      </c>
      <c r="E20" s="118">
        <v>8.6110000000000007</v>
      </c>
      <c r="F20" s="118">
        <f>'Peer Analysis working'!K6*10</f>
        <v>0</v>
      </c>
      <c r="G20" s="249" t="s">
        <v>221</v>
      </c>
      <c r="H20" s="118">
        <v>543.07000000000005</v>
      </c>
      <c r="I20" s="118">
        <v>332.38</v>
      </c>
    </row>
    <row r="21" spans="1:9">
      <c r="A21" s="136" t="s">
        <v>148</v>
      </c>
      <c r="B21" s="231">
        <f>Consolidated!Y9</f>
        <v>35.26</v>
      </c>
      <c r="C21" s="231">
        <f>Consolidated!Z9</f>
        <v>64.302999999999997</v>
      </c>
      <c r="D21" s="118">
        <v>52.968000000000004</v>
      </c>
      <c r="E21" s="118">
        <v>71.536000000000001</v>
      </c>
      <c r="F21" s="118">
        <f>'Peer Analysis working'!K7*10</f>
        <v>762.34199999999998</v>
      </c>
      <c r="G21" s="249" t="s">
        <v>221</v>
      </c>
      <c r="H21" s="118">
        <v>4613.92</v>
      </c>
      <c r="I21" s="118">
        <v>6584.44</v>
      </c>
    </row>
    <row r="22" spans="1:9">
      <c r="A22" s="126"/>
      <c r="B22" s="126"/>
      <c r="C22" s="126"/>
      <c r="D22" s="126"/>
      <c r="E22" s="126"/>
      <c r="F22" s="130"/>
      <c r="G22" s="130"/>
      <c r="H22" s="130"/>
      <c r="I22" s="126"/>
    </row>
    <row r="23" spans="1:9">
      <c r="A23" s="129" t="s">
        <v>147</v>
      </c>
      <c r="B23" s="129"/>
      <c r="C23" s="129"/>
      <c r="D23" s="129"/>
      <c r="E23" s="129"/>
      <c r="F23" s="129"/>
      <c r="G23" s="129"/>
      <c r="H23" s="129"/>
      <c r="I23" s="129"/>
    </row>
    <row r="24" spans="1:9">
      <c r="A24" s="126" t="s">
        <v>146</v>
      </c>
      <c r="B24" s="258">
        <f>Consolidated!I41</f>
        <v>169.65199999999999</v>
      </c>
      <c r="C24" s="266">
        <f>Consolidated!J41</f>
        <v>-104.101</v>
      </c>
      <c r="D24" s="126">
        <v>-14.66</v>
      </c>
      <c r="E24" s="126">
        <v>-11.01</v>
      </c>
      <c r="F24" s="126">
        <v>3033.2739999999999</v>
      </c>
      <c r="G24" s="126">
        <v>614.529</v>
      </c>
      <c r="H24" s="126">
        <v>7153.6</v>
      </c>
      <c r="I24" s="126">
        <v>2684.5</v>
      </c>
    </row>
    <row r="25" spans="1:9">
      <c r="A25" s="126" t="s">
        <v>29</v>
      </c>
      <c r="B25" s="259">
        <f>Consolidated!I56</f>
        <v>166.17699999999999</v>
      </c>
      <c r="C25" s="262">
        <f>Consolidated!J56</f>
        <v>-113.59099999999999</v>
      </c>
      <c r="D25" s="126">
        <v>-13.1</v>
      </c>
      <c r="E25" s="126">
        <v>-10.62</v>
      </c>
      <c r="F25" s="126">
        <v>2910.6</v>
      </c>
      <c r="G25" s="126">
        <v>-888.72</v>
      </c>
      <c r="H25" s="126">
        <v>6089.58</v>
      </c>
      <c r="I25" s="126">
        <v>-456.89</v>
      </c>
    </row>
    <row r="26" spans="1:9" s="86" customFormat="1">
      <c r="A26" s="106"/>
      <c r="B26" s="106"/>
      <c r="C26" s="106"/>
      <c r="D26" s="106"/>
      <c r="E26" s="106"/>
      <c r="F26" s="135"/>
      <c r="G26" s="135"/>
      <c r="H26" s="135"/>
      <c r="I26" s="135"/>
    </row>
    <row r="27" spans="1:9" s="86" customFormat="1">
      <c r="A27" s="106" t="s">
        <v>73</v>
      </c>
      <c r="B27" s="263">
        <f>'Peer Analysis working'!I26</f>
        <v>14784000</v>
      </c>
      <c r="C27" s="263">
        <f>Consolidated!J60</f>
        <v>14784000</v>
      </c>
      <c r="D27" s="134">
        <v>9687200</v>
      </c>
      <c r="E27" s="134">
        <v>9687200</v>
      </c>
      <c r="F27" s="134">
        <v>17096769</v>
      </c>
      <c r="G27" s="134">
        <v>17096769</v>
      </c>
      <c r="H27" s="250">
        <v>147785093</v>
      </c>
      <c r="I27" s="134">
        <v>147785093</v>
      </c>
    </row>
    <row r="28" spans="1:9" s="132" customFormat="1">
      <c r="A28" s="129" t="s">
        <v>74</v>
      </c>
      <c r="B28" s="264">
        <f>Consolidated!I61</f>
        <v>764.33280000000002</v>
      </c>
      <c r="C28" s="264">
        <f>Consolidated!J61</f>
        <v>1713.4656</v>
      </c>
      <c r="D28" s="133">
        <v>505</v>
      </c>
      <c r="E28" s="133">
        <f>(E27*E37)/1000000</f>
        <v>432.53348</v>
      </c>
      <c r="F28" s="133">
        <v>65440</v>
      </c>
      <c r="G28" s="133">
        <f>(G27*G37)/1000000</f>
        <v>76741.412171849996</v>
      </c>
      <c r="H28" s="133">
        <v>135250</v>
      </c>
      <c r="I28" s="133">
        <f>(I27*I37)/1000000</f>
        <v>135400.70220659999</v>
      </c>
    </row>
    <row r="29" spans="1:9" s="132" customFormat="1">
      <c r="A29" s="129" t="s">
        <v>145</v>
      </c>
      <c r="B29" s="260">
        <f>Consolidated!I64</f>
        <v>563.4828</v>
      </c>
      <c r="C29" s="264">
        <f>Consolidated!J64</f>
        <v>1705.1665999999998</v>
      </c>
      <c r="D29" s="133">
        <v>566</v>
      </c>
      <c r="E29" s="133">
        <v>492.46</v>
      </c>
      <c r="F29" s="133">
        <v>62570</v>
      </c>
      <c r="G29" s="133">
        <v>75227.61</v>
      </c>
      <c r="H29" s="133">
        <v>139730</v>
      </c>
      <c r="I29" s="133">
        <v>139151.38</v>
      </c>
    </row>
    <row r="30" spans="1:9">
      <c r="A30" s="126"/>
      <c r="B30" s="126"/>
      <c r="C30" s="126"/>
      <c r="D30" s="126"/>
      <c r="E30" s="126"/>
      <c r="F30" s="130"/>
      <c r="G30" s="130"/>
      <c r="H30" s="126"/>
      <c r="I30" s="126"/>
    </row>
    <row r="31" spans="1:9">
      <c r="A31" s="126" t="s">
        <v>144</v>
      </c>
      <c r="B31" s="232">
        <f>Consolidated!Y65</f>
        <v>7.3022598870056497</v>
      </c>
      <c r="C31" s="232">
        <f>Consolidated!Z65</f>
        <v>14.203431372549019</v>
      </c>
      <c r="D31" s="128">
        <v>10.9</v>
      </c>
      <c r="E31" s="128">
        <v>14.08</v>
      </c>
      <c r="F31" s="128">
        <v>338</v>
      </c>
      <c r="G31" s="128">
        <v>342.38</v>
      </c>
      <c r="H31" s="128">
        <v>238</v>
      </c>
      <c r="I31" s="128">
        <v>163.89</v>
      </c>
    </row>
    <row r="32" spans="1:9">
      <c r="A32" s="126" t="s">
        <v>62</v>
      </c>
      <c r="B32" s="255">
        <f>Consolidated!Y72</f>
        <v>1.9342359767891681E-2</v>
      </c>
      <c r="C32" s="255">
        <f>Consolidated!Z72</f>
        <v>4.3140638481449526E-3</v>
      </c>
      <c r="D32" s="131">
        <v>0</v>
      </c>
      <c r="E32" s="131">
        <v>0</v>
      </c>
      <c r="F32" s="131">
        <v>0</v>
      </c>
      <c r="G32" s="131">
        <v>0</v>
      </c>
      <c r="H32" s="131">
        <v>7.6E-3</v>
      </c>
      <c r="I32" s="131">
        <v>8.3000000000000001E-3</v>
      </c>
    </row>
    <row r="33" spans="1:9">
      <c r="A33" s="126" t="s">
        <v>143</v>
      </c>
      <c r="B33" s="232">
        <f>Consolidated!Y66</f>
        <v>0.89845401542223069</v>
      </c>
      <c r="C33" s="232">
        <f>Consolidated!Z66</f>
        <v>1.8095700561099428</v>
      </c>
      <c r="D33" s="128">
        <v>1.2</v>
      </c>
      <c r="E33" s="128">
        <f>E37/E39</f>
        <v>1.1093167701863353</v>
      </c>
      <c r="F33" s="128">
        <v>10.4</v>
      </c>
      <c r="G33" s="128">
        <f>G37/G39</f>
        <v>11.697722297508598</v>
      </c>
      <c r="H33" s="128">
        <v>5.82</v>
      </c>
      <c r="I33" s="128">
        <f>I37/I39</f>
        <v>5.6174126302881673</v>
      </c>
    </row>
    <row r="34" spans="1:9">
      <c r="A34" s="126" t="s">
        <v>142</v>
      </c>
      <c r="B34" s="232">
        <f>Consolidated!Y67</f>
        <v>8.2067476813082436</v>
      </c>
      <c r="C34" s="265">
        <f>Consolidated!Z67</f>
        <v>13.398340496750942</v>
      </c>
      <c r="D34" s="128">
        <v>10.3</v>
      </c>
      <c r="E34" s="128">
        <f>E29/E8</f>
        <v>12.669410856701827</v>
      </c>
      <c r="F34" s="128">
        <v>43.7</v>
      </c>
      <c r="G34" s="128">
        <f>G29/G8</f>
        <v>118.16071498692385</v>
      </c>
      <c r="H34" s="128">
        <v>29.6</v>
      </c>
      <c r="I34" s="128">
        <f>I29/I8</f>
        <v>53.684945987654324</v>
      </c>
    </row>
    <row r="35" spans="1:9">
      <c r="A35" s="126"/>
      <c r="B35" s="126"/>
      <c r="C35" s="126"/>
      <c r="D35" s="126"/>
      <c r="E35" s="126"/>
      <c r="F35" s="130"/>
      <c r="G35" s="130"/>
      <c r="H35" s="130"/>
      <c r="I35" s="126"/>
    </row>
    <row r="36" spans="1:9">
      <c r="A36" s="129" t="s">
        <v>141</v>
      </c>
      <c r="B36" s="129"/>
      <c r="C36" s="129"/>
      <c r="D36" s="129"/>
      <c r="E36" s="129"/>
      <c r="F36" s="129"/>
      <c r="G36" s="129"/>
      <c r="H36" s="129"/>
      <c r="I36" s="129"/>
    </row>
    <row r="37" spans="1:9">
      <c r="A37" s="129" t="s">
        <v>227</v>
      </c>
      <c r="B37" s="252">
        <f>Consolidated!Y61</f>
        <v>51.7</v>
      </c>
      <c r="C37" s="252">
        <f>Consolidated!Z61</f>
        <v>115.9</v>
      </c>
      <c r="D37" s="118">
        <v>34.15</v>
      </c>
      <c r="E37" s="118">
        <v>44.65</v>
      </c>
      <c r="F37" s="118">
        <v>3771.65</v>
      </c>
      <c r="G37" s="118">
        <v>4488.6499999999996</v>
      </c>
      <c r="H37" s="118">
        <v>698.8</v>
      </c>
      <c r="I37" s="118">
        <v>916.2</v>
      </c>
    </row>
    <row r="38" spans="1:9">
      <c r="A38" s="126" t="s">
        <v>157</v>
      </c>
      <c r="B38" s="252">
        <f>B18</f>
        <v>850.72</v>
      </c>
      <c r="C38" s="252">
        <f>C18</f>
        <v>946.89100000000008</v>
      </c>
      <c r="D38" s="118">
        <f t="shared" ref="D38:I38" si="3">(D39*D27)/1000000</f>
        <v>421.39319999999998</v>
      </c>
      <c r="E38" s="118">
        <f t="shared" si="3"/>
        <v>389.90980000000002</v>
      </c>
      <c r="F38" s="118">
        <f t="shared" si="3"/>
        <v>6291.6109919999999</v>
      </c>
      <c r="G38" s="118">
        <f t="shared" si="3"/>
        <v>6560.3722006799999</v>
      </c>
      <c r="H38" s="118">
        <f t="shared" si="3"/>
        <v>23202.259601000002</v>
      </c>
      <c r="I38" s="118">
        <f t="shared" si="3"/>
        <v>24103.748668299999</v>
      </c>
    </row>
    <row r="39" spans="1:9">
      <c r="A39" s="126" t="s">
        <v>140</v>
      </c>
      <c r="B39" s="252">
        <f>Consolidated!Y63</f>
        <v>57.543290043290042</v>
      </c>
      <c r="C39" s="252">
        <f>Consolidated!Z63</f>
        <v>64.048363095238102</v>
      </c>
      <c r="D39" s="118">
        <v>43.5</v>
      </c>
      <c r="E39" s="118">
        <v>40.25</v>
      </c>
      <c r="F39" s="118">
        <v>368</v>
      </c>
      <c r="G39" s="118">
        <v>383.72</v>
      </c>
      <c r="H39" s="118">
        <v>157</v>
      </c>
      <c r="I39" s="118">
        <v>163.1</v>
      </c>
    </row>
    <row r="40" spans="1:9">
      <c r="A40" s="126" t="s">
        <v>139</v>
      </c>
      <c r="B40" s="108">
        <f>Consolidated!Y68</f>
        <v>0.12295702463795369</v>
      </c>
      <c r="C40" s="125">
        <f>Consolidated!Z68</f>
        <v>0.12744233496780499</v>
      </c>
      <c r="D40" s="125">
        <v>0.127</v>
      </c>
      <c r="E40" s="125"/>
      <c r="F40" s="125">
        <v>0.13</v>
      </c>
      <c r="G40" s="125"/>
      <c r="H40" s="125">
        <v>2.0199999999999999E-2</v>
      </c>
      <c r="I40" s="125"/>
    </row>
    <row r="41" spans="1:9">
      <c r="A41" s="126" t="s">
        <v>138</v>
      </c>
      <c r="B41" s="108">
        <f>Consolidated!Y69</f>
        <v>0.12542820563097609</v>
      </c>
      <c r="C41" s="125">
        <f>Consolidated!Z69</f>
        <v>0.12113505568666404</v>
      </c>
      <c r="D41" s="125">
        <v>0.11600000000000001</v>
      </c>
      <c r="E41" s="125"/>
      <c r="F41" s="125">
        <v>0.14299999999999999</v>
      </c>
      <c r="G41" s="125"/>
      <c r="H41" s="125">
        <v>7.7200000000000005E-2</v>
      </c>
      <c r="I41" s="125"/>
    </row>
    <row r="42" spans="1:9">
      <c r="A42" s="126" t="s">
        <v>137</v>
      </c>
      <c r="B42" s="227">
        <f>'Peer Analysis working'!I39</f>
        <v>2.1634304058702133E-2</v>
      </c>
      <c r="C42" s="227"/>
      <c r="D42" s="128">
        <v>107</v>
      </c>
      <c r="E42" s="128"/>
      <c r="F42" s="128">
        <v>19.14</v>
      </c>
      <c r="G42" s="128"/>
      <c r="H42" s="128">
        <v>7.2</v>
      </c>
      <c r="I42" s="128"/>
    </row>
    <row r="43" spans="1:9">
      <c r="A43" s="126" t="s">
        <v>136</v>
      </c>
      <c r="B43" s="256">
        <f>Consolidated!Y73</f>
        <v>84.206742825057887</v>
      </c>
      <c r="C43" s="228">
        <f>Consolidated!Z73</f>
        <v>85.027765830950997</v>
      </c>
      <c r="D43" s="127">
        <v>84.8</v>
      </c>
      <c r="E43" s="127"/>
      <c r="F43" s="127">
        <v>20.8</v>
      </c>
      <c r="G43" s="127"/>
      <c r="H43" s="127">
        <v>30.1</v>
      </c>
      <c r="I43" s="127"/>
    </row>
    <row r="44" spans="1:9">
      <c r="A44" s="126" t="s">
        <v>65</v>
      </c>
      <c r="B44" s="268" t="str">
        <f>Consolidated!V75</f>
        <v>-</v>
      </c>
      <c r="C44" s="268" t="s">
        <v>221</v>
      </c>
      <c r="D44" s="251" t="s">
        <v>221</v>
      </c>
      <c r="E44" s="127"/>
      <c r="F44" s="251" t="s">
        <v>221</v>
      </c>
      <c r="G44" s="127"/>
      <c r="H44" s="251" t="s">
        <v>221</v>
      </c>
      <c r="I44" s="127"/>
    </row>
    <row r="45" spans="1:9">
      <c r="A45" s="126" t="s">
        <v>135</v>
      </c>
      <c r="B45" s="228">
        <f>Consolidated!Y74</f>
        <v>5.4129455534539836</v>
      </c>
      <c r="C45" s="228">
        <f>Consolidated!Z74</f>
        <v>14.824733982370397</v>
      </c>
      <c r="D45" s="251" t="s">
        <v>221</v>
      </c>
      <c r="E45" s="127"/>
      <c r="F45" s="251" t="s">
        <v>221</v>
      </c>
      <c r="G45" s="127"/>
      <c r="H45" s="251" t="s">
        <v>221</v>
      </c>
      <c r="I45" s="127"/>
    </row>
    <row r="46" spans="1:9">
      <c r="A46" s="126" t="s">
        <v>134</v>
      </c>
      <c r="B46" s="256">
        <f>Consolidated!Y76</f>
        <v>78.793797271603907</v>
      </c>
      <c r="C46" s="228">
        <f>Consolidated!Z76</f>
        <v>70.203031848580594</v>
      </c>
      <c r="D46" s="127">
        <v>84.8</v>
      </c>
      <c r="E46" s="127"/>
      <c r="F46" s="127">
        <v>20.8</v>
      </c>
      <c r="G46" s="127"/>
      <c r="H46" s="127">
        <v>30.1</v>
      </c>
      <c r="I46" s="127"/>
    </row>
    <row r="47" spans="1:9">
      <c r="A47" s="126" t="s">
        <v>66</v>
      </c>
      <c r="B47" s="257">
        <f>Consolidated!Y77</f>
        <v>80.822699934980491</v>
      </c>
      <c r="C47" s="228">
        <f>Consolidated!Z77</f>
        <v>86.49552668773191</v>
      </c>
      <c r="D47" s="127">
        <v>136</v>
      </c>
      <c r="E47" s="127"/>
      <c r="F47" s="127">
        <v>-4.07</v>
      </c>
      <c r="G47" s="127"/>
      <c r="H47" s="127">
        <v>30</v>
      </c>
      <c r="I47" s="127"/>
    </row>
    <row r="48" spans="1:9">
      <c r="A48" s="126" t="s">
        <v>133</v>
      </c>
      <c r="B48" s="232">
        <f>Consolidated!Y70</f>
        <v>4.1447244686853485E-2</v>
      </c>
      <c r="C48" s="232">
        <f>Consolidated!Z70</f>
        <v>6.7909611560359101E-2</v>
      </c>
      <c r="D48" s="128">
        <v>0.19</v>
      </c>
      <c r="E48" s="128">
        <v>0.19</v>
      </c>
      <c r="F48" s="128">
        <v>0.06</v>
      </c>
      <c r="G48" s="261" t="s">
        <v>221</v>
      </c>
      <c r="H48" s="128">
        <v>0.4</v>
      </c>
      <c r="I48" s="128">
        <v>0.28999999999999998</v>
      </c>
    </row>
    <row r="49" spans="1:9">
      <c r="A49" s="126" t="s">
        <v>132</v>
      </c>
      <c r="B49" s="232">
        <f>Consolidated!Y71</f>
        <v>-0.23609413202933988</v>
      </c>
      <c r="C49" s="232">
        <f>Consolidated!Z71</f>
        <v>-8.7644723627112366E-3</v>
      </c>
      <c r="D49" s="128">
        <v>0.19</v>
      </c>
      <c r="E49" s="128">
        <v>0.14000000000000001</v>
      </c>
      <c r="F49" s="128">
        <v>0.06</v>
      </c>
      <c r="G49" s="261" t="s">
        <v>221</v>
      </c>
      <c r="H49" s="128">
        <v>0.4</v>
      </c>
      <c r="I49" s="128">
        <v>0.12</v>
      </c>
    </row>
    <row r="50" spans="1:9">
      <c r="A50" s="126" t="s">
        <v>114</v>
      </c>
      <c r="B50" s="252">
        <f>Consolidated!Y79</f>
        <v>9.9122797043774877</v>
      </c>
      <c r="C50" s="252">
        <f>Consolidated!Z79</f>
        <v>19.19255206494881</v>
      </c>
      <c r="D50" s="118">
        <v>4.07</v>
      </c>
      <c r="E50" s="118">
        <v>6.35</v>
      </c>
      <c r="F50" s="118">
        <v>22.9</v>
      </c>
      <c r="G50" s="118">
        <v>29.47</v>
      </c>
      <c r="H50" s="118">
        <v>3.19</v>
      </c>
      <c r="I50" s="118">
        <v>6.27</v>
      </c>
    </row>
    <row r="51" spans="1:9">
      <c r="A51" s="126" t="s">
        <v>131</v>
      </c>
      <c r="B51" s="108">
        <f>Consolidated!Y78</f>
        <v>0.16069200226885991</v>
      </c>
      <c r="C51" s="267">
        <f>Consolidated!Z78</f>
        <v>0.11372719779792545</v>
      </c>
      <c r="D51" s="125">
        <v>0.125</v>
      </c>
      <c r="E51" s="125">
        <v>6.1400000000000003E-2</v>
      </c>
      <c r="F51" s="125">
        <v>0.30399999999999999</v>
      </c>
      <c r="G51" s="125">
        <v>-8.8900000000000007E-2</v>
      </c>
      <c r="H51" s="125">
        <v>2.7799999999999998E-2</v>
      </c>
      <c r="I51" s="125">
        <v>4.3900000000000002E-2</v>
      </c>
    </row>
  </sheetData>
  <mergeCells count="2">
    <mergeCell ref="A1:I1"/>
    <mergeCell ref="A2:A3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Standalone</vt:lpstr>
      <vt:lpstr>Consolidated</vt:lpstr>
      <vt:lpstr>Peer Analysis working</vt:lpstr>
      <vt:lpstr>Peer Analysis Final</vt:lpstr>
      <vt:lpstr>Consolidated!Print_Area</vt:lpstr>
      <vt:lpstr>'Peer Analysis Final'!Print_Area</vt:lpstr>
      <vt:lpstr>Standalone!Print_Area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DELL</cp:lastModifiedBy>
  <cp:lastPrinted>2021-02-17T05:19:03Z</cp:lastPrinted>
  <dcterms:created xsi:type="dcterms:W3CDTF">2017-09-19T08:05:47Z</dcterms:created>
  <dcterms:modified xsi:type="dcterms:W3CDTF">2025-06-12T09:23:24Z</dcterms:modified>
</cp:coreProperties>
</file>