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Jubliant\Summary Sheet\Q1-FY26\"/>
    </mc:Choice>
  </mc:AlternateContent>
  <bookViews>
    <workbookView xWindow="0" yWindow="0" windowWidth="16530" windowHeight="4275"/>
  </bookViews>
  <sheets>
    <sheet name="Sheet1" sheetId="1" r:id="rId1"/>
  </sheets>
  <definedNames>
    <definedName name="_xlnm.Print_Area" localSheetId="0">Sheet1!$B$3:$Q$69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1" i="1" l="1"/>
  <c r="T58" i="1"/>
  <c r="T76" i="1"/>
  <c r="J27" i="1"/>
  <c r="J24" i="1"/>
  <c r="J22" i="1"/>
  <c r="J17" i="1"/>
  <c r="J14" i="1"/>
  <c r="J8" i="1"/>
  <c r="J29" i="1" l="1"/>
  <c r="J23" i="1"/>
  <c r="J13" i="1"/>
  <c r="S69" i="1"/>
  <c r="S74" i="1"/>
  <c r="S15" i="1"/>
  <c r="R15" i="1"/>
  <c r="S11" i="1"/>
  <c r="R11" i="1"/>
  <c r="S75" i="1" l="1"/>
  <c r="H35" i="1"/>
  <c r="H34" i="1"/>
  <c r="I29" i="1"/>
  <c r="H7" i="1"/>
  <c r="H6" i="1"/>
  <c r="I55" i="1"/>
  <c r="H55" i="1"/>
  <c r="I54" i="1"/>
  <c r="H54" i="1"/>
  <c r="I53" i="1"/>
  <c r="H53" i="1"/>
  <c r="I47" i="1"/>
  <c r="H47" i="1"/>
  <c r="I35" i="1"/>
  <c r="I34" i="1"/>
  <c r="I7" i="1"/>
  <c r="I6" i="1"/>
  <c r="J26" i="1" l="1"/>
  <c r="H56" i="1"/>
  <c r="I56" i="1"/>
  <c r="I48" i="1"/>
  <c r="I49" i="1" s="1"/>
  <c r="I43" i="1"/>
  <c r="S58" i="1"/>
  <c r="S61" i="1" s="1"/>
  <c r="S40" i="1"/>
  <c r="R40" i="1"/>
  <c r="S47" i="1"/>
  <c r="S38" i="1"/>
  <c r="S25" i="1"/>
  <c r="S8" i="1"/>
  <c r="I23" i="1"/>
  <c r="I13" i="1"/>
  <c r="I8" i="1" s="1"/>
  <c r="I14" i="1" s="1"/>
  <c r="H29" i="1"/>
  <c r="H23" i="1"/>
  <c r="H13" i="1"/>
  <c r="H8" i="1" s="1"/>
  <c r="H14" i="1" s="1"/>
  <c r="J30" i="1" l="1"/>
  <c r="S70" i="1"/>
  <c r="S72" i="1" s="1"/>
  <c r="H17" i="1"/>
  <c r="S71" i="1"/>
  <c r="S59" i="1"/>
  <c r="S62" i="1" s="1"/>
  <c r="S12" i="1"/>
  <c r="S66" i="1"/>
  <c r="S67" i="1"/>
  <c r="S63" i="1"/>
  <c r="S65" i="1"/>
  <c r="S76" i="1"/>
  <c r="I17" i="1"/>
  <c r="S52" i="1"/>
  <c r="S13" i="1" s="1"/>
  <c r="S46" i="1"/>
  <c r="S53" i="1"/>
  <c r="M74" i="1"/>
  <c r="M25" i="1"/>
  <c r="M38" i="1"/>
  <c r="C13" i="1"/>
  <c r="C8" i="1" s="1"/>
  <c r="M69" i="1"/>
  <c r="N74" i="1"/>
  <c r="O74" i="1"/>
  <c r="P74" i="1"/>
  <c r="Q74" i="1"/>
  <c r="R74" i="1"/>
  <c r="C29" i="1"/>
  <c r="C23" i="1"/>
  <c r="Q58" i="1"/>
  <c r="Q61" i="1" s="1"/>
  <c r="R58" i="1"/>
  <c r="R69" i="1"/>
  <c r="G13" i="1"/>
  <c r="G8" i="1" s="1"/>
  <c r="H48" i="1"/>
  <c r="H49" i="1" s="1"/>
  <c r="G29" i="1"/>
  <c r="G23" i="1"/>
  <c r="R47" i="1"/>
  <c r="G55" i="1"/>
  <c r="F55" i="1"/>
  <c r="E55" i="1"/>
  <c r="D55" i="1"/>
  <c r="C55" i="1"/>
  <c r="G48" i="1"/>
  <c r="F48" i="1"/>
  <c r="E48" i="1"/>
  <c r="H43" i="1"/>
  <c r="R38" i="1"/>
  <c r="R25" i="1"/>
  <c r="R8" i="1"/>
  <c r="R75" i="1"/>
  <c r="P69" i="1"/>
  <c r="O69" i="1"/>
  <c r="N69" i="1"/>
  <c r="Q69" i="1"/>
  <c r="P25" i="1"/>
  <c r="P52" i="1" s="1"/>
  <c r="O25" i="1"/>
  <c r="N25" i="1"/>
  <c r="Q25" i="1"/>
  <c r="G47" i="1"/>
  <c r="F47" i="1"/>
  <c r="F49" i="1" s="1"/>
  <c r="D47" i="1"/>
  <c r="D49" i="1" s="1"/>
  <c r="C47" i="1"/>
  <c r="C49" i="1"/>
  <c r="E47" i="1"/>
  <c r="E43" i="1"/>
  <c r="G43" i="1"/>
  <c r="F43" i="1"/>
  <c r="Q40" i="1"/>
  <c r="Q38" i="1" s="1"/>
  <c r="P58" i="1"/>
  <c r="P61" i="1" s="1"/>
  <c r="O58" i="1"/>
  <c r="O61" i="1" s="1"/>
  <c r="N58" i="1"/>
  <c r="N61" i="1" s="1"/>
  <c r="M58" i="1"/>
  <c r="M61" i="1" s="1"/>
  <c r="G53" i="1"/>
  <c r="F53" i="1"/>
  <c r="E53" i="1"/>
  <c r="D53" i="1"/>
  <c r="C53" i="1"/>
  <c r="Q47" i="1"/>
  <c r="P47" i="1"/>
  <c r="O47" i="1"/>
  <c r="N47" i="1"/>
  <c r="M47" i="1"/>
  <c r="C44" i="1"/>
  <c r="D38" i="1" s="1"/>
  <c r="D44" i="1" s="1"/>
  <c r="E38" i="1" s="1"/>
  <c r="E44" i="1" s="1"/>
  <c r="F38" i="1" s="1"/>
  <c r="P40" i="1"/>
  <c r="P38" i="1" s="1"/>
  <c r="O38" i="1"/>
  <c r="N38" i="1"/>
  <c r="N46" i="1" s="1"/>
  <c r="G35" i="1"/>
  <c r="F35" i="1"/>
  <c r="G34" i="1"/>
  <c r="F34" i="1"/>
  <c r="E34" i="1"/>
  <c r="D34" i="1"/>
  <c r="Q15" i="1"/>
  <c r="Q52" i="1" s="1"/>
  <c r="P15" i="1"/>
  <c r="O15" i="1"/>
  <c r="N15" i="1"/>
  <c r="M15" i="1"/>
  <c r="Q11" i="1"/>
  <c r="G54" i="1" s="1"/>
  <c r="P11" i="1"/>
  <c r="F54" i="1" s="1"/>
  <c r="O11" i="1"/>
  <c r="E54" i="1" s="1"/>
  <c r="N11" i="1"/>
  <c r="D54" i="1" s="1"/>
  <c r="M11" i="1"/>
  <c r="M75" i="1" s="1"/>
  <c r="Q8" i="1"/>
  <c r="Q59" i="1" s="1"/>
  <c r="Q62" i="1" s="1"/>
  <c r="P8" i="1"/>
  <c r="O8" i="1"/>
  <c r="O59" i="1" s="1"/>
  <c r="O62" i="1" s="1"/>
  <c r="N8" i="1"/>
  <c r="M8" i="1"/>
  <c r="M59" i="1" s="1"/>
  <c r="M62" i="1" s="1"/>
  <c r="F8" i="1"/>
  <c r="P71" i="1"/>
  <c r="E8" i="1"/>
  <c r="O70" i="1" s="1"/>
  <c r="D8" i="1"/>
  <c r="N70" i="1" s="1"/>
  <c r="G7" i="1"/>
  <c r="F7" i="1"/>
  <c r="G6" i="1"/>
  <c r="F6" i="1"/>
  <c r="E6" i="1"/>
  <c r="D6" i="1"/>
  <c r="F14" i="1"/>
  <c r="P76" i="1" s="1"/>
  <c r="E14" i="1"/>
  <c r="E17" i="1" s="1"/>
  <c r="F17" i="1"/>
  <c r="P66" i="1" l="1"/>
  <c r="O71" i="1"/>
  <c r="C54" i="1"/>
  <c r="P13" i="1"/>
  <c r="F22" i="1"/>
  <c r="F26" i="1" s="1"/>
  <c r="H16" i="1"/>
  <c r="I16" i="1"/>
  <c r="P59" i="1"/>
  <c r="P62" i="1" s="1"/>
  <c r="E49" i="1"/>
  <c r="R59" i="1"/>
  <c r="R62" i="1" s="1"/>
  <c r="R12" i="1"/>
  <c r="O66" i="1"/>
  <c r="N53" i="1"/>
  <c r="O53" i="1"/>
  <c r="I22" i="1"/>
  <c r="R61" i="1"/>
  <c r="F44" i="1"/>
  <c r="G38" i="1" s="1"/>
  <c r="G44" i="1" s="1"/>
  <c r="H44" i="1" s="1"/>
  <c r="I38" i="1" s="1"/>
  <c r="I44" i="1" s="1"/>
  <c r="M66" i="1"/>
  <c r="O67" i="1"/>
  <c r="G49" i="1"/>
  <c r="M67" i="1"/>
  <c r="M53" i="1"/>
  <c r="Q67" i="1"/>
  <c r="D56" i="1"/>
  <c r="O52" i="1"/>
  <c r="O13" i="1" s="1"/>
  <c r="Q46" i="1"/>
  <c r="R46" i="1"/>
  <c r="S73" i="1" s="1"/>
  <c r="O76" i="1"/>
  <c r="P70" i="1"/>
  <c r="P72" i="1" s="1"/>
  <c r="C56" i="1"/>
  <c r="N52" i="1"/>
  <c r="N13" i="1" s="1"/>
  <c r="R53" i="1"/>
  <c r="T31" i="1"/>
  <c r="P12" i="1"/>
  <c r="P65" i="1" s="1"/>
  <c r="R73" i="1"/>
  <c r="P53" i="1"/>
  <c r="N67" i="1"/>
  <c r="Q13" i="1"/>
  <c r="O72" i="1"/>
  <c r="Q53" i="1"/>
  <c r="P46" i="1"/>
  <c r="Q73" i="1" s="1"/>
  <c r="P67" i="1"/>
  <c r="R66" i="1"/>
  <c r="N75" i="1"/>
  <c r="G56" i="1"/>
  <c r="O75" i="1"/>
  <c r="N12" i="1"/>
  <c r="M52" i="1"/>
  <c r="M13" i="1" s="1"/>
  <c r="E56" i="1"/>
  <c r="O63" i="1" s="1"/>
  <c r="O46" i="1"/>
  <c r="Q75" i="1"/>
  <c r="O12" i="1"/>
  <c r="O65" i="1" s="1"/>
  <c r="M12" i="1"/>
  <c r="F56" i="1"/>
  <c r="P63" i="1" s="1"/>
  <c r="R67" i="1"/>
  <c r="F30" i="1"/>
  <c r="P64" i="1"/>
  <c r="F27" i="1"/>
  <c r="I15" i="1"/>
  <c r="R70" i="1"/>
  <c r="R71" i="1"/>
  <c r="C14" i="1"/>
  <c r="M63" i="1" s="1"/>
  <c r="M70" i="1"/>
  <c r="M71" i="1"/>
  <c r="M72" i="1" s="1"/>
  <c r="Q70" i="1"/>
  <c r="Q71" i="1"/>
  <c r="G14" i="1"/>
  <c r="M46" i="1"/>
  <c r="N66" i="1"/>
  <c r="N59" i="1"/>
  <c r="N62" i="1" s="1"/>
  <c r="F24" i="1"/>
  <c r="F15" i="1"/>
  <c r="P75" i="1"/>
  <c r="P77" i="1" s="1"/>
  <c r="Q12" i="1"/>
  <c r="R52" i="1"/>
  <c r="R13" i="1" s="1"/>
  <c r="E22" i="1"/>
  <c r="Q66" i="1"/>
  <c r="D14" i="1"/>
  <c r="N71" i="1"/>
  <c r="N72" i="1" s="1"/>
  <c r="N63" i="1" l="1"/>
  <c r="G22" i="1"/>
  <c r="H15" i="1"/>
  <c r="I26" i="1"/>
  <c r="I24" i="1"/>
  <c r="S77" i="1" s="1"/>
  <c r="R63" i="1"/>
  <c r="H22" i="1"/>
  <c r="H24" i="1" s="1"/>
  <c r="P73" i="1"/>
  <c r="Q72" i="1"/>
  <c r="F16" i="1"/>
  <c r="O73" i="1"/>
  <c r="Q63" i="1"/>
  <c r="R72" i="1"/>
  <c r="D17" i="1"/>
  <c r="D15" i="1"/>
  <c r="N76" i="1"/>
  <c r="N65" i="1"/>
  <c r="D22" i="1"/>
  <c r="E15" i="1"/>
  <c r="G17" i="1"/>
  <c r="Q65" i="1"/>
  <c r="G15" i="1"/>
  <c r="G16" i="1"/>
  <c r="Q76" i="1"/>
  <c r="E24" i="1"/>
  <c r="O77" i="1" s="1"/>
  <c r="E26" i="1"/>
  <c r="C22" i="1"/>
  <c r="M65" i="1"/>
  <c r="M76" i="1"/>
  <c r="C17" i="1"/>
  <c r="R76" i="1"/>
  <c r="R65" i="1"/>
  <c r="M73" i="1"/>
  <c r="N73" i="1"/>
  <c r="S64" i="1" l="1"/>
  <c r="I27" i="1"/>
  <c r="I30" i="1"/>
  <c r="I32" i="1" s="1"/>
  <c r="D24" i="1"/>
  <c r="N77" i="1" s="1"/>
  <c r="D26" i="1"/>
  <c r="G26" i="1"/>
  <c r="G24" i="1"/>
  <c r="Q77" i="1" s="1"/>
  <c r="H26" i="1"/>
  <c r="R77" i="1"/>
  <c r="O64" i="1"/>
  <c r="E30" i="1"/>
  <c r="E27" i="1"/>
  <c r="C24" i="1"/>
  <c r="M77" i="1" s="1"/>
  <c r="C26" i="1"/>
  <c r="H30" i="1" l="1"/>
  <c r="H27" i="1"/>
  <c r="R64" i="1"/>
  <c r="M64" i="1"/>
  <c r="C27" i="1"/>
  <c r="C30" i="1"/>
  <c r="F32" i="1" s="1"/>
  <c r="Q64" i="1"/>
  <c r="G27" i="1"/>
  <c r="G30" i="1"/>
  <c r="F31" i="1"/>
  <c r="D27" i="1"/>
  <c r="D30" i="1"/>
  <c r="N64" i="1"/>
  <c r="I31" i="1" l="1"/>
  <c r="H32" i="1"/>
  <c r="H31" i="1"/>
  <c r="D31" i="1"/>
  <c r="E31" i="1"/>
  <c r="G32" i="1"/>
  <c r="G31" i="1"/>
</calcChain>
</file>

<file path=xl/sharedStrings.xml><?xml version="1.0" encoding="utf-8"?>
<sst xmlns="http://schemas.openxmlformats.org/spreadsheetml/2006/main" count="192" uniqueCount="123">
  <si>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</si>
  <si>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</si>
  <si>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</si>
  <si>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</si>
  <si>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</si>
  <si>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</si>
  <si>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</si>
  <si>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</si>
  <si>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</si>
  <si>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</si>
  <si>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</si>
  <si>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</si>
  <si>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</si>
  <si>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</si>
  <si>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</si>
  <si>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</si>
  <si>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</si>
  <si>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</si>
  <si>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</si>
  <si>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</si>
  <si>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</si>
  <si>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</si>
  <si>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</si>
  <si>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</si>
  <si>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</si>
  <si>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</si>
  <si>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</si>
  <si>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</si>
  <si>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</si>
  <si>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>Capital WIP</t>
  </si>
  <si>
    <t>Other Income</t>
  </si>
  <si>
    <t>Depreciation and amotization expense</t>
  </si>
  <si>
    <t xml:space="preserve">Other Intangible assets </t>
  </si>
  <si>
    <t>Finance cost</t>
  </si>
  <si>
    <t>Financial Assets</t>
  </si>
  <si>
    <t>Exception item</t>
  </si>
  <si>
    <t>a) Other financial assets</t>
  </si>
  <si>
    <t>PBT</t>
  </si>
  <si>
    <t xml:space="preserve">b) Loans </t>
  </si>
  <si>
    <t>Tax</t>
  </si>
  <si>
    <t>Other Non-current assets</t>
  </si>
  <si>
    <t xml:space="preserve"> </t>
  </si>
  <si>
    <t>Effective tax rate (%)</t>
  </si>
  <si>
    <t>CURRENT ASSETS, LOANS &amp; ADVANCES</t>
  </si>
  <si>
    <t>PAT</t>
  </si>
  <si>
    <t>Inventories</t>
  </si>
  <si>
    <t>PAT margin (%)</t>
  </si>
  <si>
    <t>Minority Interest</t>
  </si>
  <si>
    <t>a) Trade Receivabes</t>
  </si>
  <si>
    <t>Other Comprehensive Income</t>
  </si>
  <si>
    <t>b) Cash &amp; Cash Equivalants</t>
  </si>
  <si>
    <t>c)  Loans</t>
  </si>
  <si>
    <t>d) Investments</t>
  </si>
  <si>
    <t>CAGR (%)</t>
  </si>
  <si>
    <t>e)other bank balances</t>
  </si>
  <si>
    <t>EPS</t>
  </si>
  <si>
    <t>f)other financial assets</t>
  </si>
  <si>
    <t>current tax assets</t>
  </si>
  <si>
    <t xml:space="preserve">Other Current Assets </t>
  </si>
  <si>
    <t>ASSETS HFS</t>
  </si>
  <si>
    <t>CURRENT LIABILITIES &amp; PROVISIONS</t>
  </si>
  <si>
    <t>Financial Liabilities</t>
  </si>
  <si>
    <t>a) Trade payables</t>
  </si>
  <si>
    <t>b) Oher financial liabilities</t>
  </si>
  <si>
    <t>CASH FLOW (INR Mn)</t>
  </si>
  <si>
    <t>c)Lease liablities</t>
  </si>
  <si>
    <t>Cash and Cash Equivalents at beginning of the year</t>
  </si>
  <si>
    <t>Other current liabilities</t>
  </si>
  <si>
    <t>Cash Flow From Operating Activities</t>
  </si>
  <si>
    <t>Provisions</t>
  </si>
  <si>
    <t>Cash Flow from Investing Activities</t>
  </si>
  <si>
    <t>Current Tax Liabilities</t>
  </si>
  <si>
    <t>Cash Flow From Financing Activities</t>
  </si>
  <si>
    <t>NET CURRENT ASSETS</t>
  </si>
  <si>
    <t>Net Inc./(Dec.) in Cash and Cash Equivalents</t>
  </si>
  <si>
    <t>NON CURRENT LIABILITIES</t>
  </si>
  <si>
    <t>Cash and Cash Equivalents at end of the year</t>
  </si>
  <si>
    <t>other financial liability</t>
  </si>
  <si>
    <t>Our Calculations</t>
  </si>
  <si>
    <t>lease liability</t>
  </si>
  <si>
    <t xml:space="preserve">Operating Cash Inflow </t>
  </si>
  <si>
    <t>TOTAL ASSETS</t>
  </si>
  <si>
    <t>Capital Expenditure</t>
  </si>
  <si>
    <t>FCF</t>
  </si>
  <si>
    <t>KEY RATIOS</t>
  </si>
  <si>
    <t>No of Shares</t>
  </si>
  <si>
    <t>CMP(INR)</t>
  </si>
  <si>
    <t>EPS (INR)</t>
  </si>
  <si>
    <t>Total Debt</t>
  </si>
  <si>
    <t>BVPS (INR)</t>
  </si>
  <si>
    <t>Cash</t>
  </si>
  <si>
    <t>DPS (INR)</t>
  </si>
  <si>
    <t>EV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</si>
  <si>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</si>
  <si>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</si>
  <si>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</si>
  <si>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</si>
  <si>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</si>
  <si>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</si>
  <si>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</si>
  <si>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</si>
  <si>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</si>
  <si>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</si>
  <si>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</si>
  <si>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</si>
  <si>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</si>
  <si>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</si>
  <si>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</si>
  <si>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</si>
  <si>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</si>
  <si>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Cost of debt</t>
  </si>
  <si>
    <t xml:space="preserve"> Effect of exchange rate changes</t>
  </si>
  <si>
    <t>PAT from Discontinued Business</t>
  </si>
  <si>
    <t>Defered tax assets</t>
  </si>
  <si>
    <t>Total comprehesive Income</t>
  </si>
  <si>
    <t>FY24</t>
  </si>
  <si>
    <t>Market Cap (INR in Mn)</t>
  </si>
  <si>
    <t>TOTAL LIABILITIES &amp; EQUITY</t>
  </si>
  <si>
    <t>Jubilant Agri &amp; Consumer Products Limited</t>
  </si>
  <si>
    <t>FY25</t>
  </si>
  <si>
    <t>Intangible assets under development</t>
  </si>
  <si>
    <t>Deferred tax liabilities (net)</t>
  </si>
  <si>
    <t>Q1-FY26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</si>
</sst>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* #,##0.000_ ;_ * \-#,##0.000_ ;_ * &quot;-&quot;??_ ;_ @_ "/>
    <numFmt numFmtId="167" formatCode="_ * #,##0.0_ ;_ * \-#,##0.0_ ;_ * &quot;-&quot;??_ ;_ @_ 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12">
    <xf numFmtId="0" fontId="0" fillId="0" borderId="0" xfId="0"/>
    <xf numFmtId="0" fontId="5" fillId="2" borderId="0" xfId="0" applyFont="1" applyFill="1"/>
    <xf numFmtId="165" fontId="5" fillId="2" borderId="0" xfId="0" applyNumberFormat="1" applyFont="1" applyFill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10" fontId="0" fillId="0" borderId="0" xfId="2" applyNumberFormat="1" applyFont="1"/>
    <xf numFmtId="0" fontId="3" fillId="2" borderId="7" xfId="0" applyFont="1" applyFill="1" applyBorder="1"/>
    <xf numFmtId="0" fontId="3" fillId="2" borderId="9" xfId="0" applyFont="1" applyFill="1" applyBorder="1"/>
    <xf numFmtId="0" fontId="0" fillId="0" borderId="8" xfId="0" applyBorder="1"/>
    <xf numFmtId="2" fontId="3" fillId="2" borderId="6" xfId="0" applyNumberFormat="1" applyFont="1" applyFill="1" applyBorder="1"/>
    <xf numFmtId="0" fontId="0" fillId="0" borderId="10" xfId="0" applyBorder="1"/>
    <xf numFmtId="0" fontId="3" fillId="2" borderId="5" xfId="0" applyFont="1" applyFill="1" applyBorder="1"/>
    <xf numFmtId="43" fontId="3" fillId="0" borderId="8" xfId="3" applyFont="1" applyBorder="1"/>
    <xf numFmtId="0" fontId="6" fillId="0" borderId="11" xfId="0" applyFont="1" applyBorder="1"/>
    <xf numFmtId="43" fontId="3" fillId="0" borderId="12" xfId="3" applyFont="1" applyBorder="1"/>
    <xf numFmtId="43" fontId="0" fillId="0" borderId="13" xfId="0" applyNumberFormat="1" applyBorder="1"/>
    <xf numFmtId="0" fontId="0" fillId="0" borderId="15" xfId="0" applyBorder="1"/>
    <xf numFmtId="43" fontId="3" fillId="2" borderId="14" xfId="0" applyNumberFormat="1" applyFont="1" applyFill="1" applyBorder="1"/>
    <xf numFmtId="43" fontId="6" fillId="0" borderId="8" xfId="3" applyFont="1" applyBorder="1"/>
    <xf numFmtId="167" fontId="3" fillId="0" borderId="8" xfId="3" applyNumberFormat="1" applyFont="1" applyBorder="1"/>
    <xf numFmtId="43" fontId="6" fillId="0" borderId="12" xfId="3" applyFont="1" applyBorder="1"/>
    <xf numFmtId="167" fontId="3" fillId="0" borderId="12" xfId="3" applyNumberFormat="1" applyFont="1" applyBorder="1"/>
    <xf numFmtId="167" fontId="6" fillId="0" borderId="8" xfId="1" applyNumberFormat="1" applyFont="1" applyFill="1" applyBorder="1"/>
    <xf numFmtId="0" fontId="3" fillId="0" borderId="8" xfId="0" applyFont="1" applyBorder="1"/>
    <xf numFmtId="43" fontId="4" fillId="0" borderId="8" xfId="1" applyFont="1" applyFill="1" applyBorder="1"/>
    <xf numFmtId="167" fontId="6" fillId="0" borderId="8" xfId="1" applyNumberFormat="1" applyFont="1" applyBorder="1"/>
    <xf numFmtId="43" fontId="3" fillId="0" borderId="8" xfId="3" applyFont="1" applyFill="1" applyBorder="1"/>
    <xf numFmtId="2" fontId="6" fillId="0" borderId="8" xfId="0" applyNumberFormat="1" applyFont="1" applyBorder="1"/>
    <xf numFmtId="0" fontId="3" fillId="0" borderId="12" xfId="0" applyFont="1" applyBorder="1"/>
    <xf numFmtId="0" fontId="4" fillId="0" borderId="11" xfId="0" applyFont="1" applyBorder="1"/>
    <xf numFmtId="43" fontId="4" fillId="0" borderId="12" xfId="1" applyFont="1" applyFill="1" applyBorder="1"/>
    <xf numFmtId="167" fontId="6" fillId="0" borderId="12" xfId="1" applyNumberFormat="1" applyFont="1" applyBorder="1"/>
    <xf numFmtId="43" fontId="3" fillId="0" borderId="12" xfId="3" applyFont="1" applyFill="1" applyBorder="1"/>
    <xf numFmtId="0" fontId="6" fillId="0" borderId="20" xfId="0" applyFont="1" applyBorder="1"/>
    <xf numFmtId="43" fontId="6" fillId="0" borderId="13" xfId="3" applyFont="1" applyBorder="1"/>
    <xf numFmtId="0" fontId="8" fillId="0" borderId="11" xfId="0" applyFont="1" applyBorder="1"/>
    <xf numFmtId="2" fontId="6" fillId="0" borderId="12" xfId="0" applyNumberFormat="1" applyFont="1" applyBorder="1"/>
    <xf numFmtId="43" fontId="6" fillId="0" borderId="13" xfId="3" applyFont="1" applyFill="1" applyBorder="1"/>
    <xf numFmtId="43" fontId="6" fillId="0" borderId="21" xfId="3" applyFont="1" applyFill="1" applyBorder="1"/>
    <xf numFmtId="0" fontId="3" fillId="0" borderId="11" xfId="0" applyFont="1" applyBorder="1"/>
    <xf numFmtId="0" fontId="2" fillId="0" borderId="20" xfId="0" applyFont="1" applyBorder="1"/>
    <xf numFmtId="0" fontId="5" fillId="0" borderId="11" xfId="0" applyFont="1" applyBorder="1"/>
    <xf numFmtId="0" fontId="2" fillId="0" borderId="11" xfId="0" applyFont="1" applyBorder="1"/>
    <xf numFmtId="43" fontId="4" fillId="0" borderId="13" xfId="3" applyFont="1" applyFill="1" applyBorder="1"/>
    <xf numFmtId="2" fontId="6" fillId="0" borderId="8" xfId="3" applyNumberFormat="1" applyFont="1" applyFill="1" applyBorder="1"/>
    <xf numFmtId="167" fontId="6" fillId="0" borderId="8" xfId="3" applyNumberFormat="1" applyFont="1" applyFill="1" applyBorder="1"/>
    <xf numFmtId="2" fontId="5" fillId="0" borderId="8" xfId="0" applyNumberFormat="1" applyFont="1" applyBorder="1"/>
    <xf numFmtId="43" fontId="3" fillId="0" borderId="8" xfId="1" applyFont="1" applyBorder="1"/>
    <xf numFmtId="43" fontId="3" fillId="2" borderId="8" xfId="1" applyFont="1" applyFill="1" applyBorder="1"/>
    <xf numFmtId="43" fontId="4" fillId="0" borderId="8" xfId="3" applyFont="1" applyFill="1" applyBorder="1"/>
    <xf numFmtId="43" fontId="3" fillId="0" borderId="8" xfId="1" applyFont="1" applyFill="1" applyBorder="1"/>
    <xf numFmtId="43" fontId="3" fillId="0" borderId="26" xfId="0" applyNumberFormat="1" applyFont="1" applyBorder="1"/>
    <xf numFmtId="43" fontId="3" fillId="0" borderId="30" xfId="0" applyNumberFormat="1" applyFont="1" applyBorder="1"/>
    <xf numFmtId="43" fontId="3" fillId="2" borderId="26" xfId="0" applyNumberFormat="1" applyFont="1" applyFill="1" applyBorder="1"/>
    <xf numFmtId="43" fontId="3" fillId="2" borderId="30" xfId="0" applyNumberFormat="1" applyFont="1" applyFill="1" applyBorder="1"/>
    <xf numFmtId="0" fontId="4" fillId="2" borderId="20" xfId="0" applyFont="1" applyFill="1" applyBorder="1"/>
    <xf numFmtId="0" fontId="6" fillId="2" borderId="18" xfId="0" applyFont="1" applyFill="1" applyBorder="1"/>
    <xf numFmtId="43" fontId="4" fillId="2" borderId="13" xfId="1" applyFont="1" applyFill="1" applyBorder="1"/>
    <xf numFmtId="43" fontId="6" fillId="2" borderId="19" xfId="1" applyFont="1" applyFill="1" applyBorder="1"/>
    <xf numFmtId="43" fontId="4" fillId="0" borderId="13" xfId="1" applyFont="1" applyFill="1" applyBorder="1"/>
    <xf numFmtId="43" fontId="6" fillId="0" borderId="19" xfId="1" applyFont="1" applyFill="1" applyBorder="1"/>
    <xf numFmtId="164" fontId="3" fillId="0" borderId="31" xfId="1" applyNumberFormat="1" applyFont="1" applyFill="1" applyBorder="1"/>
    <xf numFmtId="43" fontId="3" fillId="0" borderId="26" xfId="1" applyFont="1" applyFill="1" applyBorder="1"/>
    <xf numFmtId="167" fontId="3" fillId="0" borderId="26" xfId="1" applyNumberFormat="1" applyFont="1" applyFill="1" applyBorder="1"/>
    <xf numFmtId="2" fontId="3" fillId="0" borderId="27" xfId="0" applyNumberFormat="1" applyFont="1" applyBorder="1"/>
    <xf numFmtId="43" fontId="3" fillId="0" borderId="26" xfId="1" applyFont="1" applyBorder="1"/>
    <xf numFmtId="167" fontId="3" fillId="0" borderId="26" xfId="1" applyNumberFormat="1" applyFont="1" applyBorder="1"/>
    <xf numFmtId="0" fontId="3" fillId="0" borderId="20" xfId="0" applyFont="1" applyBorder="1"/>
    <xf numFmtId="0" fontId="3" fillId="0" borderId="18" xfId="0" applyFont="1" applyBorder="1"/>
    <xf numFmtId="2" fontId="3" fillId="2" borderId="31" xfId="0" applyNumberFormat="1" applyFont="1" applyFill="1" applyBorder="1"/>
    <xf numFmtId="2" fontId="3" fillId="0" borderId="31" xfId="0" applyNumberFormat="1" applyFont="1" applyBorder="1"/>
    <xf numFmtId="43" fontId="4" fillId="0" borderId="26" xfId="1" applyFont="1" applyFill="1" applyBorder="1"/>
    <xf numFmtId="43" fontId="2" fillId="0" borderId="25" xfId="1" applyFont="1" applyBorder="1"/>
    <xf numFmtId="43" fontId="0" fillId="0" borderId="0" xfId="1" applyFont="1"/>
    <xf numFmtId="43" fontId="5" fillId="0" borderId="26" xfId="1" applyFont="1" applyBorder="1"/>
    <xf numFmtId="43" fontId="5" fillId="2" borderId="0" xfId="1" applyFont="1" applyFill="1"/>
    <xf numFmtId="43" fontId="10" fillId="0" borderId="13" xfId="1" applyFont="1" applyBorder="1"/>
    <xf numFmtId="43" fontId="10" fillId="0" borderId="8" xfId="1" applyFont="1" applyBorder="1"/>
    <xf numFmtId="43" fontId="10" fillId="0" borderId="14" xfId="1" applyFont="1" applyBorder="1"/>
    <xf numFmtId="43" fontId="3" fillId="0" borderId="0" xfId="1" applyFont="1"/>
    <xf numFmtId="43" fontId="3" fillId="0" borderId="31" xfId="1" applyFont="1" applyFill="1" applyBorder="1"/>
    <xf numFmtId="43" fontId="3" fillId="0" borderId="27" xfId="1" applyFont="1" applyBorder="1"/>
    <xf numFmtId="43" fontId="6" fillId="0" borderId="8" xfId="1" applyFont="1" applyBorder="1"/>
    <xf numFmtId="43" fontId="2" fillId="3" borderId="16" xfId="1" applyFont="1" applyFill="1" applyBorder="1" applyAlignment="1">
      <alignment horizontal="center"/>
    </xf>
    <xf numFmtId="0" fontId="2" fillId="3" borderId="24" xfId="0" applyFont="1" applyFill="1" applyBorder="1"/>
    <xf numFmtId="0" fontId="4" fillId="3" borderId="28" xfId="0" applyFont="1" applyFill="1" applyBorder="1" applyAlignment="1">
      <alignment horizontal="center"/>
    </xf>
    <xf numFmtId="0" fontId="5" fillId="3" borderId="11" xfId="0" applyFont="1" applyFill="1" applyBorder="1"/>
    <xf numFmtId="43" fontId="5" fillId="3" borderId="26" xfId="1" applyFont="1" applyFill="1" applyBorder="1"/>
    <xf numFmtId="10" fontId="5" fillId="3" borderId="8" xfId="2" applyNumberFormat="1" applyFont="1" applyFill="1" applyBorder="1"/>
    <xf numFmtId="165" fontId="5" fillId="3" borderId="8" xfId="0" applyNumberFormat="1" applyFont="1" applyFill="1" applyBorder="1"/>
    <xf numFmtId="0" fontId="2" fillId="3" borderId="11" xfId="0" applyFont="1" applyFill="1" applyBorder="1"/>
    <xf numFmtId="43" fontId="2" fillId="3" borderId="26" xfId="1" applyFont="1" applyFill="1" applyBorder="1"/>
    <xf numFmtId="43" fontId="2" fillId="3" borderId="8" xfId="3" applyFont="1" applyFill="1" applyBorder="1"/>
    <xf numFmtId="10" fontId="4" fillId="3" borderId="8" xfId="0" applyNumberFormat="1" applyFont="1" applyFill="1" applyBorder="1"/>
    <xf numFmtId="10" fontId="5" fillId="3" borderId="8" xfId="0" applyNumberFormat="1" applyFont="1" applyFill="1" applyBorder="1"/>
    <xf numFmtId="10" fontId="2" fillId="3" borderId="8" xfId="2" applyNumberFormat="1" applyFont="1" applyFill="1" applyBorder="1"/>
    <xf numFmtId="10" fontId="2" fillId="3" borderId="8" xfId="2" applyNumberFormat="1" applyFont="1" applyFill="1" applyBorder="1" applyAlignment="1">
      <alignment horizontal="right"/>
    </xf>
    <xf numFmtId="0" fontId="5" fillId="3" borderId="18" xfId="0" applyFont="1" applyFill="1" applyBorder="1"/>
    <xf numFmtId="43" fontId="5" fillId="3" borderId="27" xfId="1" applyFont="1" applyFill="1" applyBorder="1"/>
    <xf numFmtId="165" fontId="5" fillId="3" borderId="19" xfId="0" applyNumberFormat="1" applyFont="1" applyFill="1" applyBorder="1"/>
    <xf numFmtId="0" fontId="2" fillId="3" borderId="1" xfId="0" applyFont="1" applyFill="1" applyBorder="1"/>
    <xf numFmtId="43" fontId="2" fillId="3" borderId="29" xfId="1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43" fontId="2" fillId="3" borderId="28" xfId="1" applyFont="1" applyFill="1" applyBorder="1"/>
    <xf numFmtId="43" fontId="2" fillId="3" borderId="29" xfId="0" applyNumberFormat="1" applyFont="1" applyFill="1" applyBorder="1"/>
    <xf numFmtId="43" fontId="2" fillId="3" borderId="28" xfId="0" applyNumberFormat="1" applyFont="1" applyFill="1" applyBorder="1"/>
    <xf numFmtId="43" fontId="2" fillId="3" borderId="16" xfId="0" applyNumberFormat="1" applyFont="1" applyFill="1" applyBorder="1"/>
    <xf numFmtId="0" fontId="4" fillId="3" borderId="24" xfId="0" applyFont="1" applyFill="1" applyBorder="1"/>
    <xf numFmtId="43" fontId="2" fillId="3" borderId="28" xfId="1" applyFont="1" applyFill="1" applyBorder="1" applyAlignment="1">
      <alignment horizontal="center"/>
    </xf>
    <xf numFmtId="0" fontId="4" fillId="3" borderId="22" xfId="0" applyFont="1" applyFill="1" applyBorder="1"/>
    <xf numFmtId="43" fontId="4" fillId="3" borderId="23" xfId="1" applyFont="1" applyFill="1" applyBorder="1"/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3" borderId="22" xfId="0" applyFont="1" applyFill="1" applyBorder="1"/>
    <xf numFmtId="43" fontId="2" fillId="3" borderId="32" xfId="1" applyFont="1" applyFill="1" applyBorder="1"/>
    <xf numFmtId="167" fontId="2" fillId="3" borderId="32" xfId="1" applyNumberFormat="1" applyFont="1" applyFill="1" applyBorder="1"/>
    <xf numFmtId="0" fontId="2" fillId="3" borderId="2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43" fontId="2" fillId="3" borderId="8" xfId="1" applyFont="1" applyFill="1" applyBorder="1"/>
    <xf numFmtId="43" fontId="2" fillId="3" borderId="12" xfId="1" applyFont="1" applyFill="1" applyBorder="1"/>
    <xf numFmtId="43" fontId="2" fillId="3" borderId="12" xfId="3" applyFont="1" applyFill="1" applyBorder="1"/>
    <xf numFmtId="43" fontId="2" fillId="3" borderId="8" xfId="0" applyNumberFormat="1" applyFont="1" applyFill="1" applyBorder="1"/>
    <xf numFmtId="2" fontId="2" fillId="3" borderId="8" xfId="0" applyNumberFormat="1" applyFont="1" applyFill="1" applyBorder="1"/>
    <xf numFmtId="1" fontId="12" fillId="3" borderId="8" xfId="0" applyNumberFormat="1" applyFont="1" applyFill="1" applyBorder="1" applyAlignment="1">
      <alignment horizontal="right"/>
    </xf>
    <xf numFmtId="1" fontId="2" fillId="3" borderId="8" xfId="0" applyNumberFormat="1" applyFont="1" applyFill="1" applyBorder="1"/>
    <xf numFmtId="2" fontId="2" fillId="3" borderId="8" xfId="2" applyNumberFormat="1" applyFont="1" applyFill="1" applyBorder="1"/>
    <xf numFmtId="0" fontId="2" fillId="3" borderId="18" xfId="0" applyFont="1" applyFill="1" applyBorder="1"/>
    <xf numFmtId="10" fontId="2" fillId="3" borderId="19" xfId="2" applyNumberFormat="1" applyFont="1" applyFill="1" applyBorder="1"/>
    <xf numFmtId="43" fontId="6" fillId="2" borderId="8" xfId="1" applyFont="1" applyFill="1" applyBorder="1"/>
    <xf numFmtId="43" fontId="6" fillId="0" borderId="12" xfId="1" applyFont="1" applyBorder="1"/>
    <xf numFmtId="0" fontId="9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43" fontId="2" fillId="3" borderId="12" xfId="0" applyNumberFormat="1" applyFont="1" applyFill="1" applyBorder="1"/>
    <xf numFmtId="2" fontId="2" fillId="3" borderId="12" xfId="0" applyNumberFormat="1" applyFont="1" applyFill="1" applyBorder="1"/>
    <xf numFmtId="10" fontId="2" fillId="3" borderId="12" xfId="2" applyNumberFormat="1" applyFont="1" applyFill="1" applyBorder="1"/>
    <xf numFmtId="43" fontId="4" fillId="0" borderId="21" xfId="3" applyFont="1" applyFill="1" applyBorder="1"/>
    <xf numFmtId="10" fontId="4" fillId="3" borderId="12" xfId="0" applyNumberFormat="1" applyFont="1" applyFill="1" applyBorder="1"/>
    <xf numFmtId="2" fontId="6" fillId="0" borderId="12" xfId="3" applyNumberFormat="1" applyFont="1" applyFill="1" applyBorder="1"/>
    <xf numFmtId="167" fontId="6" fillId="0" borderId="12" xfId="3" applyNumberFormat="1" applyFont="1" applyFill="1" applyBorder="1"/>
    <xf numFmtId="10" fontId="5" fillId="3" borderId="12" xfId="0" applyNumberFormat="1" applyFont="1" applyFill="1" applyBorder="1"/>
    <xf numFmtId="2" fontId="5" fillId="0" borderId="12" xfId="0" applyNumberFormat="1" applyFont="1" applyBorder="1"/>
    <xf numFmtId="43" fontId="3" fillId="0" borderId="12" xfId="1" applyFont="1" applyFill="1" applyBorder="1"/>
    <xf numFmtId="43" fontId="4" fillId="0" borderId="12" xfId="3" applyFont="1" applyFill="1" applyBorder="1"/>
    <xf numFmtId="2" fontId="3" fillId="2" borderId="34" xfId="0" applyNumberFormat="1" applyFont="1" applyFill="1" applyBorder="1"/>
    <xf numFmtId="2" fontId="3" fillId="0" borderId="39" xfId="0" applyNumberFormat="1" applyFont="1" applyBorder="1"/>
    <xf numFmtId="43" fontId="3" fillId="2" borderId="8" xfId="0" applyNumberFormat="1" applyFont="1" applyFill="1" applyBorder="1"/>
    <xf numFmtId="43" fontId="3" fillId="0" borderId="40" xfId="0" applyNumberFormat="1" applyFont="1" applyBorder="1"/>
    <xf numFmtId="43" fontId="3" fillId="0" borderId="41" xfId="0" applyNumberFormat="1" applyFont="1" applyBorder="1"/>
    <xf numFmtId="43" fontId="2" fillId="3" borderId="4" xfId="0" applyNumberFormat="1" applyFont="1" applyFill="1" applyBorder="1"/>
    <xf numFmtId="43" fontId="4" fillId="0" borderId="21" xfId="1" applyFont="1" applyFill="1" applyBorder="1"/>
    <xf numFmtId="43" fontId="4" fillId="3" borderId="36" xfId="1" applyFont="1" applyFill="1" applyBorder="1"/>
    <xf numFmtId="43" fontId="6" fillId="0" borderId="33" xfId="1" applyFont="1" applyFill="1" applyBorder="1"/>
    <xf numFmtId="164" fontId="3" fillId="0" borderId="34" xfId="1" applyNumberFormat="1" applyFont="1" applyFill="1" applyBorder="1"/>
    <xf numFmtId="167" fontId="3" fillId="0" borderId="8" xfId="1" applyNumberFormat="1" applyFont="1" applyBorder="1"/>
    <xf numFmtId="2" fontId="3" fillId="0" borderId="19" xfId="0" applyNumberFormat="1" applyFont="1" applyBorder="1"/>
    <xf numFmtId="167" fontId="2" fillId="3" borderId="23" xfId="1" applyNumberFormat="1" applyFont="1" applyFill="1" applyBorder="1"/>
    <xf numFmtId="43" fontId="4" fillId="0" borderId="0" xfId="1" applyFont="1" applyFill="1" applyBorder="1"/>
    <xf numFmtId="43" fontId="6" fillId="0" borderId="0" xfId="1" applyFont="1" applyFill="1" applyBorder="1"/>
    <xf numFmtId="43" fontId="4" fillId="0" borderId="42" xfId="3" applyFont="1" applyFill="1" applyBorder="1"/>
    <xf numFmtId="10" fontId="5" fillId="3" borderId="10" xfId="2" applyNumberFormat="1" applyFont="1" applyFill="1" applyBorder="1"/>
    <xf numFmtId="43" fontId="2" fillId="3" borderId="10" xfId="3" applyFont="1" applyFill="1" applyBorder="1"/>
    <xf numFmtId="43" fontId="6" fillId="0" borderId="10" xfId="1" applyFont="1" applyBorder="1"/>
    <xf numFmtId="165" fontId="5" fillId="3" borderId="10" xfId="0" applyNumberFormat="1" applyFont="1" applyFill="1" applyBorder="1"/>
    <xf numFmtId="10" fontId="4" fillId="3" borderId="10" xfId="0" applyNumberFormat="1" applyFont="1" applyFill="1" applyBorder="1"/>
    <xf numFmtId="2" fontId="6" fillId="0" borderId="10" xfId="3" applyNumberFormat="1" applyFont="1" applyFill="1" applyBorder="1"/>
    <xf numFmtId="167" fontId="6" fillId="0" borderId="10" xfId="3" applyNumberFormat="1" applyFont="1" applyFill="1" applyBorder="1"/>
    <xf numFmtId="2" fontId="6" fillId="0" borderId="10" xfId="0" applyNumberFormat="1" applyFont="1" applyBorder="1"/>
    <xf numFmtId="10" fontId="5" fillId="3" borderId="10" xfId="0" applyNumberFormat="1" applyFont="1" applyFill="1" applyBorder="1"/>
    <xf numFmtId="2" fontId="5" fillId="0" borderId="10" xfId="0" applyNumberFormat="1" applyFont="1" applyBorder="1"/>
    <xf numFmtId="10" fontId="2" fillId="3" borderId="10" xfId="2" applyNumberFormat="1" applyFont="1" applyFill="1" applyBorder="1"/>
    <xf numFmtId="43" fontId="3" fillId="0" borderId="10" xfId="1" applyFont="1" applyFill="1" applyBorder="1"/>
    <xf numFmtId="43" fontId="4" fillId="0" borderId="10" xfId="3" applyFont="1" applyFill="1" applyBorder="1"/>
    <xf numFmtId="165" fontId="5" fillId="3" borderId="43" xfId="0" applyNumberFormat="1" applyFont="1" applyFill="1" applyBorder="1"/>
    <xf numFmtId="164" fontId="3" fillId="0" borderId="35" xfId="1" applyNumberFormat="1" applyFont="1" applyFill="1" applyBorder="1"/>
    <xf numFmtId="167" fontId="3" fillId="0" borderId="12" xfId="1" applyNumberFormat="1" applyFont="1" applyFill="1" applyBorder="1"/>
    <xf numFmtId="2" fontId="3" fillId="0" borderId="33" xfId="0" applyNumberFormat="1" applyFont="1" applyBorder="1"/>
    <xf numFmtId="167" fontId="2" fillId="3" borderId="36" xfId="1" applyNumberFormat="1" applyFont="1" applyFill="1" applyBorder="1"/>
    <xf numFmtId="0" fontId="3" fillId="0" borderId="44" xfId="0" applyFont="1" applyBorder="1"/>
    <xf numFmtId="0" fontId="0" fillId="0" borderId="44" xfId="0" applyBorder="1"/>
    <xf numFmtId="0" fontId="2" fillId="3" borderId="20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5" fillId="3" borderId="12" xfId="1" applyFont="1" applyFill="1" applyBorder="1"/>
    <xf numFmtId="43" fontId="5" fillId="3" borderId="33" xfId="1" applyFont="1" applyFill="1" applyBorder="1"/>
    <xf numFmtId="0" fontId="4" fillId="0" borderId="0" xfId="0" applyFont="1" applyFill="1" applyBorder="1" applyAlignment="1">
      <alignment horizontal="center"/>
    </xf>
    <xf numFmtId="2" fontId="3" fillId="0" borderId="0" xfId="0" applyNumberFormat="1" applyFont="1" applyFill="1" applyBorder="1"/>
    <xf numFmtId="43" fontId="3" fillId="0" borderId="0" xfId="0" applyNumberFormat="1" applyFont="1" applyFill="1" applyBorder="1"/>
    <xf numFmtId="43" fontId="2" fillId="0" borderId="0" xfId="0" applyNumberFormat="1" applyFont="1" applyFill="1" applyBorder="1"/>
    <xf numFmtId="0" fontId="3" fillId="0" borderId="0" xfId="0" applyFont="1" applyFill="1"/>
    <xf numFmtId="0" fontId="2" fillId="3" borderId="42" xfId="0" applyFont="1" applyFill="1" applyBorder="1" applyAlignment="1">
      <alignment horizontal="center"/>
    </xf>
    <xf numFmtId="43" fontId="2" fillId="3" borderId="10" xfId="0" applyNumberFormat="1" applyFont="1" applyFill="1" applyBorder="1"/>
    <xf numFmtId="43" fontId="2" fillId="3" borderId="10" xfId="1" applyFont="1" applyFill="1" applyBorder="1"/>
    <xf numFmtId="2" fontId="2" fillId="3" borderId="10" xfId="0" applyNumberFormat="1" applyFont="1" applyFill="1" applyBorder="1"/>
    <xf numFmtId="1" fontId="12" fillId="3" borderId="10" xfId="0" applyNumberFormat="1" applyFont="1" applyFill="1" applyBorder="1" applyAlignment="1">
      <alignment horizontal="right"/>
    </xf>
    <xf numFmtId="1" fontId="2" fillId="3" borderId="10" xfId="0" applyNumberFormat="1" applyFont="1" applyFill="1" applyBorder="1"/>
    <xf numFmtId="2" fontId="2" fillId="3" borderId="10" xfId="2" applyNumberFormat="1" applyFont="1" applyFill="1" applyBorder="1"/>
    <xf numFmtId="10" fontId="2" fillId="3" borderId="10" xfId="2" applyNumberFormat="1" applyFont="1" applyFill="1" applyBorder="1" applyAlignment="1">
      <alignment horizontal="right"/>
    </xf>
    <xf numFmtId="10" fontId="2" fillId="3" borderId="43" xfId="2" applyNumberFormat="1" applyFont="1" applyFill="1" applyBorder="1"/>
    <xf numFmtId="0" fontId="2" fillId="3" borderId="35" xfId="0" applyFont="1" applyFill="1" applyBorder="1" applyAlignment="1">
      <alignment horizontal="center"/>
    </xf>
    <xf numFmtId="4" fontId="3" fillId="0" borderId="12" xfId="0" applyNumberFormat="1" applyFont="1" applyBorder="1"/>
    <xf numFmtId="0" fontId="11" fillId="3" borderId="12" xfId="0" applyFont="1" applyFill="1" applyBorder="1" applyAlignment="1">
      <alignment horizontal="right"/>
    </xf>
    <xf numFmtId="0" fontId="1" fillId="3" borderId="33" xfId="0" applyFont="1" applyFill="1" applyBorder="1" applyAlignment="1">
      <alignment horizontal="right"/>
    </xf>
  </cellXfs>
  <cellStyles count="4">
    <cellStyle name="Comma" xfId="1" builtinId="3"/>
    <cellStyle name="Comma 3" xf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7"/>
  <sheetViews>
    <sheetView showGridLines="0" tabSelected="1" topLeftCell="H1" zoomScale="85" zoomScaleNormal="85" workbookViewId="0">
      <selection activeCell="U63" sqref="U63"/>
    </sheetView>
  </sheetViews>
  <sheetFormatPr defaultColWidth="9" defaultRowHeight="15"/>
  <cols>
    <col min="2" max="2" width="53.42578125" bestFit="1" customWidth="1"/>
    <col min="3" max="3" width="17.28515625" style="75" bestFit="1" customWidth="1"/>
    <col min="4" max="7" width="14" bestFit="1" customWidth="1"/>
    <col min="8" max="10" width="14.85546875" customWidth="1"/>
    <col min="11" max="11" width="3.140625" customWidth="1"/>
    <col min="12" max="12" width="45.140625" bestFit="1" customWidth="1"/>
    <col min="13" max="17" width="11.5703125" bestFit="1" customWidth="1"/>
    <col min="18" max="18" width="11.42578125" customWidth="1"/>
    <col min="19" max="19" width="10.5703125" bestFit="1" customWidth="1"/>
    <col min="20" max="20" width="10.5703125" customWidth="1"/>
    <col min="23" max="23" width="1.85546875" bestFit="1" customWidth="1"/>
    <col min="24" max="24" width="13.140625" bestFit="1" customWidth="1"/>
  </cols>
  <sheetData>
    <row r="1" spans="2:19" ht="15.75" thickBot="1"/>
    <row r="2" spans="2:19" ht="16.5" thickBot="1">
      <c r="B2" s="186" t="s">
        <v>118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8"/>
    </row>
    <row r="3" spans="2:19" ht="16.5" thickBot="1">
      <c r="B3" s="186" t="s">
        <v>0</v>
      </c>
      <c r="C3" s="187"/>
      <c r="D3" s="187"/>
      <c r="E3" s="187"/>
      <c r="F3" s="187"/>
      <c r="G3" s="187"/>
      <c r="H3" s="187"/>
      <c r="I3" s="187"/>
      <c r="J3" s="188"/>
      <c r="K3" s="3"/>
      <c r="L3" s="183" t="s">
        <v>1</v>
      </c>
      <c r="M3" s="184"/>
      <c r="N3" s="184"/>
      <c r="O3" s="184"/>
      <c r="P3" s="184"/>
      <c r="Q3" s="184"/>
      <c r="R3" s="184"/>
      <c r="S3" s="185"/>
    </row>
    <row r="4" spans="2:19" ht="16.5" thickBot="1">
      <c r="B4" s="86" t="s">
        <v>2</v>
      </c>
      <c r="C4" s="85" t="s">
        <v>3</v>
      </c>
      <c r="D4" s="87" t="s">
        <v>4</v>
      </c>
      <c r="E4" s="87" t="s">
        <v>5</v>
      </c>
      <c r="F4" s="87" t="s">
        <v>6</v>
      </c>
      <c r="G4" s="87" t="s">
        <v>7</v>
      </c>
      <c r="H4" s="87" t="s">
        <v>115</v>
      </c>
      <c r="I4" s="104" t="s">
        <v>119</v>
      </c>
      <c r="J4" s="114" t="s">
        <v>122</v>
      </c>
      <c r="K4" s="3"/>
      <c r="L4" s="86" t="s">
        <v>2</v>
      </c>
      <c r="M4" s="118" t="s">
        <v>3</v>
      </c>
      <c r="N4" s="118" t="s">
        <v>4</v>
      </c>
      <c r="O4" s="118" t="s">
        <v>5</v>
      </c>
      <c r="P4" s="118" t="s">
        <v>6</v>
      </c>
      <c r="Q4" s="118" t="s">
        <v>7</v>
      </c>
      <c r="R4" s="118" t="s">
        <v>115</v>
      </c>
      <c r="S4" s="119" t="s">
        <v>119</v>
      </c>
    </row>
    <row r="5" spans="2:19" ht="15.75">
      <c r="B5" s="42" t="s">
        <v>8</v>
      </c>
      <c r="C5" s="74">
        <v>5588.9</v>
      </c>
      <c r="D5" s="45">
        <v>5434.22</v>
      </c>
      <c r="E5" s="45">
        <v>6211.87</v>
      </c>
      <c r="F5" s="45">
        <v>11658</v>
      </c>
      <c r="G5" s="45">
        <v>14729.2</v>
      </c>
      <c r="H5" s="45">
        <v>12532.6</v>
      </c>
      <c r="I5" s="160">
        <v>15610.3</v>
      </c>
      <c r="J5" s="137">
        <v>4419.5</v>
      </c>
      <c r="K5" s="3"/>
      <c r="L5" s="35" t="s">
        <v>9</v>
      </c>
      <c r="M5" s="36">
        <v>137.30000000000001</v>
      </c>
      <c r="N5" s="36">
        <v>150.30000000000001</v>
      </c>
      <c r="O5" s="36">
        <v>150.30000000000001</v>
      </c>
      <c r="P5" s="36">
        <v>150.30000000000001</v>
      </c>
      <c r="Q5" s="39">
        <v>150.69999999999999</v>
      </c>
      <c r="R5" s="36">
        <v>150.69999999999999</v>
      </c>
      <c r="S5" s="40">
        <v>150.69999999999999</v>
      </c>
    </row>
    <row r="6" spans="2:19" ht="15.75">
      <c r="B6" s="88" t="s">
        <v>10</v>
      </c>
      <c r="C6" s="89"/>
      <c r="D6" s="90">
        <f>D5/C5-1</f>
        <v>-2.7676286925870763E-2</v>
      </c>
      <c r="E6" s="90">
        <f t="shared" ref="E6:G6" si="0">E5/D5-1</f>
        <v>0.14310241396189327</v>
      </c>
      <c r="F6" s="90">
        <f t="shared" si="0"/>
        <v>0.87672955164869837</v>
      </c>
      <c r="G6" s="90">
        <f t="shared" si="0"/>
        <v>0.26344141362154749</v>
      </c>
      <c r="H6" s="90">
        <f>H5/G5-1</f>
        <v>-0.14913233576840568</v>
      </c>
      <c r="I6" s="161">
        <f>I5/H5-1</f>
        <v>0.24557553899430284</v>
      </c>
      <c r="J6" s="192">
        <v>0</v>
      </c>
      <c r="K6" s="3"/>
      <c r="L6" s="15" t="s">
        <v>11</v>
      </c>
      <c r="M6" s="14">
        <v>503.9</v>
      </c>
      <c r="N6" s="14">
        <v>792.6</v>
      </c>
      <c r="O6" s="14">
        <v>700</v>
      </c>
      <c r="P6" s="14">
        <v>1246.9000000000001</v>
      </c>
      <c r="Q6" s="28">
        <v>1882.9</v>
      </c>
      <c r="R6" s="14">
        <v>2202</v>
      </c>
      <c r="S6" s="34">
        <v>3104.4</v>
      </c>
    </row>
    <row r="7" spans="2:19" ht="15.75">
      <c r="B7" s="88" t="s">
        <v>12</v>
      </c>
      <c r="C7" s="89"/>
      <c r="D7" s="91"/>
      <c r="E7" s="91"/>
      <c r="F7" s="90">
        <f>(F5/C5)^(1/3)-1</f>
        <v>0.27771081447253065</v>
      </c>
      <c r="G7" s="90">
        <f>(G5/D5)^(1/3)-1</f>
        <v>0.39427138479516821</v>
      </c>
      <c r="H7" s="90">
        <f>(H5/E5)^(1/3)-1</f>
        <v>0.26359027103786992</v>
      </c>
      <c r="I7" s="161">
        <f>(I5/F5)^(1/3)-1</f>
        <v>0.10220505755477727</v>
      </c>
      <c r="J7" s="192">
        <v>0</v>
      </c>
      <c r="K7" s="3"/>
      <c r="L7" s="15" t="s">
        <v>13</v>
      </c>
      <c r="M7" s="21">
        <v>0</v>
      </c>
      <c r="N7" s="21">
        <v>0</v>
      </c>
      <c r="O7" s="21">
        <v>0</v>
      </c>
      <c r="P7" s="21"/>
      <c r="Q7" s="21"/>
      <c r="R7" s="21"/>
      <c r="S7" s="23"/>
    </row>
    <row r="8" spans="2:19" ht="15.75">
      <c r="B8" s="92" t="s">
        <v>14</v>
      </c>
      <c r="C8" s="93">
        <f>SUM(C9:C13)</f>
        <v>5231</v>
      </c>
      <c r="D8" s="94">
        <f>SUM(D9:D13)</f>
        <v>4920.05</v>
      </c>
      <c r="E8" s="94">
        <f>SUM(E9:E13)</f>
        <v>5695.98</v>
      </c>
      <c r="F8" s="94">
        <f>SUM(F9:F13)</f>
        <v>10660.6</v>
      </c>
      <c r="G8" s="94">
        <f t="shared" ref="G8" si="1">SUM(G9:G13)</f>
        <v>13699.900000000001</v>
      </c>
      <c r="H8" s="94">
        <f>SUM(H9:H13)</f>
        <v>11460.5</v>
      </c>
      <c r="I8" s="162">
        <f>SUM(I9:I13)</f>
        <v>14153.2</v>
      </c>
      <c r="J8" s="122">
        <f>SUM(J9:J13)</f>
        <v>3798.7000000000007</v>
      </c>
      <c r="K8" s="3"/>
      <c r="L8" s="92" t="s">
        <v>15</v>
      </c>
      <c r="M8" s="120">
        <f>M5+M6+M7</f>
        <v>641.20000000000005</v>
      </c>
      <c r="N8" s="120">
        <f>N5+N6+N7</f>
        <v>942.90000000000009</v>
      </c>
      <c r="O8" s="120">
        <f>O5+O6+O7</f>
        <v>850.3</v>
      </c>
      <c r="P8" s="120">
        <f t="shared" ref="P8" si="2">P5+P6+P7</f>
        <v>1397.2</v>
      </c>
      <c r="Q8" s="120">
        <f t="shared" ref="Q8:R8" si="3">Q5+Q6+Q7</f>
        <v>2033.6000000000001</v>
      </c>
      <c r="R8" s="120">
        <f t="shared" si="3"/>
        <v>2352.6999999999998</v>
      </c>
      <c r="S8" s="121">
        <f t="shared" ref="S8" si="4">S5+S6+S7</f>
        <v>3255.1</v>
      </c>
    </row>
    <row r="9" spans="2:19" ht="15.75">
      <c r="B9" s="41" t="s">
        <v>16</v>
      </c>
      <c r="C9" s="67">
        <v>3089.5</v>
      </c>
      <c r="D9" s="84">
        <v>2942.41</v>
      </c>
      <c r="E9" s="84">
        <v>3331.39</v>
      </c>
      <c r="F9" s="84">
        <v>7227.6</v>
      </c>
      <c r="G9" s="84">
        <v>9484.6</v>
      </c>
      <c r="H9" s="84">
        <v>6862.2</v>
      </c>
      <c r="I9" s="163">
        <v>7856.4</v>
      </c>
      <c r="J9" s="131">
        <v>2278.3000000000002</v>
      </c>
      <c r="K9" s="3"/>
      <c r="L9" s="15" t="s">
        <v>17</v>
      </c>
      <c r="M9" s="14">
        <v>1340.3</v>
      </c>
      <c r="N9" s="14">
        <v>1044.2</v>
      </c>
      <c r="O9" s="14">
        <v>681.9</v>
      </c>
      <c r="P9" s="14">
        <v>550.29999999999995</v>
      </c>
      <c r="Q9" s="28">
        <v>236.2</v>
      </c>
      <c r="R9" s="14">
        <v>119.7</v>
      </c>
      <c r="S9" s="34">
        <v>28.3</v>
      </c>
    </row>
    <row r="10" spans="2:19" ht="15.75">
      <c r="B10" s="41" t="s">
        <v>18</v>
      </c>
      <c r="C10" s="67">
        <v>53.3</v>
      </c>
      <c r="D10" s="84">
        <v>60.52</v>
      </c>
      <c r="E10" s="84">
        <v>91.24</v>
      </c>
      <c r="F10" s="84">
        <v>249.4</v>
      </c>
      <c r="G10" s="84">
        <v>280.60000000000002</v>
      </c>
      <c r="H10" s="84">
        <v>325.10000000000002</v>
      </c>
      <c r="I10" s="163">
        <v>721.6</v>
      </c>
      <c r="J10" s="131">
        <v>230.4</v>
      </c>
      <c r="K10" s="3"/>
      <c r="L10" s="15" t="s">
        <v>19</v>
      </c>
      <c r="M10" s="14">
        <v>387.5</v>
      </c>
      <c r="N10" s="14">
        <v>455.3</v>
      </c>
      <c r="O10" s="14">
        <v>699.8</v>
      </c>
      <c r="P10" s="14">
        <v>908.7</v>
      </c>
      <c r="Q10" s="28">
        <v>1461.1</v>
      </c>
      <c r="R10" s="14">
        <v>1314.9</v>
      </c>
      <c r="S10" s="34">
        <v>527.9</v>
      </c>
    </row>
    <row r="11" spans="2:19" ht="15.75">
      <c r="B11" s="41" t="s">
        <v>20</v>
      </c>
      <c r="C11" s="67">
        <v>86.5</v>
      </c>
      <c r="D11" s="84">
        <v>-49.16</v>
      </c>
      <c r="E11" s="84">
        <v>-139.84</v>
      </c>
      <c r="F11" s="84">
        <v>-381</v>
      </c>
      <c r="G11" s="84">
        <v>-226.6</v>
      </c>
      <c r="H11" s="84">
        <v>-90.7</v>
      </c>
      <c r="I11" s="163">
        <v>127.2</v>
      </c>
      <c r="J11" s="131">
        <v>-269.7</v>
      </c>
      <c r="K11" s="3"/>
      <c r="L11" s="92" t="s">
        <v>21</v>
      </c>
      <c r="M11" s="120">
        <f t="shared" ref="M11:O11" si="5">(M9+M10)</f>
        <v>1727.8</v>
      </c>
      <c r="N11" s="120">
        <f t="shared" si="5"/>
        <v>1499.5</v>
      </c>
      <c r="O11" s="120">
        <f t="shared" si="5"/>
        <v>1381.6999999999998</v>
      </c>
      <c r="P11" s="120">
        <f t="shared" ref="P11" si="6">(P9+P10)</f>
        <v>1459</v>
      </c>
      <c r="Q11" s="120">
        <f t="shared" ref="Q11" si="7">(Q9+Q10)</f>
        <v>1697.3</v>
      </c>
      <c r="R11" s="120">
        <f>(R9+R10)</f>
        <v>1434.6000000000001</v>
      </c>
      <c r="S11" s="121">
        <f>(S9+S10)</f>
        <v>556.19999999999993</v>
      </c>
    </row>
    <row r="12" spans="2:19" ht="15.75">
      <c r="B12" s="41" t="s">
        <v>22</v>
      </c>
      <c r="C12" s="67">
        <v>701.4</v>
      </c>
      <c r="D12" s="84">
        <v>719.83</v>
      </c>
      <c r="E12" s="84">
        <v>803.11</v>
      </c>
      <c r="F12" s="84">
        <v>962.6</v>
      </c>
      <c r="G12" s="84">
        <v>1064.0999999999999</v>
      </c>
      <c r="H12" s="84">
        <v>1298.0999999999999</v>
      </c>
      <c r="I12" s="163">
        <v>1661.2</v>
      </c>
      <c r="J12" s="131">
        <v>470.3</v>
      </c>
      <c r="K12" s="3"/>
      <c r="L12" s="92" t="s">
        <v>23</v>
      </c>
      <c r="M12" s="120">
        <f t="shared" ref="M12:Q12" si="8">M8+M47</f>
        <v>2116.8000000000002</v>
      </c>
      <c r="N12" s="120">
        <f t="shared" si="8"/>
        <v>2205.6000000000004</v>
      </c>
      <c r="O12" s="120">
        <f t="shared" si="8"/>
        <v>1693.1999999999998</v>
      </c>
      <c r="P12" s="120">
        <f t="shared" si="8"/>
        <v>2130.8000000000002</v>
      </c>
      <c r="Q12" s="120">
        <f t="shared" si="8"/>
        <v>2658.7</v>
      </c>
      <c r="R12" s="120">
        <f>R8+R47</f>
        <v>2842.6</v>
      </c>
      <c r="S12" s="121">
        <f>S8+S47</f>
        <v>3717.2999999999997</v>
      </c>
    </row>
    <row r="13" spans="2:19" ht="15.75">
      <c r="B13" s="41" t="s">
        <v>24</v>
      </c>
      <c r="C13" s="67">
        <f>286.4+1013.9</f>
        <v>1300.3</v>
      </c>
      <c r="D13" s="84">
        <v>1246.45</v>
      </c>
      <c r="E13" s="84">
        <v>1610.08</v>
      </c>
      <c r="F13" s="84">
        <v>2602</v>
      </c>
      <c r="G13" s="84">
        <f>744.7+2352.5</f>
        <v>3097.2</v>
      </c>
      <c r="H13" s="84">
        <f>715.8+2350</f>
        <v>3065.8</v>
      </c>
      <c r="I13" s="163">
        <f>834.3+2952.5</f>
        <v>3786.8</v>
      </c>
      <c r="J13" s="131">
        <f>184.1+905.3</f>
        <v>1089.3999999999999</v>
      </c>
      <c r="K13" s="3"/>
      <c r="L13" s="92" t="s">
        <v>23</v>
      </c>
      <c r="M13" s="120">
        <f t="shared" ref="M13:Q13" si="9">M52-M38</f>
        <v>2116.8000000000002</v>
      </c>
      <c r="N13" s="120">
        <f t="shared" si="9"/>
        <v>2205.6</v>
      </c>
      <c r="O13" s="120">
        <f t="shared" si="9"/>
        <v>1739.4000000000005</v>
      </c>
      <c r="P13" s="120">
        <f t="shared" si="9"/>
        <v>2164.3999999999996</v>
      </c>
      <c r="Q13" s="120">
        <f t="shared" si="9"/>
        <v>2658.6999999999989</v>
      </c>
      <c r="R13" s="120">
        <f>R52-R38</f>
        <v>2842.5999999999985</v>
      </c>
      <c r="S13" s="121">
        <f>S52-S38</f>
        <v>3717.2999999999993</v>
      </c>
    </row>
    <row r="14" spans="2:19" ht="15.75">
      <c r="B14" s="92" t="s">
        <v>25</v>
      </c>
      <c r="C14" s="93">
        <f t="shared" ref="C14:I14" si="10">(C5-C8)</f>
        <v>357.89999999999964</v>
      </c>
      <c r="D14" s="94">
        <f t="shared" si="10"/>
        <v>514.17000000000007</v>
      </c>
      <c r="E14" s="94">
        <f t="shared" si="10"/>
        <v>515.89000000000033</v>
      </c>
      <c r="F14" s="94">
        <f t="shared" si="10"/>
        <v>997.39999999999964</v>
      </c>
      <c r="G14" s="94">
        <f t="shared" si="10"/>
        <v>1029.2999999999993</v>
      </c>
      <c r="H14" s="94">
        <f t="shared" si="10"/>
        <v>1072.1000000000004</v>
      </c>
      <c r="I14" s="162">
        <f t="shared" si="10"/>
        <v>1457.0999999999985</v>
      </c>
      <c r="J14" s="122">
        <f>(J5-J8)</f>
        <v>620.79999999999927</v>
      </c>
      <c r="K14" s="3"/>
      <c r="L14" s="15"/>
      <c r="M14" s="24"/>
      <c r="N14" s="24"/>
      <c r="O14" s="24"/>
      <c r="P14" s="24"/>
      <c r="Q14" s="25"/>
      <c r="R14" s="24"/>
      <c r="S14" s="30"/>
    </row>
    <row r="15" spans="2:19" ht="15.75">
      <c r="B15" s="88" t="s">
        <v>10</v>
      </c>
      <c r="C15" s="89"/>
      <c r="D15" s="90">
        <f>D14/C14-1</f>
        <v>0.43663034367141829</v>
      </c>
      <c r="E15" s="90">
        <f t="shared" ref="E15:G15" si="11">E14/D14-1</f>
        <v>3.3451971137954395E-3</v>
      </c>
      <c r="F15" s="90">
        <f t="shared" si="11"/>
        <v>0.9333578863711236</v>
      </c>
      <c r="G15" s="90">
        <f t="shared" si="11"/>
        <v>3.1983156206135677E-2</v>
      </c>
      <c r="H15" s="90">
        <f>H14/G14-1</f>
        <v>4.1581657437094188E-2</v>
      </c>
      <c r="I15" s="161">
        <f>I14/H14-1</f>
        <v>0.35910829213692574</v>
      </c>
      <c r="J15" s="192">
        <v>0</v>
      </c>
      <c r="K15" s="3"/>
      <c r="L15" s="92" t="s">
        <v>26</v>
      </c>
      <c r="M15" s="120">
        <f t="shared" ref="M15:Q15" si="12">SUM(M16:M24)</f>
        <v>2185.7999999999997</v>
      </c>
      <c r="N15" s="120">
        <f t="shared" si="12"/>
        <v>2395.4000000000005</v>
      </c>
      <c r="O15" s="120">
        <f t="shared" si="12"/>
        <v>1949.4</v>
      </c>
      <c r="P15" s="120">
        <f t="shared" si="12"/>
        <v>1910.3000000000002</v>
      </c>
      <c r="Q15" s="120">
        <f t="shared" si="12"/>
        <v>1945.2</v>
      </c>
      <c r="R15" s="120">
        <f>SUM(R16:R24)</f>
        <v>1826.8999999999999</v>
      </c>
      <c r="S15" s="121">
        <f>SUM(S16:S24)</f>
        <v>2055.3000000000002</v>
      </c>
    </row>
    <row r="16" spans="2:19" ht="15.75">
      <c r="B16" s="88" t="s">
        <v>12</v>
      </c>
      <c r="C16" s="89"/>
      <c r="D16" s="91"/>
      <c r="E16" s="91"/>
      <c r="F16" s="91">
        <f>(F14/C14)^(1/3)-1</f>
        <v>0.40724340435387552</v>
      </c>
      <c r="G16" s="91">
        <f>(G14/D14)^(1/3)-1</f>
        <v>0.2603129916073661</v>
      </c>
      <c r="H16" s="91">
        <f>(H14/E14)^(1/3)-1</f>
        <v>0.27612356601055055</v>
      </c>
      <c r="I16" s="164">
        <f>(I14/F14)^(1/3)-1</f>
        <v>0.1346798208498925</v>
      </c>
      <c r="J16" s="192">
        <v>0</v>
      </c>
      <c r="K16" s="3"/>
      <c r="L16" s="15" t="s">
        <v>27</v>
      </c>
      <c r="M16" s="14">
        <v>1223</v>
      </c>
      <c r="N16" s="14">
        <v>1386.9</v>
      </c>
      <c r="O16" s="14">
        <v>1385.2</v>
      </c>
      <c r="P16" s="14">
        <v>1516.2</v>
      </c>
      <c r="Q16" s="14">
        <v>1684.9</v>
      </c>
      <c r="R16" s="14">
        <v>1707.1</v>
      </c>
      <c r="S16" s="16">
        <v>1799.5</v>
      </c>
    </row>
    <row r="17" spans="2:24" ht="15.75">
      <c r="B17" s="92" t="s">
        <v>28</v>
      </c>
      <c r="C17" s="95">
        <f t="shared" ref="C17:I17" si="13">(C14/C5)</f>
        <v>6.4037646048417343E-2</v>
      </c>
      <c r="D17" s="95">
        <f t="shared" si="13"/>
        <v>9.4617074759579117E-2</v>
      </c>
      <c r="E17" s="95">
        <f t="shared" si="13"/>
        <v>8.3049065740268282E-2</v>
      </c>
      <c r="F17" s="95">
        <f t="shared" si="13"/>
        <v>8.5554983702178733E-2</v>
      </c>
      <c r="G17" s="95">
        <f t="shared" si="13"/>
        <v>6.9881595741791758E-2</v>
      </c>
      <c r="H17" s="95">
        <f t="shared" si="13"/>
        <v>8.5544898903659281E-2</v>
      </c>
      <c r="I17" s="165">
        <f t="shared" si="13"/>
        <v>9.3342216357148719E-2</v>
      </c>
      <c r="J17" s="138">
        <f>(J14/J5)</f>
        <v>0.14046837877587945</v>
      </c>
      <c r="K17" s="3"/>
      <c r="L17" s="15" t="s">
        <v>29</v>
      </c>
      <c r="M17" s="14">
        <v>50.1</v>
      </c>
      <c r="N17" s="14">
        <v>91.6</v>
      </c>
      <c r="O17" s="14">
        <v>0.6</v>
      </c>
      <c r="P17" s="14">
        <v>4.2</v>
      </c>
      <c r="Q17" s="14">
        <v>48.2</v>
      </c>
      <c r="R17" s="14">
        <v>46.1</v>
      </c>
      <c r="S17" s="16">
        <v>194.7</v>
      </c>
      <c r="T17" s="6"/>
    </row>
    <row r="18" spans="2:24" ht="15.75">
      <c r="B18" s="41" t="s">
        <v>30</v>
      </c>
      <c r="C18" s="67">
        <v>6.8</v>
      </c>
      <c r="D18" s="46">
        <v>16.86</v>
      </c>
      <c r="E18" s="46">
        <v>31.54</v>
      </c>
      <c r="F18" s="46">
        <v>9.6999999999999993</v>
      </c>
      <c r="G18" s="46">
        <v>28.7</v>
      </c>
      <c r="H18" s="46">
        <v>14.2</v>
      </c>
      <c r="I18" s="166">
        <v>17.5</v>
      </c>
      <c r="J18" s="139">
        <v>19</v>
      </c>
      <c r="K18" s="3"/>
      <c r="L18" s="37" t="s">
        <v>113</v>
      </c>
      <c r="M18" s="14">
        <v>863.1</v>
      </c>
      <c r="N18" s="14">
        <v>865.5</v>
      </c>
      <c r="O18" s="14">
        <v>521.5</v>
      </c>
      <c r="P18" s="14">
        <v>338.5</v>
      </c>
      <c r="Q18" s="14">
        <v>152.6</v>
      </c>
      <c r="R18" s="14">
        <v>25.1</v>
      </c>
      <c r="S18" s="16">
        <v>0.1</v>
      </c>
    </row>
    <row r="19" spans="2:24" ht="15.75">
      <c r="B19" s="41" t="s">
        <v>31</v>
      </c>
      <c r="C19" s="67">
        <v>90.7</v>
      </c>
      <c r="D19" s="46">
        <v>114.14</v>
      </c>
      <c r="E19" s="46">
        <v>126.14</v>
      </c>
      <c r="F19" s="46">
        <v>126.8</v>
      </c>
      <c r="G19" s="46">
        <v>142.1</v>
      </c>
      <c r="H19" s="46">
        <v>150.5</v>
      </c>
      <c r="I19" s="166">
        <v>161</v>
      </c>
      <c r="J19" s="139">
        <v>40.1</v>
      </c>
      <c r="K19" s="3"/>
      <c r="L19" s="15" t="s">
        <v>32</v>
      </c>
      <c r="M19" s="14">
        <v>22.2</v>
      </c>
      <c r="N19" s="14">
        <v>22.5</v>
      </c>
      <c r="O19" s="14">
        <v>19.2</v>
      </c>
      <c r="P19" s="14">
        <v>14.1</v>
      </c>
      <c r="Q19" s="14">
        <v>13.2</v>
      </c>
      <c r="R19" s="14">
        <v>7.6</v>
      </c>
      <c r="S19" s="16">
        <v>4.5</v>
      </c>
      <c r="T19" s="7"/>
      <c r="U19" s="7"/>
      <c r="V19" s="7"/>
      <c r="W19" s="7"/>
      <c r="X19" s="7"/>
    </row>
    <row r="20" spans="2:24" ht="15.75">
      <c r="B20" s="41" t="s">
        <v>33</v>
      </c>
      <c r="C20" s="67">
        <v>253.3</v>
      </c>
      <c r="D20" s="46">
        <v>216.94</v>
      </c>
      <c r="E20" s="46">
        <v>162.19</v>
      </c>
      <c r="F20" s="46">
        <v>146.1</v>
      </c>
      <c r="G20" s="46">
        <v>193.9</v>
      </c>
      <c r="H20" s="46">
        <v>196.3</v>
      </c>
      <c r="I20" s="166">
        <v>134.6</v>
      </c>
      <c r="J20" s="139">
        <v>17.600000000000001</v>
      </c>
      <c r="K20" s="3"/>
      <c r="L20" s="15" t="s">
        <v>120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6">
        <v>15.4</v>
      </c>
      <c r="T20" s="7"/>
      <c r="U20" s="7"/>
      <c r="V20" s="7"/>
      <c r="W20" s="7"/>
      <c r="X20" s="7"/>
    </row>
    <row r="21" spans="2:24" ht="15.75">
      <c r="B21" s="41" t="s">
        <v>35</v>
      </c>
      <c r="C21" s="6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334.8</v>
      </c>
      <c r="I21" s="167">
        <v>0</v>
      </c>
      <c r="J21" s="140">
        <v>0</v>
      </c>
      <c r="K21" s="3"/>
      <c r="L21" s="15" t="s">
        <v>34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6">
        <v>0</v>
      </c>
    </row>
    <row r="22" spans="2:24" ht="15.75">
      <c r="B22" s="92" t="s">
        <v>37</v>
      </c>
      <c r="C22" s="93">
        <f t="shared" ref="C22:G22" si="14">(C14-C19-C20+C18-C21)</f>
        <v>20.699999999999637</v>
      </c>
      <c r="D22" s="94">
        <f t="shared" si="14"/>
        <v>199.9500000000001</v>
      </c>
      <c r="E22" s="94">
        <f t="shared" si="14"/>
        <v>259.10000000000036</v>
      </c>
      <c r="F22" s="94">
        <f t="shared" si="14"/>
        <v>734.1999999999997</v>
      </c>
      <c r="G22" s="94">
        <f t="shared" si="14"/>
        <v>721.99999999999932</v>
      </c>
      <c r="H22" s="94">
        <f>(H14-H19-H20+H18-H21)</f>
        <v>404.70000000000044</v>
      </c>
      <c r="I22" s="162">
        <f>(I14-I19-I20+I18-I21)</f>
        <v>1178.9999999999986</v>
      </c>
      <c r="J22" s="122">
        <f>(J14-J19-J20+J18-J21)</f>
        <v>582.09999999999923</v>
      </c>
      <c r="K22" s="3"/>
      <c r="L22" s="15" t="s">
        <v>36</v>
      </c>
      <c r="M22" s="20">
        <v>4.5</v>
      </c>
      <c r="N22" s="20">
        <v>3.3</v>
      </c>
      <c r="O22" s="20">
        <v>3.1</v>
      </c>
      <c r="P22" s="20">
        <v>10.4</v>
      </c>
      <c r="Q22" s="20">
        <v>13.8</v>
      </c>
      <c r="R22" s="20">
        <v>13.9</v>
      </c>
      <c r="S22" s="22">
        <v>15.4</v>
      </c>
    </row>
    <row r="23" spans="2:24" ht="15.75">
      <c r="B23" s="41" t="s">
        <v>39</v>
      </c>
      <c r="C23" s="67">
        <f>1.1+49.8</f>
        <v>50.9</v>
      </c>
      <c r="D23" s="29">
        <v>1.19</v>
      </c>
      <c r="E23" s="29">
        <v>344.76</v>
      </c>
      <c r="F23" s="29">
        <v>188.1</v>
      </c>
      <c r="G23" s="29">
        <f>185.9+8.2</f>
        <v>194.1</v>
      </c>
      <c r="H23" s="29">
        <f>3.3+94.6</f>
        <v>97.899999999999991</v>
      </c>
      <c r="I23" s="168">
        <f>250.3+45.7</f>
        <v>296</v>
      </c>
      <c r="J23" s="38">
        <f>143.7-2.9</f>
        <v>140.79999999999998</v>
      </c>
      <c r="K23" s="3"/>
      <c r="L23" s="15" t="s">
        <v>38</v>
      </c>
      <c r="M23" s="14">
        <v>0.8</v>
      </c>
      <c r="N23" s="14">
        <v>0.8</v>
      </c>
      <c r="O23" s="14">
        <v>0.4</v>
      </c>
      <c r="P23" s="14">
        <v>1.2</v>
      </c>
      <c r="Q23" s="14">
        <v>1</v>
      </c>
      <c r="R23" s="14">
        <v>0.9</v>
      </c>
      <c r="S23" s="16">
        <v>0.7</v>
      </c>
      <c r="W23" t="s">
        <v>41</v>
      </c>
    </row>
    <row r="24" spans="2:24" ht="15.75">
      <c r="B24" s="88" t="s">
        <v>42</v>
      </c>
      <c r="C24" s="96">
        <f t="shared" ref="C24:G24" si="15">(C23/C22)</f>
        <v>2.4589371980676757</v>
      </c>
      <c r="D24" s="96">
        <f t="shared" si="15"/>
        <v>5.9514878719679884E-3</v>
      </c>
      <c r="E24" s="96">
        <f t="shared" si="15"/>
        <v>1.330605943651098</v>
      </c>
      <c r="F24" s="96">
        <f t="shared" si="15"/>
        <v>0.2561972214655408</v>
      </c>
      <c r="G24" s="96">
        <f t="shared" si="15"/>
        <v>0.26883656509695314</v>
      </c>
      <c r="H24" s="96">
        <f>(H23/H22)</f>
        <v>0.24190758586607336</v>
      </c>
      <c r="I24" s="169">
        <f>(I23/I22)</f>
        <v>0.25106022052586968</v>
      </c>
      <c r="J24" s="141">
        <f>(J23/J22)</f>
        <v>0.24188283800034388</v>
      </c>
      <c r="K24" s="3"/>
      <c r="L24" s="15" t="s">
        <v>40</v>
      </c>
      <c r="M24" s="14">
        <v>22.1</v>
      </c>
      <c r="N24" s="14">
        <v>24.8</v>
      </c>
      <c r="O24" s="14">
        <v>19.399999999999999</v>
      </c>
      <c r="P24" s="14">
        <v>25.7</v>
      </c>
      <c r="Q24" s="14">
        <v>31.5</v>
      </c>
      <c r="R24" s="14">
        <v>26.2</v>
      </c>
      <c r="S24" s="16">
        <v>25</v>
      </c>
    </row>
    <row r="25" spans="2:24" ht="15.75">
      <c r="B25" s="43" t="s">
        <v>112</v>
      </c>
      <c r="C25" s="76"/>
      <c r="D25" s="48">
        <v>-27.07</v>
      </c>
      <c r="E25" s="48">
        <v>-7.3</v>
      </c>
      <c r="F25" s="48">
        <v>-10.3</v>
      </c>
      <c r="G25" s="48">
        <v>93.5</v>
      </c>
      <c r="H25" s="48">
        <v>-9.6</v>
      </c>
      <c r="I25" s="170">
        <v>-5.5</v>
      </c>
      <c r="J25" s="142">
        <v>0</v>
      </c>
      <c r="K25" s="3"/>
      <c r="L25" s="92" t="s">
        <v>43</v>
      </c>
      <c r="M25" s="120">
        <f t="shared" ref="M25:P25" si="16">M27+M29+M33+M34+M35+M36+M30+M31+M32</f>
        <v>1865.4</v>
      </c>
      <c r="N25" s="120">
        <f t="shared" si="16"/>
        <v>1916.8999999999999</v>
      </c>
      <c r="O25" s="120">
        <f t="shared" si="16"/>
        <v>2339.6999999999998</v>
      </c>
      <c r="P25" s="120">
        <f t="shared" si="16"/>
        <v>4912.7</v>
      </c>
      <c r="Q25" s="120">
        <f>Q27+Q29+Q33+Q34+Q35+Q36+Q30+Q31+Q32</f>
        <v>4866.5999999999995</v>
      </c>
      <c r="R25" s="120">
        <f>R27+R29+R33+R34+R35+R36+R30+R31+R32</f>
        <v>5622</v>
      </c>
      <c r="S25" s="121">
        <f>S27+S29+S33+S34+S35+S36+S30+S31+S32</f>
        <v>5294.3</v>
      </c>
    </row>
    <row r="26" spans="2:24" ht="15.75">
      <c r="B26" s="92" t="s">
        <v>44</v>
      </c>
      <c r="C26" s="93">
        <f>(C22-C23+C25)</f>
        <v>-30.200000000000362</v>
      </c>
      <c r="D26" s="94">
        <f t="shared" ref="D26:G26" si="17">(D22-D23+D25)</f>
        <v>171.69000000000011</v>
      </c>
      <c r="E26" s="94">
        <f t="shared" si="17"/>
        <v>-92.959999999999624</v>
      </c>
      <c r="F26" s="94">
        <f t="shared" si="17"/>
        <v>535.79999999999973</v>
      </c>
      <c r="G26" s="94">
        <f t="shared" si="17"/>
        <v>621.3999999999993</v>
      </c>
      <c r="H26" s="94">
        <f>(H22-H23+H25)</f>
        <v>297.20000000000044</v>
      </c>
      <c r="I26" s="162">
        <f>(I22-I23+I25)</f>
        <v>877.49999999999864</v>
      </c>
      <c r="J26" s="122">
        <f>(J22-J23+J25)</f>
        <v>441.29999999999927</v>
      </c>
      <c r="K26" s="3"/>
      <c r="L26" s="31"/>
      <c r="M26" s="26"/>
      <c r="N26" s="26"/>
      <c r="O26" s="26"/>
      <c r="P26" s="26"/>
      <c r="Q26" s="26"/>
      <c r="R26" s="26"/>
      <c r="S26" s="32"/>
    </row>
    <row r="27" spans="2:24" ht="15.75">
      <c r="B27" s="92" t="s">
        <v>46</v>
      </c>
      <c r="C27" s="97">
        <f t="shared" ref="C27:G27" si="18">C26/C5</f>
        <v>-5.4035677861476077E-3</v>
      </c>
      <c r="D27" s="97">
        <f t="shared" si="18"/>
        <v>3.1594230634755326E-2</v>
      </c>
      <c r="E27" s="97">
        <f t="shared" si="18"/>
        <v>-1.4964897848795873E-2</v>
      </c>
      <c r="F27" s="97">
        <f t="shared" si="18"/>
        <v>4.5959855892949021E-2</v>
      </c>
      <c r="G27" s="97">
        <f t="shared" si="18"/>
        <v>4.2188306221654891E-2</v>
      </c>
      <c r="H27" s="97">
        <f>H26/H5</f>
        <v>2.3714153487704101E-2</v>
      </c>
      <c r="I27" s="171">
        <f>I26/I5</f>
        <v>5.6212885082285328E-2</v>
      </c>
      <c r="J27" s="136">
        <f>J26/J5</f>
        <v>9.9852924538974833E-2</v>
      </c>
      <c r="K27" s="3"/>
      <c r="L27" s="15" t="s">
        <v>45</v>
      </c>
      <c r="M27" s="14">
        <v>663.5</v>
      </c>
      <c r="N27" s="14">
        <v>742.4</v>
      </c>
      <c r="O27" s="14">
        <v>915.07</v>
      </c>
      <c r="P27" s="14">
        <v>2327</v>
      </c>
      <c r="Q27" s="14">
        <v>1873.5</v>
      </c>
      <c r="R27" s="14">
        <v>2351.1999999999998</v>
      </c>
      <c r="S27" s="16">
        <v>1905.3</v>
      </c>
    </row>
    <row r="28" spans="2:24" ht="15.75">
      <c r="B28" s="41" t="s">
        <v>47</v>
      </c>
      <c r="C28" s="67">
        <v>0</v>
      </c>
      <c r="D28" s="49">
        <v>0</v>
      </c>
      <c r="E28" s="49">
        <v>0</v>
      </c>
      <c r="F28" s="49">
        <v>0</v>
      </c>
      <c r="G28" s="52">
        <v>0</v>
      </c>
      <c r="H28" s="49">
        <v>0</v>
      </c>
      <c r="I28" s="172">
        <v>0</v>
      </c>
      <c r="J28" s="143">
        <v>0</v>
      </c>
      <c r="K28" s="3"/>
      <c r="L28" s="15" t="s">
        <v>34</v>
      </c>
      <c r="M28" s="14">
        <v>0</v>
      </c>
      <c r="N28" s="14">
        <v>0</v>
      </c>
      <c r="O28" s="14">
        <v>0</v>
      </c>
      <c r="P28" s="14"/>
      <c r="Q28" s="14"/>
      <c r="R28" s="14"/>
      <c r="S28" s="16"/>
      <c r="U28" s="5"/>
    </row>
    <row r="29" spans="2:24" ht="15.75">
      <c r="B29" s="41" t="s">
        <v>49</v>
      </c>
      <c r="C29" s="67">
        <f>1.9-0.7+2.1</f>
        <v>3.3</v>
      </c>
      <c r="D29" s="50">
        <v>-2.84</v>
      </c>
      <c r="E29" s="50">
        <v>-2.61</v>
      </c>
      <c r="F29" s="50">
        <v>1.5</v>
      </c>
      <c r="G29" s="52">
        <f>0.4+0.2-3.1-0.1</f>
        <v>-2.6</v>
      </c>
      <c r="H29" s="50">
        <f>-4.3+1.1+0.3</f>
        <v>-2.9</v>
      </c>
      <c r="I29" s="172">
        <f>-3.3+0.8+0.5</f>
        <v>-2</v>
      </c>
      <c r="J29" s="143">
        <f>-1.1+0.3+1.1</f>
        <v>0.30000000000000004</v>
      </c>
      <c r="K29" s="3"/>
      <c r="L29" s="15" t="s">
        <v>48</v>
      </c>
      <c r="M29" s="20">
        <v>983.3</v>
      </c>
      <c r="N29" s="20">
        <v>931.6</v>
      </c>
      <c r="O29" s="20">
        <v>1054.4100000000001</v>
      </c>
      <c r="P29" s="20">
        <v>1976.4</v>
      </c>
      <c r="Q29" s="20">
        <v>2570.5</v>
      </c>
      <c r="R29" s="20">
        <v>2461.1</v>
      </c>
      <c r="S29" s="22">
        <v>2874.7</v>
      </c>
    </row>
    <row r="30" spans="2:24" ht="15.75">
      <c r="B30" s="92" t="s">
        <v>114</v>
      </c>
      <c r="C30" s="93">
        <f t="shared" ref="C30:H30" si="19">(C26-C28+C29)</f>
        <v>-26.900000000000361</v>
      </c>
      <c r="D30" s="94">
        <f t="shared" si="19"/>
        <v>168.85000000000011</v>
      </c>
      <c r="E30" s="94">
        <f t="shared" si="19"/>
        <v>-95.569999999999624</v>
      </c>
      <c r="F30" s="94">
        <f t="shared" si="19"/>
        <v>537.29999999999973</v>
      </c>
      <c r="G30" s="94">
        <f t="shared" si="19"/>
        <v>618.79999999999927</v>
      </c>
      <c r="H30" s="94">
        <f t="shared" si="19"/>
        <v>294.30000000000047</v>
      </c>
      <c r="I30" s="162">
        <f>(I26-I28+I29)</f>
        <v>875.49999999999864</v>
      </c>
      <c r="J30" s="122">
        <f>(J26-J28+J29)</f>
        <v>441.59999999999928</v>
      </c>
      <c r="K30" s="3"/>
      <c r="L30" s="15" t="s">
        <v>50</v>
      </c>
      <c r="M30" s="14">
        <v>33.9</v>
      </c>
      <c r="N30" s="14">
        <v>20.3</v>
      </c>
      <c r="O30" s="14">
        <v>64.7</v>
      </c>
      <c r="P30" s="14">
        <v>63.8</v>
      </c>
      <c r="Q30" s="14">
        <v>44.1</v>
      </c>
      <c r="R30" s="14">
        <v>152.1</v>
      </c>
      <c r="S30" s="16">
        <v>58.9</v>
      </c>
    </row>
    <row r="31" spans="2:24" ht="15.75">
      <c r="B31" s="88" t="s">
        <v>10</v>
      </c>
      <c r="C31" s="89"/>
      <c r="D31" s="90">
        <f>D30/C30-1</f>
        <v>-7.2769516728623733</v>
      </c>
      <c r="E31" s="90">
        <f t="shared" ref="E31:G31" si="20">E30/D30-1</f>
        <v>-1.5660053301747086</v>
      </c>
      <c r="F31" s="90">
        <f t="shared" si="20"/>
        <v>-6.6220571308988365</v>
      </c>
      <c r="G31" s="90">
        <f t="shared" si="20"/>
        <v>0.15168434766424643</v>
      </c>
      <c r="H31" s="90">
        <f>H30/G30-1</f>
        <v>-0.52440206851971427</v>
      </c>
      <c r="I31" s="161">
        <f>I30/H30-1</f>
        <v>1.9748555895344793</v>
      </c>
      <c r="J31" s="192">
        <v>0</v>
      </c>
      <c r="K31" s="3"/>
      <c r="L31" s="15" t="s">
        <v>51</v>
      </c>
      <c r="M31" s="14">
        <v>1.2</v>
      </c>
      <c r="N31" s="14">
        <v>1.3</v>
      </c>
      <c r="O31" s="14">
        <v>1.77</v>
      </c>
      <c r="P31" s="14">
        <v>1.2</v>
      </c>
      <c r="Q31" s="14">
        <v>0.9</v>
      </c>
      <c r="R31" s="14">
        <v>0.6</v>
      </c>
      <c r="S31" s="16">
        <v>1.1000000000000001</v>
      </c>
      <c r="T31" s="5">
        <f>O53-O52</f>
        <v>-46.200000000000728</v>
      </c>
    </row>
    <row r="32" spans="2:24" ht="15.75">
      <c r="B32" s="88" t="s">
        <v>53</v>
      </c>
      <c r="C32" s="89"/>
      <c r="D32" s="91"/>
      <c r="E32" s="91"/>
      <c r="F32" s="91">
        <f>(F30/C30)^(1/3)-1</f>
        <v>-3.7132398489322478</v>
      </c>
      <c r="G32" s="91">
        <f>(G30/D30)^(1/3)-1</f>
        <v>0.54175871975097878</v>
      </c>
      <c r="H32" s="91">
        <f>(H30/E30)^(1/3)-1</f>
        <v>-2.4548656563966373</v>
      </c>
      <c r="I32" s="164">
        <f>(I30/F30)^(1/3)-1</f>
        <v>0.17673797763570165</v>
      </c>
      <c r="J32" s="192">
        <v>0</v>
      </c>
      <c r="K32" s="3"/>
      <c r="L32" s="15" t="s">
        <v>52</v>
      </c>
      <c r="M32" s="14">
        <v>0.4</v>
      </c>
      <c r="N32" s="14">
        <v>0.4</v>
      </c>
      <c r="O32" s="14">
        <v>0.48</v>
      </c>
      <c r="P32" s="14">
        <v>0.5</v>
      </c>
      <c r="Q32" s="14">
        <v>0.5</v>
      </c>
      <c r="R32" s="14">
        <v>0.8</v>
      </c>
      <c r="S32" s="16">
        <v>0.7</v>
      </c>
    </row>
    <row r="33" spans="2:20" ht="15.75">
      <c r="B33" s="44" t="s">
        <v>55</v>
      </c>
      <c r="C33" s="73">
        <v>-2.4300000000000002</v>
      </c>
      <c r="D33" s="51">
        <v>12.47</v>
      </c>
      <c r="E33" s="51">
        <v>-6.19</v>
      </c>
      <c r="F33" s="51">
        <v>35.25</v>
      </c>
      <c r="G33" s="51">
        <v>40.86</v>
      </c>
      <c r="H33" s="51">
        <v>19.48</v>
      </c>
      <c r="I33" s="173">
        <v>57.17</v>
      </c>
      <c r="J33" s="144">
        <v>28.74</v>
      </c>
      <c r="K33" s="3"/>
      <c r="L33" s="15" t="s">
        <v>54</v>
      </c>
      <c r="M33" s="14">
        <v>2.1</v>
      </c>
      <c r="N33" s="14">
        <v>2.1</v>
      </c>
      <c r="O33" s="14">
        <v>15.68</v>
      </c>
      <c r="P33" s="14">
        <v>1.1000000000000001</v>
      </c>
      <c r="Q33" s="14">
        <v>1.5</v>
      </c>
      <c r="R33" s="14">
        <v>1.7</v>
      </c>
      <c r="S33" s="16">
        <v>0.6</v>
      </c>
    </row>
    <row r="34" spans="2:20" ht="15.75">
      <c r="B34" s="88" t="s">
        <v>10</v>
      </c>
      <c r="C34" s="89"/>
      <c r="D34" s="90">
        <f>D33/C33-1</f>
        <v>-6.1316872427983542</v>
      </c>
      <c r="E34" s="90">
        <f t="shared" ref="E34:G34" si="21">E33/D33-1</f>
        <v>-1.4963913392141139</v>
      </c>
      <c r="F34" s="90">
        <f t="shared" si="21"/>
        <v>-6.6946688206785137</v>
      </c>
      <c r="G34" s="90">
        <f t="shared" si="21"/>
        <v>0.15914893617021275</v>
      </c>
      <c r="H34" s="90">
        <f>H33/G33-1</f>
        <v>-0.5232501223690651</v>
      </c>
      <c r="I34" s="161">
        <f>I33/H33-1</f>
        <v>1.9348049281314168</v>
      </c>
      <c r="J34" s="192">
        <v>0</v>
      </c>
      <c r="K34" s="3"/>
      <c r="L34" s="15" t="s">
        <v>56</v>
      </c>
      <c r="M34" s="14">
        <v>7.8</v>
      </c>
      <c r="N34" s="14">
        <v>7.8</v>
      </c>
      <c r="O34" s="14">
        <v>8.0399999999999991</v>
      </c>
      <c r="P34" s="14">
        <v>6.8</v>
      </c>
      <c r="Q34" s="14">
        <v>16.399999999999999</v>
      </c>
      <c r="R34" s="14">
        <v>6.5</v>
      </c>
      <c r="S34" s="16">
        <v>4.5</v>
      </c>
      <c r="T34" s="5"/>
    </row>
    <row r="35" spans="2:20" ht="16.5" thickBot="1">
      <c r="B35" s="99" t="s">
        <v>12</v>
      </c>
      <c r="C35" s="100"/>
      <c r="D35" s="101"/>
      <c r="E35" s="101"/>
      <c r="F35" s="101">
        <f>(F33/C33)^(1/3)-1</f>
        <v>-3.4388454651441003</v>
      </c>
      <c r="G35" s="101">
        <f>(G33/D33)^(1/3)-1</f>
        <v>0.48528787680188246</v>
      </c>
      <c r="H35" s="101">
        <f>(H33/E33)^(1/3)-1</f>
        <v>-2.4654334521845969</v>
      </c>
      <c r="I35" s="174">
        <f>(I33/F33)^(1/3)-1</f>
        <v>0.17490573479623239</v>
      </c>
      <c r="J35" s="193">
        <v>0</v>
      </c>
      <c r="K35" s="3"/>
      <c r="L35" s="15" t="s">
        <v>57</v>
      </c>
      <c r="M35" s="14">
        <v>6.2</v>
      </c>
      <c r="N35" s="14">
        <v>4.7</v>
      </c>
      <c r="O35" s="14">
        <v>4.82</v>
      </c>
      <c r="P35" s="14">
        <v>4.9000000000000004</v>
      </c>
      <c r="Q35" s="14">
        <v>2.9</v>
      </c>
      <c r="R35" s="14">
        <v>52.3</v>
      </c>
      <c r="S35" s="16">
        <v>23.7</v>
      </c>
    </row>
    <row r="36" spans="2:20" ht="16.5" thickBot="1">
      <c r="B36" s="1"/>
      <c r="C36" s="77"/>
      <c r="D36" s="2"/>
      <c r="E36" s="2"/>
      <c r="F36" s="2"/>
      <c r="G36" s="1"/>
      <c r="H36" s="1"/>
      <c r="I36" s="1"/>
      <c r="J36" s="1"/>
      <c r="K36" s="3"/>
      <c r="L36" s="15" t="s">
        <v>58</v>
      </c>
      <c r="M36" s="14">
        <v>167</v>
      </c>
      <c r="N36" s="14">
        <v>206.3</v>
      </c>
      <c r="O36" s="14">
        <v>274.73</v>
      </c>
      <c r="P36" s="14">
        <v>531</v>
      </c>
      <c r="Q36" s="14">
        <v>356.3</v>
      </c>
      <c r="R36" s="14">
        <v>595.70000000000005</v>
      </c>
      <c r="S36" s="16">
        <v>424.8</v>
      </c>
    </row>
    <row r="37" spans="2:20" ht="16.5" thickBot="1">
      <c r="B37" s="102" t="s">
        <v>64</v>
      </c>
      <c r="C37" s="103" t="s">
        <v>3</v>
      </c>
      <c r="D37" s="104" t="s">
        <v>4</v>
      </c>
      <c r="E37" s="104" t="s">
        <v>5</v>
      </c>
      <c r="F37" s="104" t="s">
        <v>6</v>
      </c>
      <c r="G37" s="87" t="s">
        <v>7</v>
      </c>
      <c r="H37" s="132" t="s">
        <v>115</v>
      </c>
      <c r="I37" s="114" t="s">
        <v>119</v>
      </c>
      <c r="J37" s="194"/>
      <c r="K37" s="3"/>
      <c r="L37" s="92" t="s">
        <v>59</v>
      </c>
      <c r="M37" s="94">
        <v>0</v>
      </c>
      <c r="N37" s="94">
        <v>0</v>
      </c>
      <c r="O37" s="94">
        <v>13.7</v>
      </c>
      <c r="P37" s="94">
        <v>13.7</v>
      </c>
      <c r="Q37" s="94">
        <v>0.5</v>
      </c>
      <c r="R37" s="94">
        <v>0.4</v>
      </c>
      <c r="S37" s="122">
        <v>0.4</v>
      </c>
    </row>
    <row r="38" spans="2:20" ht="15.75">
      <c r="B38" s="13" t="s">
        <v>66</v>
      </c>
      <c r="C38" s="78">
        <v>68.680000000000007</v>
      </c>
      <c r="D38" s="11">
        <f>C44</f>
        <v>33.850000000000009</v>
      </c>
      <c r="E38" s="17">
        <f>D44</f>
        <v>20.280000000000008</v>
      </c>
      <c r="F38" s="71">
        <f>E44</f>
        <v>64.699999999999932</v>
      </c>
      <c r="G38" s="72">
        <f>F44</f>
        <v>63.799999999999926</v>
      </c>
      <c r="H38" s="145">
        <v>52.9</v>
      </c>
      <c r="I38" s="146">
        <f>H44</f>
        <v>152.09999999999994</v>
      </c>
      <c r="J38" s="195"/>
      <c r="K38" s="3"/>
      <c r="L38" s="92" t="s">
        <v>60</v>
      </c>
      <c r="M38" s="120">
        <f t="shared" ref="M38:S38" si="22">SUM(M40:M45)+M10</f>
        <v>1934.3999999999999</v>
      </c>
      <c r="N38" s="120">
        <f t="shared" si="22"/>
        <v>2106.7000000000003</v>
      </c>
      <c r="O38" s="120">
        <f t="shared" si="22"/>
        <v>2563.3999999999996</v>
      </c>
      <c r="P38" s="120">
        <f t="shared" si="22"/>
        <v>4672.3</v>
      </c>
      <c r="Q38" s="120">
        <f t="shared" si="22"/>
        <v>4153.6000000000004</v>
      </c>
      <c r="R38" s="120">
        <f t="shared" si="22"/>
        <v>4606.7000000000007</v>
      </c>
      <c r="S38" s="121">
        <f t="shared" si="22"/>
        <v>3632.7000000000007</v>
      </c>
    </row>
    <row r="39" spans="2:20" ht="15.75">
      <c r="B39" s="8" t="s">
        <v>68</v>
      </c>
      <c r="C39" s="79">
        <v>641.49</v>
      </c>
      <c r="D39" s="12">
        <v>472.71</v>
      </c>
      <c r="E39" s="10">
        <v>618.55999999999995</v>
      </c>
      <c r="F39" s="55">
        <v>300</v>
      </c>
      <c r="G39" s="53">
        <v>144.5</v>
      </c>
      <c r="H39" s="147">
        <v>756.1</v>
      </c>
      <c r="I39" s="148">
        <v>1293.4000000000001</v>
      </c>
      <c r="J39" s="196"/>
      <c r="K39" s="3"/>
      <c r="L39" s="15" t="s">
        <v>61</v>
      </c>
      <c r="M39" s="27"/>
      <c r="N39" s="27"/>
      <c r="O39" s="27"/>
      <c r="P39" s="27"/>
      <c r="Q39" s="27"/>
      <c r="R39" s="27"/>
      <c r="S39" s="33"/>
    </row>
    <row r="40" spans="2:20" ht="15.75">
      <c r="B40" s="8" t="s">
        <v>70</v>
      </c>
      <c r="C40" s="79">
        <v>-65.05</v>
      </c>
      <c r="D40" s="12">
        <v>-191.32</v>
      </c>
      <c r="E40" s="10">
        <v>37.29</v>
      </c>
      <c r="F40" s="55">
        <v>-217</v>
      </c>
      <c r="G40" s="53">
        <v>-182.3</v>
      </c>
      <c r="H40" s="147">
        <v>-186.8</v>
      </c>
      <c r="I40" s="148">
        <v>-349.5</v>
      </c>
      <c r="J40" s="196"/>
      <c r="K40" s="3"/>
      <c r="L40" s="15" t="s">
        <v>62</v>
      </c>
      <c r="M40" s="14">
        <v>863.8</v>
      </c>
      <c r="N40" s="14">
        <v>840.6</v>
      </c>
      <c r="O40" s="14">
        <v>1133.8</v>
      </c>
      <c r="P40" s="14">
        <f>165.7+2578</f>
        <v>2743.7</v>
      </c>
      <c r="Q40" s="14">
        <f>181.3+1564.4</f>
        <v>1745.7</v>
      </c>
      <c r="R40" s="14">
        <f>177.4+1715</f>
        <v>1892.4</v>
      </c>
      <c r="S40" s="16">
        <f>218.4+1416.9</f>
        <v>1635.3000000000002</v>
      </c>
    </row>
    <row r="41" spans="2:20" ht="15.75">
      <c r="B41" s="8" t="s">
        <v>72</v>
      </c>
      <c r="C41" s="79">
        <v>-613.32000000000005</v>
      </c>
      <c r="D41" s="12">
        <v>-296.48</v>
      </c>
      <c r="E41" s="10">
        <v>-606.76</v>
      </c>
      <c r="F41" s="55">
        <v>-89.9</v>
      </c>
      <c r="G41" s="53">
        <v>21</v>
      </c>
      <c r="H41" s="147">
        <v>-470.3</v>
      </c>
      <c r="I41" s="148">
        <v>-1037.4000000000001</v>
      </c>
      <c r="J41" s="196"/>
      <c r="K41" s="3"/>
      <c r="L41" s="15" t="s">
        <v>63</v>
      </c>
      <c r="M41" s="28">
        <v>547.79999999999995</v>
      </c>
      <c r="N41" s="28">
        <v>680.6</v>
      </c>
      <c r="O41" s="28">
        <v>394.3</v>
      </c>
      <c r="P41" s="28">
        <v>573.5</v>
      </c>
      <c r="Q41" s="28">
        <v>628</v>
      </c>
      <c r="R41" s="28">
        <v>894.1</v>
      </c>
      <c r="S41" s="34">
        <v>1054.4000000000001</v>
      </c>
    </row>
    <row r="42" spans="2:20" ht="15.75">
      <c r="B42" s="9" t="s">
        <v>111</v>
      </c>
      <c r="C42" s="79">
        <v>2.0499999999999998</v>
      </c>
      <c r="D42" s="12">
        <v>1.52</v>
      </c>
      <c r="E42" s="10">
        <v>-4.67</v>
      </c>
      <c r="F42" s="56">
        <v>6</v>
      </c>
      <c r="G42" s="54">
        <v>-2.9</v>
      </c>
      <c r="H42" s="19">
        <v>0.2</v>
      </c>
      <c r="I42" s="149">
        <v>0.3</v>
      </c>
      <c r="J42" s="196"/>
      <c r="K42" s="3"/>
      <c r="L42" s="15" t="s">
        <v>65</v>
      </c>
      <c r="M42" s="14">
        <v>0</v>
      </c>
      <c r="N42" s="14">
        <v>0</v>
      </c>
      <c r="O42" s="14">
        <v>20.6</v>
      </c>
      <c r="P42" s="14">
        <v>19.899999999999999</v>
      </c>
      <c r="Q42" s="14">
        <v>26.8</v>
      </c>
      <c r="R42" s="14">
        <v>14.3</v>
      </c>
      <c r="S42" s="16">
        <v>27.3</v>
      </c>
    </row>
    <row r="43" spans="2:20" ht="16.5" thickBot="1">
      <c r="B43" s="9" t="s">
        <v>74</v>
      </c>
      <c r="C43" s="80">
        <v>-34.83</v>
      </c>
      <c r="D43" s="18">
        <v>-13.57</v>
      </c>
      <c r="E43" s="19">
        <f>E39+E40+E41+E42</f>
        <v>44.419999999999916</v>
      </c>
      <c r="F43" s="56">
        <f>F39+F40+F41+F42</f>
        <v>-0.90000000000000568</v>
      </c>
      <c r="G43" s="54">
        <f>G39+G40+G41+G42</f>
        <v>-19.70000000000001</v>
      </c>
      <c r="H43" s="19">
        <f>H39+H40+H41+H42</f>
        <v>99.199999999999946</v>
      </c>
      <c r="I43" s="149">
        <f>I39+I40+I41+I42</f>
        <v>-93.2</v>
      </c>
      <c r="J43" s="196"/>
      <c r="K43" s="3"/>
      <c r="L43" s="15" t="s">
        <v>67</v>
      </c>
      <c r="M43" s="14">
        <v>84.8</v>
      </c>
      <c r="N43" s="14">
        <v>77.5</v>
      </c>
      <c r="O43" s="14">
        <v>250.3</v>
      </c>
      <c r="P43" s="14">
        <v>351.4</v>
      </c>
      <c r="Q43" s="14">
        <v>207.4</v>
      </c>
      <c r="R43" s="14">
        <v>410.5</v>
      </c>
      <c r="S43" s="16">
        <v>253.6</v>
      </c>
    </row>
    <row r="44" spans="2:20" ht="16.5" thickBot="1">
      <c r="B44" s="102" t="s">
        <v>76</v>
      </c>
      <c r="C44" s="105">
        <f t="shared" ref="C44:F44" si="23">C38+C43</f>
        <v>33.850000000000009</v>
      </c>
      <c r="D44" s="106">
        <f t="shared" si="23"/>
        <v>20.280000000000008</v>
      </c>
      <c r="E44" s="107">
        <f t="shared" si="23"/>
        <v>64.699999999999932</v>
      </c>
      <c r="F44" s="107">
        <f t="shared" si="23"/>
        <v>63.799999999999926</v>
      </c>
      <c r="G44" s="108">
        <f>G38+G43</f>
        <v>44.099999999999916</v>
      </c>
      <c r="H44" s="107">
        <f>H38+H43</f>
        <v>152.09999999999994</v>
      </c>
      <c r="I44" s="150">
        <f>I38+I43</f>
        <v>58.899999999999935</v>
      </c>
      <c r="J44" s="197"/>
      <c r="K44" s="3"/>
      <c r="L44" s="15" t="s">
        <v>69</v>
      </c>
      <c r="M44" s="14">
        <v>48.8</v>
      </c>
      <c r="N44" s="14">
        <v>51.9</v>
      </c>
      <c r="O44" s="14">
        <v>63.5</v>
      </c>
      <c r="P44" s="14">
        <v>71.099999999999994</v>
      </c>
      <c r="Q44" s="14">
        <v>56.5</v>
      </c>
      <c r="R44" s="14">
        <v>74.400000000000006</v>
      </c>
      <c r="S44" s="16">
        <v>115.9</v>
      </c>
    </row>
    <row r="45" spans="2:20" ht="16.5" thickBot="1">
      <c r="B45" s="3"/>
      <c r="C45" s="81"/>
      <c r="D45" s="3"/>
      <c r="E45" s="3"/>
      <c r="F45" s="3"/>
      <c r="G45" s="3"/>
      <c r="H45" s="3"/>
      <c r="I45" s="3"/>
      <c r="J45" s="198"/>
      <c r="K45" s="3"/>
      <c r="L45" s="15" t="s">
        <v>71</v>
      </c>
      <c r="M45" s="14">
        <v>1.7</v>
      </c>
      <c r="N45" s="14">
        <v>0.8</v>
      </c>
      <c r="O45" s="14">
        <v>1.1000000000000001</v>
      </c>
      <c r="P45" s="14">
        <v>4</v>
      </c>
      <c r="Q45" s="14">
        <v>28.1</v>
      </c>
      <c r="R45" s="14">
        <v>6.1</v>
      </c>
      <c r="S45" s="16">
        <v>18.3</v>
      </c>
    </row>
    <row r="46" spans="2:20" ht="16.5" thickBot="1">
      <c r="B46" s="109" t="s">
        <v>78</v>
      </c>
      <c r="C46" s="110" t="s">
        <v>3</v>
      </c>
      <c r="D46" s="87" t="s">
        <v>4</v>
      </c>
      <c r="E46" s="87" t="s">
        <v>5</v>
      </c>
      <c r="F46" s="87" t="s">
        <v>6</v>
      </c>
      <c r="G46" s="87" t="s">
        <v>7</v>
      </c>
      <c r="H46" s="133" t="s">
        <v>115</v>
      </c>
      <c r="I46" s="114" t="s">
        <v>119</v>
      </c>
      <c r="J46" s="194"/>
      <c r="K46" s="3"/>
      <c r="L46" s="92" t="s">
        <v>73</v>
      </c>
      <c r="M46" s="120">
        <f t="shared" ref="M46:R46" si="24">M25-M38</f>
        <v>-68.999999999999773</v>
      </c>
      <c r="N46" s="120">
        <f t="shared" si="24"/>
        <v>-189.80000000000041</v>
      </c>
      <c r="O46" s="120">
        <f t="shared" si="24"/>
        <v>-223.69999999999982</v>
      </c>
      <c r="P46" s="120">
        <f t="shared" si="24"/>
        <v>240.39999999999964</v>
      </c>
      <c r="Q46" s="120">
        <f t="shared" si="24"/>
        <v>712.99999999999909</v>
      </c>
      <c r="R46" s="120">
        <f t="shared" si="24"/>
        <v>1015.2999999999993</v>
      </c>
      <c r="S46" s="121">
        <f t="shared" ref="S46" si="25">S25-S38</f>
        <v>1661.5999999999995</v>
      </c>
    </row>
    <row r="47" spans="2:20" ht="15.75">
      <c r="B47" s="57" t="s">
        <v>80</v>
      </c>
      <c r="C47" s="59">
        <f t="shared" ref="C47:D47" si="26">C39</f>
        <v>641.49</v>
      </c>
      <c r="D47" s="59">
        <f t="shared" si="26"/>
        <v>472.71</v>
      </c>
      <c r="E47" s="59">
        <f>E39</f>
        <v>618.55999999999995</v>
      </c>
      <c r="F47" s="59">
        <f t="shared" ref="F47:G47" si="27">F39</f>
        <v>300</v>
      </c>
      <c r="G47" s="61">
        <f t="shared" si="27"/>
        <v>144.5</v>
      </c>
      <c r="H47" s="59">
        <f>H39</f>
        <v>756.1</v>
      </c>
      <c r="I47" s="151">
        <f>I39</f>
        <v>1293.4000000000001</v>
      </c>
      <c r="J47" s="158"/>
      <c r="K47" s="3"/>
      <c r="L47" s="92" t="s">
        <v>75</v>
      </c>
      <c r="M47" s="120">
        <f>M48+M51+M9+M49</f>
        <v>1475.6000000000001</v>
      </c>
      <c r="N47" s="120">
        <f>N48+N51+N9+N49</f>
        <v>1262.7</v>
      </c>
      <c r="O47" s="120">
        <f>O48+O51+O9+O49</f>
        <v>842.9</v>
      </c>
      <c r="P47" s="120">
        <f>P48+P51+P9+P49</f>
        <v>733.59999999999991</v>
      </c>
      <c r="Q47" s="120">
        <f>SUM(Q48:Q51)+Q9</f>
        <v>625.09999999999991</v>
      </c>
      <c r="R47" s="120">
        <f>SUM(R48:R51)+R9</f>
        <v>489.90000000000003</v>
      </c>
      <c r="S47" s="121">
        <f>SUM(S48:S51)+S9</f>
        <v>462.2</v>
      </c>
    </row>
    <row r="48" spans="2:20" ht="16.5" thickBot="1">
      <c r="B48" s="58" t="s">
        <v>82</v>
      </c>
      <c r="C48" s="62">
        <v>-24.097999999999999</v>
      </c>
      <c r="D48" s="60">
        <v>191.71</v>
      </c>
      <c r="E48" s="60">
        <f>69.5-0.5</f>
        <v>69</v>
      </c>
      <c r="F48" s="60">
        <f>234.2-0.5</f>
        <v>233.7</v>
      </c>
      <c r="G48" s="62">
        <f>197.7-9.1</f>
        <v>188.6</v>
      </c>
      <c r="H48" s="60">
        <f>199.2-11.1</f>
        <v>188.1</v>
      </c>
      <c r="I48" s="153">
        <f>353.5-1.6</f>
        <v>351.9</v>
      </c>
      <c r="J48" s="159"/>
      <c r="K48" s="3"/>
      <c r="L48" s="15" t="s">
        <v>77</v>
      </c>
      <c r="M48" s="14">
        <v>32.4</v>
      </c>
      <c r="N48" s="14">
        <v>103.1</v>
      </c>
      <c r="O48" s="14">
        <v>42.8</v>
      </c>
      <c r="P48" s="14">
        <v>55</v>
      </c>
      <c r="Q48" s="28">
        <v>67.400000000000006</v>
      </c>
      <c r="R48" s="14">
        <v>79.2</v>
      </c>
      <c r="S48" s="34">
        <v>96.2</v>
      </c>
    </row>
    <row r="49" spans="2:20" ht="16.5" thickBot="1">
      <c r="B49" s="111" t="s">
        <v>83</v>
      </c>
      <c r="C49" s="112">
        <f t="shared" ref="C49" si="28">C47-C48</f>
        <v>665.58799999999997</v>
      </c>
      <c r="D49" s="112">
        <f t="shared" ref="D49:G49" si="29">D47-D48</f>
        <v>281</v>
      </c>
      <c r="E49" s="112">
        <f t="shared" si="29"/>
        <v>549.55999999999995</v>
      </c>
      <c r="F49" s="112">
        <f t="shared" si="29"/>
        <v>66.300000000000011</v>
      </c>
      <c r="G49" s="112">
        <f t="shared" si="29"/>
        <v>-44.099999999999994</v>
      </c>
      <c r="H49" s="112">
        <f>H47-H48</f>
        <v>568</v>
      </c>
      <c r="I49" s="152">
        <f>I47-I48</f>
        <v>941.50000000000011</v>
      </c>
      <c r="J49" s="158"/>
      <c r="K49" s="3"/>
      <c r="L49" s="15" t="s">
        <v>69</v>
      </c>
      <c r="M49" s="14">
        <v>102.9</v>
      </c>
      <c r="N49" s="14">
        <v>115.4</v>
      </c>
      <c r="O49" s="14">
        <v>118.2</v>
      </c>
      <c r="P49" s="14">
        <v>128.30000000000001</v>
      </c>
      <c r="Q49" s="28">
        <v>127.5</v>
      </c>
      <c r="R49" s="14">
        <v>119.7</v>
      </c>
      <c r="S49" s="34">
        <v>130.30000000000001</v>
      </c>
    </row>
    <row r="50" spans="2:20" ht="16.5" thickBot="1">
      <c r="B50" s="3"/>
      <c r="C50" s="81"/>
      <c r="D50" s="3"/>
      <c r="E50" s="3"/>
      <c r="F50" s="3"/>
      <c r="G50" s="3"/>
      <c r="H50" s="3"/>
      <c r="I50" s="3"/>
      <c r="K50" s="3"/>
      <c r="L50" s="15" t="s">
        <v>79</v>
      </c>
      <c r="M50" s="14">
        <v>0</v>
      </c>
      <c r="N50" s="14">
        <v>0</v>
      </c>
      <c r="O50" s="14">
        <v>46.2</v>
      </c>
      <c r="P50" s="14">
        <v>33.6</v>
      </c>
      <c r="Q50" s="28">
        <v>194</v>
      </c>
      <c r="R50" s="14">
        <v>171.3</v>
      </c>
      <c r="S50" s="34">
        <v>187.5</v>
      </c>
    </row>
    <row r="51" spans="2:20" ht="16.5" thickBot="1">
      <c r="B51" s="109" t="s">
        <v>78</v>
      </c>
      <c r="C51" s="85" t="s">
        <v>3</v>
      </c>
      <c r="D51" s="113" t="s">
        <v>4</v>
      </c>
      <c r="E51" s="113" t="s">
        <v>5</v>
      </c>
      <c r="F51" s="113" t="s">
        <v>6</v>
      </c>
      <c r="G51" s="113" t="s">
        <v>7</v>
      </c>
      <c r="H51" s="104" t="s">
        <v>115</v>
      </c>
      <c r="I51" s="114" t="s">
        <v>119</v>
      </c>
      <c r="K51" s="3"/>
      <c r="L51" s="15" t="s">
        <v>121</v>
      </c>
      <c r="M51" s="14">
        <v>0</v>
      </c>
      <c r="N51" s="14">
        <v>0</v>
      </c>
      <c r="O51" s="14">
        <v>0</v>
      </c>
      <c r="P51" s="14">
        <v>0</v>
      </c>
      <c r="Q51" s="28">
        <v>0</v>
      </c>
      <c r="R51" s="14">
        <v>0</v>
      </c>
      <c r="S51" s="34">
        <v>19.899999999999999</v>
      </c>
    </row>
    <row r="52" spans="2:20" ht="15.75">
      <c r="B52" s="69" t="s">
        <v>85</v>
      </c>
      <c r="C52" s="82">
        <v>13731101</v>
      </c>
      <c r="D52" s="63">
        <v>15031101</v>
      </c>
      <c r="E52" s="63">
        <v>15031101</v>
      </c>
      <c r="F52" s="63">
        <v>15031101</v>
      </c>
      <c r="G52" s="63">
        <v>15067101</v>
      </c>
      <c r="H52" s="154">
        <v>15067101</v>
      </c>
      <c r="I52" s="175">
        <v>15067101</v>
      </c>
      <c r="K52" s="3"/>
      <c r="L52" s="92" t="s">
        <v>81</v>
      </c>
      <c r="M52" s="120">
        <f t="shared" ref="M52:S52" si="30">M25+M15+M37</f>
        <v>4051.2</v>
      </c>
      <c r="N52" s="120">
        <f t="shared" si="30"/>
        <v>4312.3</v>
      </c>
      <c r="O52" s="120">
        <f t="shared" si="30"/>
        <v>4302.8</v>
      </c>
      <c r="P52" s="120">
        <f t="shared" si="30"/>
        <v>6836.7</v>
      </c>
      <c r="Q52" s="120">
        <f t="shared" si="30"/>
        <v>6812.2999999999993</v>
      </c>
      <c r="R52" s="120">
        <f t="shared" si="30"/>
        <v>7449.2999999999993</v>
      </c>
      <c r="S52" s="121">
        <f t="shared" si="30"/>
        <v>7350</v>
      </c>
    </row>
    <row r="53" spans="2:20" ht="15.75">
      <c r="B53" s="41" t="s">
        <v>116</v>
      </c>
      <c r="C53" s="67">
        <f t="shared" ref="C53:J53" si="31">(M57*C52)/1000000</f>
        <v>1717.07418005</v>
      </c>
      <c r="D53" s="67">
        <f t="shared" si="31"/>
        <v>1217.5191809999999</v>
      </c>
      <c r="E53" s="67">
        <f t="shared" si="31"/>
        <v>2820.5861026500002</v>
      </c>
      <c r="F53" s="67">
        <f t="shared" si="31"/>
        <v>7014.26328165</v>
      </c>
      <c r="G53" s="64">
        <f t="shared" si="31"/>
        <v>5817.4076961000001</v>
      </c>
      <c r="H53" s="49">
        <f t="shared" si="31"/>
        <v>17538.105564000001</v>
      </c>
      <c r="I53" s="143">
        <f t="shared" si="31"/>
        <v>18954.413057999998</v>
      </c>
      <c r="K53" s="3"/>
      <c r="L53" s="92" t="s">
        <v>117</v>
      </c>
      <c r="M53" s="120">
        <f>M8+M38+M47</f>
        <v>4051.2</v>
      </c>
      <c r="N53" s="120">
        <f>N8+N38+N47</f>
        <v>4312.3</v>
      </c>
      <c r="O53" s="120">
        <f>O8+O38+O47</f>
        <v>4256.5999999999995</v>
      </c>
      <c r="P53" s="120">
        <f>P8+P38+P47</f>
        <v>6803.1</v>
      </c>
      <c r="Q53" s="120">
        <f>Q47+Q38+Q8</f>
        <v>6812.3000000000011</v>
      </c>
      <c r="R53" s="120">
        <f>R47+R38+R8</f>
        <v>7449.3</v>
      </c>
      <c r="S53" s="121">
        <f>S47+S38+S8</f>
        <v>7350</v>
      </c>
    </row>
    <row r="54" spans="2:20" ht="16.5" thickBot="1">
      <c r="B54" s="41" t="s">
        <v>88</v>
      </c>
      <c r="C54" s="67">
        <f t="shared" ref="C54:G54" si="32">M11</f>
        <v>1727.8</v>
      </c>
      <c r="D54" s="68">
        <f t="shared" si="32"/>
        <v>1499.5</v>
      </c>
      <c r="E54" s="68">
        <f t="shared" si="32"/>
        <v>1381.6999999999998</v>
      </c>
      <c r="F54" s="68">
        <f t="shared" si="32"/>
        <v>1459</v>
      </c>
      <c r="G54" s="65">
        <f t="shared" si="32"/>
        <v>1697.3</v>
      </c>
      <c r="H54" s="155">
        <f>R11</f>
        <v>1434.6000000000001</v>
      </c>
      <c r="I54" s="176">
        <f>S11</f>
        <v>556.19999999999993</v>
      </c>
      <c r="K54" s="3"/>
      <c r="L54" s="179"/>
      <c r="M54" s="179"/>
      <c r="N54" s="179"/>
      <c r="O54" s="179"/>
      <c r="P54" s="179"/>
      <c r="Q54" s="179"/>
      <c r="R54" s="179"/>
      <c r="S54" s="180"/>
    </row>
    <row r="55" spans="2:20" ht="16.5" thickBot="1">
      <c r="B55" s="70" t="s">
        <v>90</v>
      </c>
      <c r="C55" s="83">
        <f>M30+M33</f>
        <v>36</v>
      </c>
      <c r="D55" s="66">
        <f t="shared" ref="D55:F55" si="33">N30+N33</f>
        <v>22.400000000000002</v>
      </c>
      <c r="E55" s="66">
        <f t="shared" si="33"/>
        <v>80.38</v>
      </c>
      <c r="F55" s="66">
        <f t="shared" si="33"/>
        <v>64.899999999999991</v>
      </c>
      <c r="G55" s="66">
        <f>Q30+Q33</f>
        <v>45.6</v>
      </c>
      <c r="H55" s="156">
        <f>R30+R33</f>
        <v>153.79999999999998</v>
      </c>
      <c r="I55" s="177">
        <f>S30+S33</f>
        <v>59.5</v>
      </c>
      <c r="K55" s="3"/>
      <c r="L55" s="189" t="s">
        <v>84</v>
      </c>
      <c r="M55" s="190"/>
      <c r="N55" s="190"/>
      <c r="O55" s="190"/>
      <c r="P55" s="190"/>
      <c r="Q55" s="190"/>
      <c r="R55" s="190"/>
      <c r="S55" s="190"/>
      <c r="T55" s="191"/>
    </row>
    <row r="56" spans="2:20" ht="16.5" thickBot="1">
      <c r="B56" s="115" t="s">
        <v>92</v>
      </c>
      <c r="C56" s="116">
        <f>C53+C54-C55</f>
        <v>3408.8741800500002</v>
      </c>
      <c r="D56" s="117">
        <f t="shared" ref="D56:F56" si="34">D53+D54-D55</f>
        <v>2694.6191809999996</v>
      </c>
      <c r="E56" s="117">
        <f t="shared" si="34"/>
        <v>4121.9061026499994</v>
      </c>
      <c r="F56" s="117">
        <f t="shared" si="34"/>
        <v>8408.3632816500012</v>
      </c>
      <c r="G56" s="117">
        <f t="shared" ref="G56" si="35">G53+G54-G55</f>
        <v>7469.1076960999999</v>
      </c>
      <c r="H56" s="157">
        <f>H53+H54-H55</f>
        <v>18818.905564000001</v>
      </c>
      <c r="I56" s="178">
        <f>I53+I54-I55</f>
        <v>19451.113057999999</v>
      </c>
      <c r="K56" s="3"/>
      <c r="L56" s="181"/>
      <c r="M56" s="182" t="s">
        <v>3</v>
      </c>
      <c r="N56" s="182" t="s">
        <v>4</v>
      </c>
      <c r="O56" s="182" t="s">
        <v>5</v>
      </c>
      <c r="P56" s="182" t="s">
        <v>6</v>
      </c>
      <c r="Q56" s="182" t="s">
        <v>7</v>
      </c>
      <c r="R56" s="182" t="s">
        <v>115</v>
      </c>
      <c r="S56" s="199" t="s">
        <v>119</v>
      </c>
      <c r="T56" s="208" t="s">
        <v>122</v>
      </c>
    </row>
    <row r="57" spans="2:20" ht="15.75">
      <c r="B57" s="3"/>
      <c r="C57" s="81"/>
      <c r="D57" s="3"/>
      <c r="E57" s="3"/>
      <c r="F57" s="3"/>
      <c r="G57" s="3"/>
      <c r="H57" s="3"/>
      <c r="I57" s="3"/>
      <c r="K57" s="3"/>
      <c r="L57" s="15" t="s">
        <v>86</v>
      </c>
      <c r="M57" s="84">
        <v>125.05</v>
      </c>
      <c r="N57" s="130">
        <v>81</v>
      </c>
      <c r="O57" s="130">
        <v>187.65</v>
      </c>
      <c r="P57" s="130">
        <v>466.65</v>
      </c>
      <c r="Q57" s="84">
        <v>386.1</v>
      </c>
      <c r="R57" s="130">
        <v>1164</v>
      </c>
      <c r="S57" s="163">
        <v>1258</v>
      </c>
      <c r="T57" s="209">
        <v>1724.45</v>
      </c>
    </row>
    <row r="58" spans="2:20" ht="15.75">
      <c r="B58" s="3"/>
      <c r="C58" s="81"/>
      <c r="D58" s="3"/>
      <c r="E58" s="4"/>
      <c r="F58" s="4"/>
      <c r="G58" s="3"/>
      <c r="H58" s="3"/>
      <c r="I58" s="3"/>
      <c r="J58" s="3"/>
      <c r="K58" s="3"/>
      <c r="L58" s="15" t="s">
        <v>87</v>
      </c>
      <c r="M58" s="29">
        <f t="shared" ref="M58:T58" si="36">C33</f>
        <v>-2.4300000000000002</v>
      </c>
      <c r="N58" s="29">
        <f t="shared" si="36"/>
        <v>12.47</v>
      </c>
      <c r="O58" s="29">
        <f t="shared" si="36"/>
        <v>-6.19</v>
      </c>
      <c r="P58" s="29">
        <f t="shared" si="36"/>
        <v>35.25</v>
      </c>
      <c r="Q58" s="29">
        <f t="shared" si="36"/>
        <v>40.86</v>
      </c>
      <c r="R58" s="29">
        <f t="shared" si="36"/>
        <v>19.48</v>
      </c>
      <c r="S58" s="168">
        <f t="shared" si="36"/>
        <v>57.17</v>
      </c>
      <c r="T58" s="38">
        <f>S58+J33-16.74</f>
        <v>69.17</v>
      </c>
    </row>
    <row r="59" spans="2:20" ht="15.75">
      <c r="B59" s="3"/>
      <c r="C59" s="81"/>
      <c r="D59" s="3"/>
      <c r="E59" s="3"/>
      <c r="F59" s="3"/>
      <c r="G59" s="3"/>
      <c r="H59" s="3"/>
      <c r="I59" s="3"/>
      <c r="J59" s="3"/>
      <c r="K59" s="3"/>
      <c r="L59" s="92" t="s">
        <v>89</v>
      </c>
      <c r="M59" s="123">
        <f t="shared" ref="M59:S59" si="37">M8*1000000/C52</f>
        <v>46.696910903211624</v>
      </c>
      <c r="N59" s="123">
        <f t="shared" si="37"/>
        <v>62.729935751213439</v>
      </c>
      <c r="O59" s="123">
        <f t="shared" si="37"/>
        <v>56.569375723042512</v>
      </c>
      <c r="P59" s="123">
        <f t="shared" si="37"/>
        <v>92.953935975814417</v>
      </c>
      <c r="Q59" s="123">
        <f t="shared" si="37"/>
        <v>134.96956050138644</v>
      </c>
      <c r="R59" s="123">
        <f t="shared" si="37"/>
        <v>156.14815351672496</v>
      </c>
      <c r="S59" s="200">
        <f t="shared" si="37"/>
        <v>216.04023229153373</v>
      </c>
      <c r="T59" s="210" t="s">
        <v>102</v>
      </c>
    </row>
    <row r="60" spans="2:20" ht="15.75">
      <c r="B60" s="3"/>
      <c r="C60" s="81"/>
      <c r="D60" s="3"/>
      <c r="E60" s="3"/>
      <c r="F60" s="3"/>
      <c r="G60" s="3"/>
      <c r="H60" s="3"/>
      <c r="I60" s="3"/>
      <c r="J60" s="3"/>
      <c r="K60" s="3"/>
      <c r="L60" s="92" t="s">
        <v>91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201">
        <v>0</v>
      </c>
      <c r="T60" s="210" t="s">
        <v>102</v>
      </c>
    </row>
    <row r="61" spans="2:20" ht="15.75">
      <c r="B61" s="3"/>
      <c r="C61" s="81"/>
      <c r="D61" s="3"/>
      <c r="E61" s="3"/>
      <c r="F61" s="3"/>
      <c r="G61" s="3"/>
      <c r="H61" s="3"/>
      <c r="I61" s="3"/>
      <c r="J61" s="3"/>
      <c r="K61" s="3"/>
      <c r="L61" s="92" t="s">
        <v>93</v>
      </c>
      <c r="M61" s="124">
        <f>M57/M58</f>
        <v>-51.460905349794231</v>
      </c>
      <c r="N61" s="124">
        <f t="shared" ref="N61:P61" si="38">N57/N58</f>
        <v>6.4955894145950275</v>
      </c>
      <c r="O61" s="124">
        <f t="shared" si="38"/>
        <v>-30.315024232633277</v>
      </c>
      <c r="P61" s="124">
        <f t="shared" si="38"/>
        <v>13.238297872340425</v>
      </c>
      <c r="Q61" s="124">
        <f t="shared" ref="Q61" si="39">Q57/Q58</f>
        <v>9.4493392070484585</v>
      </c>
      <c r="R61" s="124">
        <f>R57/R58</f>
        <v>59.753593429158109</v>
      </c>
      <c r="S61" s="202">
        <f>S57/S58</f>
        <v>22.004547839776105</v>
      </c>
      <c r="T61" s="135">
        <f>T57/T58</f>
        <v>24.93060575393957</v>
      </c>
    </row>
    <row r="62" spans="2:20" ht="15.75">
      <c r="B62" s="3"/>
      <c r="C62" s="81"/>
      <c r="D62" s="3"/>
      <c r="E62" s="3"/>
      <c r="F62" s="3"/>
      <c r="G62" s="3"/>
      <c r="H62" s="3"/>
      <c r="I62" s="3"/>
      <c r="J62" s="3"/>
      <c r="K62" s="3"/>
      <c r="L62" s="92" t="s">
        <v>94</v>
      </c>
      <c r="M62" s="123">
        <f t="shared" ref="M62:R62" si="40">M57/M59</f>
        <v>2.6779073300842171</v>
      </c>
      <c r="N62" s="123">
        <f t="shared" si="40"/>
        <v>1.2912495291123129</v>
      </c>
      <c r="O62" s="123">
        <f t="shared" si="40"/>
        <v>3.3171658269434317</v>
      </c>
      <c r="P62" s="123">
        <f t="shared" si="40"/>
        <v>5.020228515352132</v>
      </c>
      <c r="Q62" s="123">
        <f t="shared" si="40"/>
        <v>2.8606450118509046</v>
      </c>
      <c r="R62" s="123">
        <f t="shared" si="40"/>
        <v>7.4544589467420401</v>
      </c>
      <c r="S62" s="200">
        <f t="shared" ref="S62" si="41">S57/S59</f>
        <v>5.8229894805075109</v>
      </c>
      <c r="T62" s="210" t="s">
        <v>102</v>
      </c>
    </row>
    <row r="63" spans="2:20" ht="15.75">
      <c r="B63" s="3"/>
      <c r="C63" s="81"/>
      <c r="D63" s="3"/>
      <c r="E63" s="3"/>
      <c r="F63" s="3"/>
      <c r="G63" s="3"/>
      <c r="H63" s="3"/>
      <c r="I63" s="3"/>
      <c r="J63" s="3"/>
      <c r="K63" s="3"/>
      <c r="L63" s="92" t="s">
        <v>95</v>
      </c>
      <c r="M63" s="124">
        <f t="shared" ref="M63:S63" si="42">C56/C14</f>
        <v>9.5246554346186194</v>
      </c>
      <c r="N63" s="124">
        <f t="shared" si="42"/>
        <v>5.2407164575918452</v>
      </c>
      <c r="O63" s="124">
        <f t="shared" si="42"/>
        <v>7.9898933932621237</v>
      </c>
      <c r="P63" s="124">
        <f t="shared" si="42"/>
        <v>8.4302820148887143</v>
      </c>
      <c r="Q63" s="124">
        <f t="shared" si="42"/>
        <v>7.2564924668221176</v>
      </c>
      <c r="R63" s="124">
        <f t="shared" si="42"/>
        <v>17.55331178434847</v>
      </c>
      <c r="S63" s="202">
        <f t="shared" si="42"/>
        <v>13.349195702422634</v>
      </c>
      <c r="T63" s="210" t="s">
        <v>102</v>
      </c>
    </row>
    <row r="64" spans="2:20" ht="15.75">
      <c r="B64" s="3"/>
      <c r="C64" s="81"/>
      <c r="D64" s="3"/>
      <c r="E64" s="3"/>
      <c r="F64" s="3"/>
      <c r="G64" s="3"/>
      <c r="H64" s="3"/>
      <c r="I64" s="3"/>
      <c r="J64" s="3"/>
      <c r="K64" s="3"/>
      <c r="L64" s="92" t="s">
        <v>96</v>
      </c>
      <c r="M64" s="97">
        <f t="shared" ref="M64:S64" si="43">C26/M8</f>
        <v>-4.7099189020586962E-2</v>
      </c>
      <c r="N64" s="97">
        <f t="shared" si="43"/>
        <v>0.18208717785555212</v>
      </c>
      <c r="O64" s="97">
        <f t="shared" si="43"/>
        <v>-0.10932612019287266</v>
      </c>
      <c r="P64" s="97">
        <f t="shared" si="43"/>
        <v>0.38348124821070689</v>
      </c>
      <c r="Q64" s="97">
        <f t="shared" si="43"/>
        <v>0.30556648308418533</v>
      </c>
      <c r="R64" s="97">
        <f t="shared" si="43"/>
        <v>0.12632294810218067</v>
      </c>
      <c r="S64" s="171">
        <f t="shared" si="43"/>
        <v>0.26957697152161181</v>
      </c>
      <c r="T64" s="210" t="s">
        <v>102</v>
      </c>
    </row>
    <row r="65" spans="2:20" ht="15.75">
      <c r="B65" s="3"/>
      <c r="C65" s="81"/>
      <c r="D65" s="3"/>
      <c r="E65" s="3"/>
      <c r="F65" s="3"/>
      <c r="G65" s="3"/>
      <c r="H65" s="3"/>
      <c r="I65" s="3"/>
      <c r="J65" s="3"/>
      <c r="K65" s="3"/>
      <c r="L65" s="92" t="s">
        <v>97</v>
      </c>
      <c r="M65" s="97">
        <f t="shared" ref="M65:S65" si="44">(C14-C19)/M12</f>
        <v>0.12622826908541177</v>
      </c>
      <c r="N65" s="97">
        <f t="shared" si="44"/>
        <v>0.18137014871236853</v>
      </c>
      <c r="O65" s="97">
        <f t="shared" si="44"/>
        <v>0.23018544767304536</v>
      </c>
      <c r="P65" s="97">
        <f t="shared" si="44"/>
        <v>0.40857893748826712</v>
      </c>
      <c r="Q65" s="97">
        <f t="shared" si="44"/>
        <v>0.33369691954714686</v>
      </c>
      <c r="R65" s="97">
        <f t="shared" si="44"/>
        <v>0.32421023007106187</v>
      </c>
      <c r="S65" s="171">
        <f t="shared" si="44"/>
        <v>0.34866704328410369</v>
      </c>
      <c r="T65" s="210" t="s">
        <v>102</v>
      </c>
    </row>
    <row r="66" spans="2:20" ht="15.75">
      <c r="B66" s="3"/>
      <c r="C66" s="81"/>
      <c r="D66" s="3"/>
      <c r="E66" s="3"/>
      <c r="F66" s="3"/>
      <c r="G66" s="3"/>
      <c r="H66" s="3"/>
      <c r="I66" s="3"/>
      <c r="J66" s="3"/>
      <c r="K66" s="3"/>
      <c r="L66" s="92" t="s">
        <v>98</v>
      </c>
      <c r="M66" s="124">
        <f t="shared" ref="M66:R66" si="45">M11/M8</f>
        <v>2.6946350592638799</v>
      </c>
      <c r="N66" s="124">
        <f t="shared" si="45"/>
        <v>1.5903065012196413</v>
      </c>
      <c r="O66" s="124">
        <f t="shared" si="45"/>
        <v>1.6249558979183816</v>
      </c>
      <c r="P66" s="124">
        <f t="shared" si="45"/>
        <v>1.044231319782422</v>
      </c>
      <c r="Q66" s="124">
        <f t="shared" si="45"/>
        <v>0.83462824547600312</v>
      </c>
      <c r="R66" s="124">
        <f t="shared" si="45"/>
        <v>0.60976750116886991</v>
      </c>
      <c r="S66" s="202">
        <f t="shared" ref="S66" si="46">S11/S8</f>
        <v>0.17087032656446804</v>
      </c>
      <c r="T66" s="210" t="s">
        <v>102</v>
      </c>
    </row>
    <row r="67" spans="2:20" ht="15.75">
      <c r="B67" s="3"/>
      <c r="C67" s="81"/>
      <c r="D67" s="3"/>
      <c r="E67" s="3"/>
      <c r="F67" s="3"/>
      <c r="G67" s="3"/>
      <c r="H67" s="3"/>
      <c r="I67" s="3"/>
      <c r="J67" s="3"/>
      <c r="K67" s="3"/>
      <c r="L67" s="92" t="s">
        <v>99</v>
      </c>
      <c r="M67" s="124">
        <f t="shared" ref="M67:R67" si="47">(M11-SUM(M30,M33))/M8</f>
        <v>2.6384903306300682</v>
      </c>
      <c r="N67" s="124">
        <f t="shared" si="47"/>
        <v>1.566550005302789</v>
      </c>
      <c r="O67" s="124">
        <f t="shared" si="47"/>
        <v>1.5304245560390448</v>
      </c>
      <c r="P67" s="124">
        <f t="shared" si="47"/>
        <v>0.99778127683939299</v>
      </c>
      <c r="Q67" s="124">
        <f t="shared" si="47"/>
        <v>0.81220495672698656</v>
      </c>
      <c r="R67" s="124">
        <f t="shared" si="47"/>
        <v>0.5443958005695585</v>
      </c>
      <c r="S67" s="202">
        <f t="shared" ref="S67" si="48">(S11-SUM(S30,S33))/S8</f>
        <v>0.15259131823907099</v>
      </c>
      <c r="T67" s="210" t="s">
        <v>102</v>
      </c>
    </row>
    <row r="68" spans="2:20" ht="15.75">
      <c r="B68" s="3"/>
      <c r="C68" s="81"/>
      <c r="D68" s="3"/>
      <c r="E68" s="3"/>
      <c r="F68" s="3"/>
      <c r="G68" s="3"/>
      <c r="H68" s="3"/>
      <c r="I68" s="3"/>
      <c r="J68" s="3"/>
      <c r="K68" s="3"/>
      <c r="L68" s="92" t="s">
        <v>100</v>
      </c>
      <c r="M68" s="125" t="s">
        <v>102</v>
      </c>
      <c r="N68" s="125" t="s">
        <v>102</v>
      </c>
      <c r="O68" s="125" t="s">
        <v>102</v>
      </c>
      <c r="P68" s="125" t="s">
        <v>102</v>
      </c>
      <c r="Q68" s="125" t="s">
        <v>102</v>
      </c>
      <c r="R68" s="125" t="s">
        <v>102</v>
      </c>
      <c r="S68" s="203" t="s">
        <v>102</v>
      </c>
      <c r="T68" s="210" t="s">
        <v>102</v>
      </c>
    </row>
    <row r="69" spans="2:20" ht="15.75">
      <c r="B69" s="3"/>
      <c r="C69" s="81"/>
      <c r="D69" s="3"/>
      <c r="E69" s="3"/>
      <c r="F69" s="3"/>
      <c r="G69" s="3"/>
      <c r="H69" s="3"/>
      <c r="I69" s="3"/>
      <c r="J69" s="3"/>
      <c r="K69" s="3"/>
      <c r="L69" s="92" t="s">
        <v>101</v>
      </c>
      <c r="M69" s="126">
        <f>M29/C5*365</f>
        <v>64.217377301436784</v>
      </c>
      <c r="N69" s="126">
        <f t="shared" ref="N69:S69" si="49">(AVERAGE(M29:N29)/D5*365)</f>
        <v>64.308999267604193</v>
      </c>
      <c r="O69" s="126">
        <f t="shared" si="49"/>
        <v>58.347458172820751</v>
      </c>
      <c r="P69" s="126">
        <f t="shared" si="49"/>
        <v>47.44577328872878</v>
      </c>
      <c r="Q69" s="126">
        <f t="shared" si="49"/>
        <v>56.337699942970417</v>
      </c>
      <c r="R69" s="126">
        <f t="shared" si="49"/>
        <v>73.270271132885441</v>
      </c>
      <c r="S69" s="204">
        <f t="shared" si="49"/>
        <v>62.380831886638951</v>
      </c>
      <c r="T69" s="210" t="s">
        <v>102</v>
      </c>
    </row>
    <row r="70" spans="2:20" ht="15.75">
      <c r="B70" s="3"/>
      <c r="C70" s="81"/>
      <c r="D70" s="3"/>
      <c r="E70" s="3"/>
      <c r="F70" s="3"/>
      <c r="G70" s="3"/>
      <c r="H70" s="3"/>
      <c r="I70" s="3"/>
      <c r="J70" s="3"/>
      <c r="K70" s="3"/>
      <c r="L70" s="92" t="s">
        <v>103</v>
      </c>
      <c r="M70" s="126">
        <f>M40/C8*365</f>
        <v>60.272796788376986</v>
      </c>
      <c r="N70" s="126">
        <f t="shared" ref="N70:S70" si="50">(AVERAGE(M40:N40)/D8*365)</f>
        <v>63.221511976504303</v>
      </c>
      <c r="O70" s="126">
        <f t="shared" si="50"/>
        <v>63.260053581648819</v>
      </c>
      <c r="P70" s="126">
        <f t="shared" si="50"/>
        <v>66.379354820554184</v>
      </c>
      <c r="Q70" s="126">
        <f t="shared" si="50"/>
        <v>59.80448762399724</v>
      </c>
      <c r="R70" s="126">
        <f t="shared" si="50"/>
        <v>57.93405610575455</v>
      </c>
      <c r="S70" s="204">
        <f t="shared" si="50"/>
        <v>45.488317129695055</v>
      </c>
      <c r="T70" s="210" t="s">
        <v>102</v>
      </c>
    </row>
    <row r="71" spans="2:20" ht="15.75">
      <c r="K71" s="3"/>
      <c r="L71" s="92" t="s">
        <v>104</v>
      </c>
      <c r="M71" s="126">
        <f t="shared" ref="M71:S71" si="51">(AVERAGE(L27:M27)/C8*365)</f>
        <v>46.296597208946665</v>
      </c>
      <c r="N71" s="126">
        <f t="shared" si="51"/>
        <v>52.149215963252409</v>
      </c>
      <c r="O71" s="126">
        <f t="shared" si="51"/>
        <v>53.105571824339279</v>
      </c>
      <c r="P71" s="126">
        <f t="shared" si="51"/>
        <v>55.501357803500746</v>
      </c>
      <c r="Q71" s="126">
        <f t="shared" si="51"/>
        <v>55.955974131198033</v>
      </c>
      <c r="R71" s="126">
        <f t="shared" si="51"/>
        <v>67.275227956895421</v>
      </c>
      <c r="S71" s="204">
        <f t="shared" si="51"/>
        <v>54.885909193680575</v>
      </c>
      <c r="T71" s="210" t="s">
        <v>102</v>
      </c>
    </row>
    <row r="72" spans="2:20" ht="15.75">
      <c r="K72" s="3"/>
      <c r="L72" s="92" t="s">
        <v>105</v>
      </c>
      <c r="M72" s="126">
        <f>(M69+M71-M70)</f>
        <v>50.241177722006462</v>
      </c>
      <c r="N72" s="126">
        <f>(N69+N71-N70)</f>
        <v>53.236703254352307</v>
      </c>
      <c r="O72" s="126">
        <f t="shared" ref="O72:Q72" si="52">(O69+O71-O70)</f>
        <v>48.192976415511211</v>
      </c>
      <c r="P72" s="126">
        <f t="shared" si="52"/>
        <v>36.567776271675342</v>
      </c>
      <c r="Q72" s="126">
        <f t="shared" si="52"/>
        <v>52.489186450171211</v>
      </c>
      <c r="R72" s="126">
        <f t="shared" ref="R72:S72" si="53">(R69+R71-R70)</f>
        <v>82.611442984026311</v>
      </c>
      <c r="S72" s="204">
        <f t="shared" si="53"/>
        <v>71.778423950624472</v>
      </c>
      <c r="T72" s="210" t="s">
        <v>102</v>
      </c>
    </row>
    <row r="73" spans="2:20" ht="15.75">
      <c r="K73" s="3"/>
      <c r="L73" s="92" t="s">
        <v>106</v>
      </c>
      <c r="M73" s="126">
        <f>M46/C5*365</f>
        <v>-4.5062534666928942</v>
      </c>
      <c r="N73" s="126">
        <f t="shared" ref="N73:S73" si="54">((AVERAGE(M46,N46))/D5)*365</f>
        <v>-8.6914037341145605</v>
      </c>
      <c r="O73" s="126">
        <f t="shared" si="54"/>
        <v>-12.14831443671552</v>
      </c>
      <c r="P73" s="126">
        <f t="shared" si="54"/>
        <v>0.26142991936867099</v>
      </c>
      <c r="Q73" s="126">
        <f t="shared" si="54"/>
        <v>11.812963365287983</v>
      </c>
      <c r="R73" s="126">
        <f t="shared" si="54"/>
        <v>25.167543047731492</v>
      </c>
      <c r="S73" s="204">
        <f t="shared" si="54"/>
        <v>31.29563493334528</v>
      </c>
      <c r="T73" s="210" t="s">
        <v>102</v>
      </c>
    </row>
    <row r="74" spans="2:20" ht="15.75">
      <c r="L74" s="92" t="s">
        <v>107</v>
      </c>
      <c r="M74" s="127">
        <f>C5/M16</f>
        <v>4.5698282910874894</v>
      </c>
      <c r="N74" s="127">
        <f t="shared" ref="N74:S74" si="55">D5/(AVERAGE(SUM(M16,M17),SUM(N16,N17)))</f>
        <v>3.9498618985317635</v>
      </c>
      <c r="O74" s="127">
        <f t="shared" si="55"/>
        <v>4.3374437035226752</v>
      </c>
      <c r="P74" s="127">
        <f t="shared" si="55"/>
        <v>8.0228477049067521</v>
      </c>
      <c r="Q74" s="127">
        <f t="shared" si="55"/>
        <v>9.0543722145381906</v>
      </c>
      <c r="R74" s="127">
        <f t="shared" si="55"/>
        <v>7.1896279723489087</v>
      </c>
      <c r="S74" s="205">
        <f t="shared" si="55"/>
        <v>8.3312696803116832</v>
      </c>
      <c r="T74" s="210" t="s">
        <v>102</v>
      </c>
    </row>
    <row r="75" spans="2:20" ht="15.75">
      <c r="L75" s="92" t="s">
        <v>108</v>
      </c>
      <c r="M75" s="98">
        <f t="shared" ref="M75:S75" si="56">C20/M11</f>
        <v>0.14660261604352356</v>
      </c>
      <c r="N75" s="98">
        <f t="shared" si="56"/>
        <v>0.14467489163054351</v>
      </c>
      <c r="O75" s="98">
        <f t="shared" si="56"/>
        <v>0.11738438155894913</v>
      </c>
      <c r="P75" s="98">
        <f t="shared" si="56"/>
        <v>0.10013708019191227</v>
      </c>
      <c r="Q75" s="98">
        <f t="shared" si="56"/>
        <v>0.1142402639486243</v>
      </c>
      <c r="R75" s="98">
        <f t="shared" si="56"/>
        <v>0.1368325665690785</v>
      </c>
      <c r="S75" s="206">
        <f t="shared" si="56"/>
        <v>0.24199928083423231</v>
      </c>
      <c r="T75" s="210" t="s">
        <v>102</v>
      </c>
    </row>
    <row r="76" spans="2:20" ht="15.75">
      <c r="L76" s="92" t="s">
        <v>109</v>
      </c>
      <c r="M76" s="123">
        <f t="shared" ref="M76:T76" si="57">(C14-C19)/C20</f>
        <v>1.054875641531779</v>
      </c>
      <c r="N76" s="123">
        <f t="shared" si="57"/>
        <v>1.8439660735687291</v>
      </c>
      <c r="O76" s="123">
        <f t="shared" si="57"/>
        <v>2.4030458104692047</v>
      </c>
      <c r="P76" s="123">
        <f t="shared" si="57"/>
        <v>5.9589322381930163</v>
      </c>
      <c r="Q76" s="123">
        <f t="shared" si="57"/>
        <v>4.5755544094894232</v>
      </c>
      <c r="R76" s="123">
        <f t="shared" si="57"/>
        <v>4.6948548140601138</v>
      </c>
      <c r="S76" s="200">
        <f t="shared" si="57"/>
        <v>9.6292719167904792</v>
      </c>
      <c r="T76" s="134">
        <f t="shared" si="57"/>
        <v>32.994318181818137</v>
      </c>
    </row>
    <row r="77" spans="2:20" ht="16.5" thickBot="1">
      <c r="L77" s="128" t="s">
        <v>110</v>
      </c>
      <c r="M77" s="129">
        <f t="shared" ref="M77:S77" si="58">M75*(1-C24)</f>
        <v>-0.21388400987992956</v>
      </c>
      <c r="N77" s="129">
        <f t="shared" si="58"/>
        <v>0.14381386076762603</v>
      </c>
      <c r="O77" s="129">
        <f t="shared" si="58"/>
        <v>-3.880797423519692E-2</v>
      </c>
      <c r="P77" s="129">
        <f t="shared" si="58"/>
        <v>7.4482238481072299E-2</v>
      </c>
      <c r="Q77" s="129">
        <f t="shared" si="58"/>
        <v>8.3528303792906863E-2</v>
      </c>
      <c r="R77" s="129">
        <f t="shared" si="58"/>
        <v>0.10373173072249395</v>
      </c>
      <c r="S77" s="207">
        <f t="shared" si="58"/>
        <v>0.18124288802088809</v>
      </c>
      <c r="T77" s="211" t="s">
        <v>102</v>
      </c>
    </row>
  </sheetData>
  <mergeCells count="4">
    <mergeCell ref="L3:S3"/>
    <mergeCell ref="B2:S2"/>
    <mergeCell ref="B3:J3"/>
    <mergeCell ref="L55:T55"/>
  </mergeCells>
  <pageMargins left="0.7" right="0.7" top="0.75" bottom="0.75" header="0.3" footer="0.3"/>
  <pageSetup paperSize="9" orientation="portrait" r:id="rId1"/>
  <ignoredErrors>
    <ignoredError sqref="N69:S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2022-10-27T15:35:00Z</dcterms:created>
  <dcterms:modified xsi:type="dcterms:W3CDTF">2025-08-11T12:19:31Z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