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Harshit\RBZ\Summary Sheet\Q1-Fy26\"/>
    </mc:Choice>
  </mc:AlternateContent>
  <bookViews>
    <workbookView xWindow="0" yWindow="0" windowWidth="20490" windowHeight="7020"/>
  </bookViews>
  <sheets>
    <sheet name="Summary Sheet" sheetId="5" r:id="rId1"/>
    <sheet name="peer sheet" sheetId="2" state="hidden" r:id="rId2"/>
  </sheets>
  <definedNames>
    <definedName name="_xlnm.Print_Area" localSheetId="0">'Summary Sheet'!#REF!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5" l="1"/>
  <c r="G24" i="5"/>
  <c r="G23" i="5"/>
  <c r="G21" i="5"/>
  <c r="G17" i="5"/>
  <c r="G14" i="5"/>
  <c r="G8" i="5"/>
  <c r="N60" i="5"/>
  <c r="N63" i="5" l="1"/>
  <c r="F52" i="5"/>
  <c r="F7" i="5"/>
  <c r="L73" i="5"/>
  <c r="M73" i="5"/>
  <c r="K73" i="5"/>
  <c r="J73" i="5"/>
  <c r="L71" i="5"/>
  <c r="M71" i="5"/>
  <c r="K71" i="5"/>
  <c r="J71" i="5"/>
  <c r="M60" i="5"/>
  <c r="M63" i="5" s="1"/>
  <c r="K42" i="5"/>
  <c r="C43" i="5"/>
  <c r="C8" i="5"/>
  <c r="C14" i="5" s="1"/>
  <c r="C54" i="5"/>
  <c r="F47" i="5"/>
  <c r="E47" i="5"/>
  <c r="D47" i="5"/>
  <c r="C47" i="5"/>
  <c r="L42" i="5"/>
  <c r="L38" i="5" s="1"/>
  <c r="M42" i="5"/>
  <c r="M38" i="5" s="1"/>
  <c r="K38" i="5"/>
  <c r="J49" i="5"/>
  <c r="J42" i="5"/>
  <c r="J38" i="5" s="1"/>
  <c r="L60" i="5"/>
  <c r="L63" i="5" s="1"/>
  <c r="K60" i="5"/>
  <c r="J60" i="5"/>
  <c r="F54" i="5"/>
  <c r="E54" i="5"/>
  <c r="D54" i="5"/>
  <c r="E52" i="5"/>
  <c r="M49" i="5"/>
  <c r="L49" i="5"/>
  <c r="K49" i="5"/>
  <c r="F46" i="5"/>
  <c r="F48" i="5" s="1"/>
  <c r="E46" i="5"/>
  <c r="E48" i="5" s="1"/>
  <c r="D46" i="5"/>
  <c r="C46" i="5"/>
  <c r="F43" i="5"/>
  <c r="E43" i="5"/>
  <c r="D43" i="5"/>
  <c r="C44" i="5"/>
  <c r="D39" i="5" s="1"/>
  <c r="F36" i="5"/>
  <c r="F35" i="5"/>
  <c r="E35" i="5"/>
  <c r="D35" i="5"/>
  <c r="M27" i="5"/>
  <c r="L27" i="5"/>
  <c r="K27" i="5"/>
  <c r="J27" i="5"/>
  <c r="M15" i="5"/>
  <c r="L15" i="5"/>
  <c r="K15" i="5"/>
  <c r="J15" i="5"/>
  <c r="M11" i="5"/>
  <c r="M76" i="5" s="1"/>
  <c r="L11" i="5"/>
  <c r="E53" i="5" s="1"/>
  <c r="K11" i="5"/>
  <c r="D53" i="5" s="1"/>
  <c r="J11" i="5"/>
  <c r="C53" i="5" s="1"/>
  <c r="F8" i="5"/>
  <c r="E8" i="5"/>
  <c r="E14" i="5" s="1"/>
  <c r="E21" i="5" s="1"/>
  <c r="D8" i="5"/>
  <c r="D14" i="5" s="1"/>
  <c r="M7" i="5"/>
  <c r="M61" i="5" s="1"/>
  <c r="M64" i="5" s="1"/>
  <c r="L7" i="5"/>
  <c r="L61" i="5" s="1"/>
  <c r="L64" i="5" s="1"/>
  <c r="K7" i="5"/>
  <c r="J7" i="5"/>
  <c r="F6" i="5"/>
  <c r="E6" i="5"/>
  <c r="D6" i="5"/>
  <c r="N77" i="5" l="1"/>
  <c r="C48" i="5"/>
  <c r="K47" i="5"/>
  <c r="D48" i="5"/>
  <c r="G29" i="5"/>
  <c r="J55" i="5"/>
  <c r="M56" i="5"/>
  <c r="J69" i="5"/>
  <c r="M47" i="5"/>
  <c r="J56" i="5"/>
  <c r="K56" i="5"/>
  <c r="L47" i="5"/>
  <c r="L75" i="5" s="1"/>
  <c r="L72" i="5"/>
  <c r="L74" i="5" s="1"/>
  <c r="L77" i="5"/>
  <c r="J78" i="5"/>
  <c r="J47" i="5"/>
  <c r="L56" i="5"/>
  <c r="J68" i="5"/>
  <c r="L68" i="5"/>
  <c r="L69" i="5"/>
  <c r="J72" i="5"/>
  <c r="M72" i="5"/>
  <c r="M74" i="5" s="1"/>
  <c r="M68" i="5"/>
  <c r="K68" i="5"/>
  <c r="M69" i="5"/>
  <c r="K69" i="5"/>
  <c r="K72" i="5"/>
  <c r="K74" i="5" s="1"/>
  <c r="J76" i="5"/>
  <c r="D44" i="5"/>
  <c r="E39" i="5" s="1"/>
  <c r="E44" i="5" s="1"/>
  <c r="F39" i="5" s="1"/>
  <c r="F44" i="5" s="1"/>
  <c r="K12" i="5"/>
  <c r="M12" i="5"/>
  <c r="L12" i="5"/>
  <c r="J12" i="5"/>
  <c r="L55" i="5"/>
  <c r="K55" i="5"/>
  <c r="M55" i="5"/>
  <c r="K76" i="5"/>
  <c r="E17" i="5"/>
  <c r="E15" i="5"/>
  <c r="E55" i="5"/>
  <c r="L65" i="5" s="1"/>
  <c r="C21" i="5"/>
  <c r="C17" i="5"/>
  <c r="D21" i="5"/>
  <c r="D17" i="5"/>
  <c r="D15" i="5"/>
  <c r="F14" i="5"/>
  <c r="F21" i="5" s="1"/>
  <c r="F53" i="5"/>
  <c r="F55" i="5" s="1"/>
  <c r="L76" i="5"/>
  <c r="M75" i="5" l="1"/>
  <c r="M77" i="5"/>
  <c r="L13" i="5"/>
  <c r="M78" i="5"/>
  <c r="M65" i="5"/>
  <c r="K77" i="5"/>
  <c r="J77" i="5"/>
  <c r="K13" i="5"/>
  <c r="L78" i="5"/>
  <c r="J75" i="5"/>
  <c r="K75" i="5"/>
  <c r="K78" i="5"/>
  <c r="M13" i="5"/>
  <c r="J74" i="5"/>
  <c r="F15" i="5"/>
  <c r="F17" i="5"/>
  <c r="F16" i="5"/>
  <c r="J13" i="5"/>
  <c r="D24" i="5"/>
  <c r="D23" i="5"/>
  <c r="C24" i="5"/>
  <c r="C23" i="5"/>
  <c r="E24" i="5"/>
  <c r="E23" i="5"/>
  <c r="K67" i="5" l="1"/>
  <c r="M67" i="5"/>
  <c r="L67" i="5"/>
  <c r="E29" i="5"/>
  <c r="E30" i="5" s="1"/>
  <c r="L66" i="5"/>
  <c r="C29" i="5"/>
  <c r="J66" i="5"/>
  <c r="D29" i="5"/>
  <c r="K66" i="5"/>
  <c r="J67" i="5"/>
  <c r="D25" i="5"/>
  <c r="E25" i="5"/>
  <c r="F23" i="5"/>
  <c r="F24" i="5"/>
  <c r="C25" i="5"/>
  <c r="F29" i="5" l="1"/>
  <c r="M66" i="5"/>
  <c r="F25" i="5"/>
  <c r="F26" i="5"/>
  <c r="D30" i="5"/>
  <c r="F31" i="5" l="1"/>
  <c r="F30" i="5"/>
  <c r="F42" i="2" l="1"/>
  <c r="F43" i="2" s="1"/>
  <c r="G42" i="2"/>
  <c r="G43" i="2" s="1"/>
  <c r="H42" i="2"/>
  <c r="I42" i="2"/>
  <c r="G14" i="2"/>
  <c r="G7" i="2"/>
  <c r="H46" i="2" l="1"/>
  <c r="H57" i="2" s="1"/>
  <c r="I46" i="2"/>
  <c r="I57" i="2" s="1"/>
  <c r="G30" i="2"/>
  <c r="G31" i="2" s="1"/>
  <c r="G26" i="2"/>
  <c r="F26" i="2"/>
  <c r="F15" i="2"/>
  <c r="G15" i="2"/>
  <c r="F8" i="2"/>
  <c r="F46" i="2" s="1"/>
  <c r="F57" i="2" s="1"/>
  <c r="G8" i="2"/>
  <c r="G10" i="2" s="1"/>
  <c r="G46" i="2" l="1"/>
  <c r="G57" i="2" s="1"/>
  <c r="F11" i="2"/>
  <c r="G11" i="2"/>
  <c r="D27" i="2"/>
  <c r="E27" i="2"/>
  <c r="F44" i="2"/>
  <c r="G44" i="2"/>
  <c r="H44" i="2"/>
  <c r="I44" i="2"/>
  <c r="D49" i="2"/>
  <c r="F48" i="2"/>
  <c r="F45" i="2" s="1"/>
  <c r="G48" i="2"/>
  <c r="G45" i="2" s="1"/>
  <c r="H48" i="2"/>
  <c r="H45" i="2" s="1"/>
  <c r="I48" i="2"/>
  <c r="I45" i="2" s="1"/>
  <c r="E49" i="2"/>
  <c r="F50" i="2"/>
  <c r="G50" i="2"/>
  <c r="H50" i="2"/>
  <c r="I50" i="2"/>
  <c r="F56" i="2"/>
  <c r="G56" i="2"/>
  <c r="H56" i="2"/>
  <c r="I56" i="2"/>
  <c r="F59" i="2"/>
  <c r="G59" i="2"/>
  <c r="H59" i="2"/>
  <c r="I59" i="2"/>
  <c r="D58" i="2"/>
  <c r="E58" i="2"/>
  <c r="F55" i="2"/>
  <c r="G55" i="2"/>
  <c r="H55" i="2"/>
  <c r="I55" i="2"/>
  <c r="F54" i="2"/>
  <c r="G54" i="2"/>
  <c r="H54" i="2"/>
  <c r="I54" i="2"/>
  <c r="D53" i="2"/>
  <c r="E53" i="2"/>
  <c r="D52" i="2"/>
  <c r="E52" i="2"/>
  <c r="D51" i="2"/>
  <c r="E51" i="2"/>
  <c r="D47" i="2"/>
  <c r="E47" i="2"/>
  <c r="E30" i="2"/>
  <c r="D32" i="2"/>
  <c r="E32" i="2"/>
  <c r="F38" i="2"/>
  <c r="G38" i="2"/>
  <c r="H38" i="2"/>
  <c r="I38" i="2"/>
  <c r="F37" i="2"/>
  <c r="G37" i="2"/>
  <c r="H37" i="2"/>
  <c r="I37" i="2"/>
  <c r="D35" i="2"/>
  <c r="E35" i="2"/>
  <c r="F35" i="2"/>
  <c r="G35" i="2"/>
  <c r="H35" i="2"/>
  <c r="I35" i="2"/>
  <c r="I34" i="2"/>
  <c r="F34" i="2"/>
  <c r="G34" i="2"/>
  <c r="H34" i="2"/>
  <c r="D34" i="2"/>
  <c r="E34" i="2"/>
  <c r="D25" i="2"/>
  <c r="E25" i="2"/>
  <c r="E26" i="2" s="1"/>
  <c r="D26" i="2" l="1"/>
  <c r="D21" i="2"/>
  <c r="E21" i="2"/>
  <c r="D22" i="2"/>
  <c r="E22" i="2"/>
  <c r="D19" i="2"/>
  <c r="D42" i="2" s="1"/>
  <c r="D43" i="2" s="1"/>
  <c r="D37" i="2" s="1"/>
  <c r="E19" i="2"/>
  <c r="D12" i="2"/>
  <c r="E12" i="2"/>
  <c r="D5" i="2"/>
  <c r="D50" i="2" s="1"/>
  <c r="E5" i="2"/>
  <c r="E8" i="2" s="1"/>
  <c r="D8" i="2" l="1"/>
  <c r="D44" i="2"/>
  <c r="E20" i="2"/>
  <c r="E54" i="2" s="1"/>
  <c r="D20" i="2"/>
  <c r="D54" i="2" s="1"/>
  <c r="D46" i="2"/>
  <c r="D38" i="2"/>
  <c r="E14" i="2"/>
  <c r="E44" i="2"/>
  <c r="E42" i="2"/>
  <c r="E43" i="2" s="1"/>
  <c r="E37" i="2" s="1"/>
  <c r="E48" i="2"/>
  <c r="E7" i="2"/>
  <c r="E50" i="2"/>
  <c r="D11" i="2"/>
  <c r="D15" i="2"/>
  <c r="D48" i="2"/>
  <c r="E55" i="2"/>
  <c r="E10" i="2"/>
  <c r="E46" i="2"/>
  <c r="E11" i="2"/>
  <c r="E15" i="2"/>
  <c r="C56" i="2"/>
  <c r="B56" i="2"/>
  <c r="C50" i="2"/>
  <c r="B50" i="2"/>
  <c r="C48" i="2"/>
  <c r="B48" i="2"/>
  <c r="C46" i="2"/>
  <c r="B46" i="2"/>
  <c r="C44" i="2"/>
  <c r="B44" i="2"/>
  <c r="C42" i="2"/>
  <c r="C43" i="2" s="1"/>
  <c r="C37" i="2" s="1"/>
  <c r="B42" i="2"/>
  <c r="B43" i="2" s="1"/>
  <c r="B37" i="2" s="1"/>
  <c r="C35" i="2"/>
  <c r="B35" i="2"/>
  <c r="C34" i="2"/>
  <c r="B34" i="2"/>
  <c r="C30" i="2"/>
  <c r="B30" i="2"/>
  <c r="C26" i="2"/>
  <c r="B26" i="2"/>
  <c r="C20" i="2"/>
  <c r="C59" i="2" s="1"/>
  <c r="B20" i="2"/>
  <c r="B59" i="2" s="1"/>
  <c r="C15" i="2"/>
  <c r="B15" i="2"/>
  <c r="C14" i="2"/>
  <c r="C11" i="2"/>
  <c r="B11" i="2"/>
  <c r="C10" i="2"/>
  <c r="C7" i="2"/>
  <c r="E59" i="2" l="1"/>
  <c r="D59" i="2"/>
  <c r="E31" i="2"/>
  <c r="E38" i="2" s="1"/>
  <c r="C45" i="2"/>
  <c r="D55" i="2"/>
  <c r="C31" i="2"/>
  <c r="C38" i="2" s="1"/>
  <c r="B45" i="2"/>
  <c r="B31" i="2"/>
  <c r="B38" i="2" s="1"/>
  <c r="E45" i="2"/>
  <c r="E57" i="2"/>
  <c r="E56" i="2" s="1"/>
  <c r="B54" i="2"/>
  <c r="C54" i="2"/>
  <c r="D45" i="2"/>
  <c r="D57" i="2"/>
  <c r="D56" i="2" s="1"/>
  <c r="B55" i="2"/>
  <c r="C55" i="2"/>
</calcChain>
</file>

<file path=xl/sharedStrings.xml><?xml version="1.0" encoding="utf-8"?>
<sst xmlns="http://schemas.openxmlformats.org/spreadsheetml/2006/main" count="283" uniqueCount="168">
  <si>
    <t>Income</t>
  </si>
  <si>
    <t>Growth (%)</t>
  </si>
  <si>
    <t>CAGR (%) - 3 Years</t>
  </si>
  <si>
    <t>Expenditure</t>
  </si>
  <si>
    <t>EBITDA</t>
  </si>
  <si>
    <t>EBITDA margin (%)</t>
  </si>
  <si>
    <t>Depreciation</t>
  </si>
  <si>
    <t>PBT</t>
  </si>
  <si>
    <t>Tax</t>
  </si>
  <si>
    <t>Effective tax rate (%)</t>
  </si>
  <si>
    <t>PAT</t>
  </si>
  <si>
    <t>PAT margin (%)</t>
  </si>
  <si>
    <t>Minority Interest</t>
  </si>
  <si>
    <t>Other Comprehensive Income</t>
  </si>
  <si>
    <t>EPS</t>
  </si>
  <si>
    <t>FY21</t>
  </si>
  <si>
    <t>Consolidated Income Statement</t>
  </si>
  <si>
    <t>Networth/Shareholders Fund/ Book Value</t>
  </si>
  <si>
    <t>Long Term Debt</t>
  </si>
  <si>
    <t>Short Term Debt</t>
  </si>
  <si>
    <t>Loans</t>
  </si>
  <si>
    <t>Capital Employed</t>
  </si>
  <si>
    <t>Consolidated Balance Sheet</t>
  </si>
  <si>
    <t>NON-CURRENT ASSETS</t>
  </si>
  <si>
    <t>Property, plant &amp; equipment</t>
  </si>
  <si>
    <t>Financial assets</t>
  </si>
  <si>
    <t>CURRENT ASSETS, LOANS &amp; ADVANCES</t>
  </si>
  <si>
    <t>Inventories</t>
  </si>
  <si>
    <t>Other Current Assets</t>
  </si>
  <si>
    <t>CURRENT LIABILITIES &amp; PROVISIONS</t>
  </si>
  <si>
    <t>NET CURRENT ASSETS</t>
  </si>
  <si>
    <t>TOTAL ASSETS</t>
  </si>
  <si>
    <t>TOTAL LIABILITIES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</si>
  <si>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</si>
  <si>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</si>
  <si>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</si>
  <si>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</si>
  <si>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</si>
  <si>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</si>
  <si>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</si>
  <si>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</si>
  <si>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</si>
  <si>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</si>
  <si>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</si>
  <si>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</si>
  <si>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</si>
  <si>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</si>
  <si>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</si>
  <si>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</si>
  <si>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</si>
  <si>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</si>
  <si>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</si>
  <si>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</si>
  <si>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</si>
  <si>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</si>
  <si>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</si>
  <si>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</si>
  <si>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</si>
  <si>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</si>
  <si>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</si>
  <si>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</si>
  <si>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</si>
  <si>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</si>
  <si>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</si>
  <si>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</si>
  <si>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</si>
  <si>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Capital Work-in-progress</t>
  </si>
  <si>
    <t>Provisions</t>
  </si>
  <si>
    <t>-</t>
  </si>
  <si>
    <t>FY22</t>
  </si>
  <si>
    <t>Consolidated (In Mn)</t>
  </si>
  <si>
    <t>Phoenix Mills</t>
  </si>
  <si>
    <t>P&amp;L Comparison</t>
  </si>
  <si>
    <t>Total Income/Operational Income</t>
  </si>
  <si>
    <t>Total Income/Operational Income 2019 (FY21 -AR)</t>
  </si>
  <si>
    <t>3 Years CAGR (%)</t>
  </si>
  <si>
    <t xml:space="preserve">EBITDA </t>
  </si>
  <si>
    <t>EBITDA 2019(Calculate from ARFY21/Ratestar)</t>
  </si>
  <si>
    <t>EBITDA Margin (%)</t>
  </si>
  <si>
    <t>PAT 2019 (FY21-AR)</t>
  </si>
  <si>
    <t>PAT Margin (%)</t>
  </si>
  <si>
    <t>Balance Sheet Comparision</t>
  </si>
  <si>
    <t>Total Networth (Total Equity)</t>
  </si>
  <si>
    <t>Long Term</t>
  </si>
  <si>
    <t>Short Term</t>
  </si>
  <si>
    <t>Cash Flow</t>
  </si>
  <si>
    <t>CFO</t>
  </si>
  <si>
    <t>Purchase of Plant &amp; Machinery</t>
  </si>
  <si>
    <t>No. of Shares (In Mn)</t>
  </si>
  <si>
    <t>Enterprise Value</t>
  </si>
  <si>
    <t>Cash &amp; Cash Equvivalents</t>
  </si>
  <si>
    <t>Stock P/E</t>
  </si>
  <si>
    <t>Dividend (Total= interim + Final)</t>
  </si>
  <si>
    <t>P/B</t>
  </si>
  <si>
    <t>EV/ EBITDA</t>
  </si>
  <si>
    <t>Operational Ratios Comparison</t>
  </si>
  <si>
    <t>CMP (As on 31st March FY21 &amp; FY22)</t>
  </si>
  <si>
    <t>Book Value</t>
  </si>
  <si>
    <t>Book Value Per Share</t>
  </si>
  <si>
    <t>ROE</t>
  </si>
  <si>
    <t>ROCE</t>
  </si>
  <si>
    <t>EBIT</t>
  </si>
  <si>
    <t>Capital Employeed</t>
  </si>
  <si>
    <t>Non Current Liabilities</t>
  </si>
  <si>
    <t>Fixed Asset Turnover</t>
  </si>
  <si>
    <t>PPE -Balance Sheet</t>
  </si>
  <si>
    <t>CWIP - Balance Sheet</t>
  </si>
  <si>
    <t>Investment- Balance Sheet</t>
  </si>
  <si>
    <t>Gross Debt/Equity</t>
  </si>
  <si>
    <t>Net Debt/Equity</t>
  </si>
  <si>
    <t>Interest Coverage Ratio</t>
  </si>
  <si>
    <t>Finance Cost</t>
  </si>
  <si>
    <t>Interest Cost (%)</t>
  </si>
  <si>
    <t>Mallcom</t>
  </si>
  <si>
    <t>Arvind</t>
  </si>
  <si>
    <t>Bata</t>
  </si>
  <si>
    <t>Liberty Shoes</t>
  </si>
  <si>
    <t>Asset Turnover Ratio</t>
  </si>
  <si>
    <t>NA</t>
  </si>
  <si>
    <t>NON CURRENT LIABILITIES</t>
  </si>
  <si>
    <t>FY23</t>
  </si>
  <si>
    <t>Market Cap (Rs. Mn)</t>
  </si>
  <si>
    <t>FY24</t>
  </si>
  <si>
    <t>FY25</t>
  </si>
  <si>
    <t>Cost of material consumed</t>
  </si>
  <si>
    <t>Employee benefit expense</t>
  </si>
  <si>
    <t>Other income</t>
  </si>
  <si>
    <t>Depreciation and amortisation expense</t>
  </si>
  <si>
    <t>Finance costs</t>
  </si>
  <si>
    <t>Basic</t>
  </si>
  <si>
    <t>Diluted</t>
  </si>
  <si>
    <t>Reserves and Surplus</t>
  </si>
  <si>
    <t>(iii) Other financial assets</t>
  </si>
  <si>
    <t>Right-of-use assets</t>
  </si>
  <si>
    <t xml:space="preserve">Intangible assets </t>
  </si>
  <si>
    <t>Intangible assets under development</t>
  </si>
  <si>
    <t>(i) Invetsments</t>
  </si>
  <si>
    <t>(ii) Loans</t>
  </si>
  <si>
    <t>Other non-current assets</t>
  </si>
  <si>
    <t>Financial Liabilities</t>
  </si>
  <si>
    <t xml:space="preserve">(i) Borrowings </t>
  </si>
  <si>
    <t>Other current liabilities</t>
  </si>
  <si>
    <t>Financial liabilities</t>
  </si>
  <si>
    <t>(i) Borrowings</t>
  </si>
  <si>
    <t>(ii) Lease liabilities</t>
  </si>
  <si>
    <t>FCFF</t>
  </si>
  <si>
    <t>Free Cash Flow (INR Mn)</t>
  </si>
  <si>
    <t>March Year Ended (INR Mn)</t>
  </si>
  <si>
    <t>Cash Flow Statement (INR Mn)</t>
  </si>
  <si>
    <t>Ratios</t>
  </si>
  <si>
    <t>INR Mn</t>
  </si>
  <si>
    <t>RBZ Jewellers Limited</t>
  </si>
  <si>
    <t>Purchase of traded goods</t>
  </si>
  <si>
    <t>Changes in inventories of finished goods and stock- in-progress</t>
  </si>
  <si>
    <t>Other expenses</t>
  </si>
  <si>
    <t>Equity Share Capital</t>
  </si>
  <si>
    <t>Current tax assets (net)</t>
  </si>
  <si>
    <t>(iii) Trade payables</t>
  </si>
  <si>
    <t>Current tax liabilities (net)</t>
  </si>
  <si>
    <t>Deferred tax liabilities (net)</t>
  </si>
  <si>
    <t>(i) Trade Receivable</t>
  </si>
  <si>
    <t>(ii) Cash and cash equivalents</t>
  </si>
  <si>
    <t>(iii) Other bank balances</t>
  </si>
  <si>
    <t xml:space="preserve">(iv) Loans </t>
  </si>
  <si>
    <t xml:space="preserve">  (v) Others financial assets</t>
  </si>
  <si>
    <t>(iv) Other financial liabilities</t>
  </si>
  <si>
    <t>Total Comprehensive Income</t>
  </si>
  <si>
    <t>Q1-FY26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</si>
</sst>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_ * #,##0.000_ ;_ * \-#,##0.000_ ;_ * &quot;-&quot;??_ ;_ @_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MyFirstFon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9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166" fontId="0" fillId="0" borderId="5" xfId="1" applyNumberFormat="1" applyFont="1" applyFill="1" applyBorder="1"/>
    <xf numFmtId="166" fontId="0" fillId="0" borderId="5" xfId="1" applyNumberFormat="1" applyFont="1" applyBorder="1"/>
    <xf numFmtId="166" fontId="0" fillId="0" borderId="6" xfId="1" applyNumberFormat="1" applyFont="1" applyBorder="1"/>
    <xf numFmtId="0" fontId="0" fillId="0" borderId="5" xfId="0" applyBorder="1" applyAlignment="1">
      <alignment horizontal="right"/>
    </xf>
    <xf numFmtId="166" fontId="0" fillId="0" borderId="5" xfId="1" applyNumberFormat="1" applyFont="1" applyBorder="1" applyAlignment="1">
      <alignment horizontal="right"/>
    </xf>
    <xf numFmtId="43" fontId="0" fillId="0" borderId="5" xfId="1" applyFont="1" applyBorder="1" applyAlignment="1">
      <alignment horizontal="right"/>
    </xf>
    <xf numFmtId="10" fontId="4" fillId="0" borderId="5" xfId="2" applyNumberFormat="1" applyFont="1" applyFill="1" applyBorder="1"/>
    <xf numFmtId="10" fontId="4" fillId="0" borderId="5" xfId="2" applyNumberFormat="1" applyFont="1" applyBorder="1"/>
    <xf numFmtId="10" fontId="0" fillId="0" borderId="5" xfId="2" applyNumberFormat="1" applyFont="1" applyBorder="1"/>
    <xf numFmtId="43" fontId="0" fillId="0" borderId="5" xfId="1" applyFont="1" applyBorder="1"/>
    <xf numFmtId="43" fontId="0" fillId="0" borderId="6" xfId="1" applyFont="1" applyBorder="1"/>
    <xf numFmtId="166" fontId="0" fillId="0" borderId="5" xfId="0" applyNumberFormat="1" applyBorder="1"/>
    <xf numFmtId="2" fontId="0" fillId="0" borderId="5" xfId="0" applyNumberFormat="1" applyBorder="1"/>
    <xf numFmtId="43" fontId="0" fillId="0" borderId="5" xfId="0" applyNumberFormat="1" applyBorder="1"/>
    <xf numFmtId="10" fontId="0" fillId="0" borderId="5" xfId="2" applyNumberFormat="1" applyFont="1" applyFill="1" applyBorder="1"/>
    <xf numFmtId="43" fontId="0" fillId="0" borderId="5" xfId="1" applyFont="1" applyFill="1" applyBorder="1"/>
    <xf numFmtId="0" fontId="0" fillId="0" borderId="5" xfId="2" applyNumberFormat="1" applyFont="1" applyFill="1" applyBorder="1"/>
    <xf numFmtId="10" fontId="0" fillId="0" borderId="5" xfId="1" applyNumberFormat="1" applyFont="1" applyBorder="1"/>
    <xf numFmtId="10" fontId="0" fillId="0" borderId="6" xfId="2" applyNumberFormat="1" applyFont="1" applyBorder="1"/>
    <xf numFmtId="10" fontId="0" fillId="0" borderId="6" xfId="1" applyNumberFormat="1" applyFont="1" applyBorder="1"/>
    <xf numFmtId="166" fontId="0" fillId="0" borderId="5" xfId="2" applyNumberFormat="1" applyFont="1" applyFill="1" applyBorder="1"/>
    <xf numFmtId="2" fontId="0" fillId="0" borderId="5" xfId="2" applyNumberFormat="1" applyFont="1" applyBorder="1"/>
    <xf numFmtId="0" fontId="0" fillId="0" borderId="7" xfId="0" applyBorder="1"/>
    <xf numFmtId="0" fontId="0" fillId="0" borderId="7" xfId="2" applyNumberFormat="1" applyFont="1" applyFill="1" applyBorder="1"/>
    <xf numFmtId="10" fontId="0" fillId="0" borderId="8" xfId="2" applyNumberFormat="1" applyFont="1" applyBorder="1"/>
    <xf numFmtId="0" fontId="0" fillId="0" borderId="5" xfId="2" applyNumberFormat="1" applyFont="1" applyBorder="1"/>
    <xf numFmtId="10" fontId="0" fillId="0" borderId="7" xfId="2" applyNumberFormat="1" applyFont="1" applyFill="1" applyBorder="1"/>
    <xf numFmtId="0" fontId="0" fillId="0" borderId="5" xfId="1" applyNumberFormat="1" applyFont="1" applyBorder="1"/>
    <xf numFmtId="0" fontId="6" fillId="0" borderId="0" xfId="0" applyFont="1"/>
    <xf numFmtId="10" fontId="0" fillId="0" borderId="1" xfId="2" applyNumberFormat="1" applyFont="1" applyBorder="1"/>
    <xf numFmtId="0" fontId="0" fillId="0" borderId="1" xfId="0" applyBorder="1"/>
    <xf numFmtId="43" fontId="0" fillId="0" borderId="1" xfId="1" applyFont="1" applyBorder="1"/>
    <xf numFmtId="43" fontId="1" fillId="0" borderId="1" xfId="1" applyFont="1" applyBorder="1"/>
    <xf numFmtId="0" fontId="10" fillId="0" borderId="1" xfId="0" applyFont="1" applyBorder="1"/>
    <xf numFmtId="0" fontId="0" fillId="0" borderId="1" xfId="0" applyBorder="1" applyAlignment="1">
      <alignment horizontal="left" indent="1"/>
    </xf>
    <xf numFmtId="0" fontId="1" fillId="0" borderId="1" xfId="0" applyFont="1" applyBorder="1"/>
    <xf numFmtId="0" fontId="0" fillId="0" borderId="1" xfId="0" applyBorder="1" applyAlignment="1">
      <alignment horizontal="left" indent="2"/>
    </xf>
    <xf numFmtId="0" fontId="1" fillId="0" borderId="7" xfId="0" applyFont="1" applyBorder="1"/>
    <xf numFmtId="0" fontId="0" fillId="2" borderId="1" xfId="0" applyFill="1" applyBorder="1"/>
    <xf numFmtId="164" fontId="0" fillId="0" borderId="1" xfId="0" applyNumberFormat="1" applyBorder="1" applyAlignment="1">
      <alignment horizontal="left" indent="1"/>
    </xf>
    <xf numFmtId="165" fontId="0" fillId="0" borderId="1" xfId="0" applyNumberFormat="1" applyBorder="1" applyAlignment="1">
      <alignment horizontal="left" indent="1"/>
    </xf>
    <xf numFmtId="0" fontId="10" fillId="0" borderId="1" xfId="0" applyFont="1" applyBorder="1" applyAlignment="1">
      <alignment horizontal="left" indent="1"/>
    </xf>
    <xf numFmtId="0" fontId="1" fillId="2" borderId="1" xfId="0" applyFont="1" applyFill="1" applyBorder="1"/>
    <xf numFmtId="0" fontId="1" fillId="4" borderId="1" xfId="0" applyFont="1" applyFill="1" applyBorder="1" applyAlignment="1">
      <alignment horizontal="left"/>
    </xf>
    <xf numFmtId="43" fontId="0" fillId="0" borderId="0" xfId="0" applyNumberFormat="1"/>
    <xf numFmtId="167" fontId="0" fillId="0" borderId="1" xfId="1" applyNumberFormat="1" applyFont="1" applyBorder="1"/>
    <xf numFmtId="0" fontId="0" fillId="0" borderId="1" xfId="0" applyBorder="1" applyAlignment="1">
      <alignment horizontal="right"/>
    </xf>
    <xf numFmtId="43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horizontal="left" indent="1"/>
    </xf>
    <xf numFmtId="167" fontId="0" fillId="0" borderId="1" xfId="1" applyNumberFormat="1" applyFont="1" applyFill="1" applyBorder="1"/>
    <xf numFmtId="167" fontId="0" fillId="0" borderId="7" xfId="1" applyNumberFormat="1" applyFont="1" applyBorder="1"/>
    <xf numFmtId="167" fontId="1" fillId="2" borderId="1" xfId="1" applyNumberFormat="1" applyFont="1" applyFill="1" applyBorder="1"/>
    <xf numFmtId="167" fontId="0" fillId="0" borderId="1" xfId="0" applyNumberFormat="1" applyBorder="1"/>
    <xf numFmtId="167" fontId="0" fillId="2" borderId="1" xfId="1" applyNumberFormat="1" applyFont="1" applyFill="1" applyBorder="1"/>
    <xf numFmtId="167" fontId="0" fillId="2" borderId="1" xfId="0" applyNumberFormat="1" applyFill="1" applyBorder="1"/>
    <xf numFmtId="167" fontId="0" fillId="0" borderId="1" xfId="0" applyNumberFormat="1" applyBorder="1" applyAlignment="1">
      <alignment horizontal="right"/>
    </xf>
    <xf numFmtId="3" fontId="11" fillId="0" borderId="1" xfId="0" applyNumberFormat="1" applyFont="1" applyBorder="1"/>
    <xf numFmtId="167" fontId="0" fillId="0" borderId="1" xfId="1" applyNumberFormat="1" applyFont="1" applyBorder="1" applyAlignment="1">
      <alignment horizontal="right"/>
    </xf>
    <xf numFmtId="167" fontId="0" fillId="0" borderId="0" xfId="0" applyNumberFormat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/>
    <xf numFmtId="0" fontId="7" fillId="5" borderId="1" xfId="0" applyFont="1" applyFill="1" applyBorder="1"/>
    <xf numFmtId="43" fontId="7" fillId="5" borderId="1" xfId="1" applyFont="1" applyFill="1" applyBorder="1"/>
    <xf numFmtId="10" fontId="7" fillId="5" borderId="1" xfId="2" applyNumberFormat="1" applyFont="1" applyFill="1" applyBorder="1"/>
    <xf numFmtId="10" fontId="7" fillId="5" borderId="1" xfId="0" applyNumberFormat="1" applyFont="1" applyFill="1" applyBorder="1"/>
    <xf numFmtId="0" fontId="1" fillId="4" borderId="1" xfId="0" applyFont="1" applyFill="1" applyBorder="1"/>
    <xf numFmtId="167" fontId="1" fillId="4" borderId="1" xfId="1" applyNumberFormat="1" applyFont="1" applyFill="1" applyBorder="1"/>
    <xf numFmtId="0" fontId="1" fillId="3" borderId="1" xfId="0" applyFont="1" applyFill="1" applyBorder="1"/>
    <xf numFmtId="0" fontId="3" fillId="4" borderId="1" xfId="0" applyFont="1" applyFill="1" applyBorder="1"/>
    <xf numFmtId="10" fontId="1" fillId="5" borderId="1" xfId="2" applyNumberFormat="1" applyFont="1" applyFill="1" applyBorder="1"/>
    <xf numFmtId="10" fontId="0" fillId="5" borderId="1" xfId="2" applyNumberFormat="1" applyFont="1" applyFill="1" applyBorder="1"/>
    <xf numFmtId="0" fontId="0" fillId="5" borderId="1" xfId="0" applyFill="1" applyBorder="1"/>
    <xf numFmtId="0" fontId="3" fillId="3" borderId="1" xfId="0" applyFont="1" applyFill="1" applyBorder="1"/>
    <xf numFmtId="43" fontId="1" fillId="4" borderId="1" xfId="1" applyFont="1" applyFill="1" applyBorder="1"/>
    <xf numFmtId="168" fontId="1" fillId="4" borderId="1" xfId="1" applyNumberFormat="1" applyFont="1" applyFill="1" applyBorder="1"/>
    <xf numFmtId="168" fontId="0" fillId="0" borderId="1" xfId="1" applyNumberFormat="1" applyFont="1" applyBorder="1"/>
    <xf numFmtId="165" fontId="0" fillId="0" borderId="1" xfId="2" applyNumberFormat="1" applyFont="1" applyBorder="1"/>
    <xf numFmtId="167" fontId="1" fillId="0" borderId="1" xfId="1" applyNumberFormat="1" applyFont="1" applyFill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7" fontId="6" fillId="0" borderId="1" xfId="0" applyNumberFormat="1" applyFont="1" applyBorder="1"/>
    <xf numFmtId="167" fontId="0" fillId="0" borderId="1" xfId="0" applyNumberFormat="1" applyFill="1" applyBorder="1"/>
    <xf numFmtId="43" fontId="0" fillId="0" borderId="1" xfId="1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78"/>
  <sheetViews>
    <sheetView tabSelected="1" zoomScale="70" zoomScaleNormal="70" workbookViewId="0">
      <selection activeCell="I13" sqref="I13"/>
    </sheetView>
  </sheetViews>
  <sheetFormatPr defaultRowHeight="15" x14ac:dyDescent="0.25"/>
  <cols>
    <col min="2" max="2" width="57.7109375" bestFit="1" customWidth="1"/>
    <col min="3" max="3" width="12.7109375" bestFit="1" customWidth="1"/>
    <col min="4" max="4" width="13.28515625" customWidth="1"/>
    <col min="5" max="5" width="12.28515625" customWidth="1"/>
    <col min="6" max="6" width="12" bestFit="1" customWidth="1"/>
    <col min="7" max="7" width="12" customWidth="1"/>
    <col min="9" max="9" width="38.7109375" bestFit="1" customWidth="1"/>
    <col min="10" max="13" width="9.85546875" bestFit="1" customWidth="1"/>
    <col min="14" max="14" width="13" bestFit="1" customWidth="1"/>
  </cols>
  <sheetData>
    <row r="2" spans="2:13" ht="18.75" x14ac:dyDescent="0.3">
      <c r="B2" s="97" t="s">
        <v>151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2:13" x14ac:dyDescent="0.25">
      <c r="B3" s="94" t="s">
        <v>16</v>
      </c>
      <c r="C3" s="94"/>
      <c r="D3" s="94"/>
      <c r="E3" s="94"/>
      <c r="F3" s="95"/>
      <c r="G3" s="96"/>
      <c r="I3" s="94" t="s">
        <v>22</v>
      </c>
      <c r="J3" s="94"/>
      <c r="K3" s="94"/>
      <c r="L3" s="94"/>
      <c r="M3" s="94"/>
    </row>
    <row r="4" spans="2:13" x14ac:dyDescent="0.25">
      <c r="B4" s="67" t="s">
        <v>147</v>
      </c>
      <c r="C4" s="68" t="s">
        <v>69</v>
      </c>
      <c r="D4" s="68" t="s">
        <v>120</v>
      </c>
      <c r="E4" s="68" t="s">
        <v>122</v>
      </c>
      <c r="F4" s="68" t="s">
        <v>123</v>
      </c>
      <c r="G4" s="68" t="s">
        <v>167</v>
      </c>
      <c r="I4" s="67" t="s">
        <v>147</v>
      </c>
      <c r="J4" s="68" t="s">
        <v>69</v>
      </c>
      <c r="K4" s="68" t="s">
        <v>120</v>
      </c>
      <c r="L4" s="68" t="s">
        <v>122</v>
      </c>
      <c r="M4" s="68" t="s">
        <v>123</v>
      </c>
    </row>
    <row r="5" spans="2:13" x14ac:dyDescent="0.25">
      <c r="B5" s="36" t="s">
        <v>0</v>
      </c>
      <c r="C5" s="51">
        <v>2521.067</v>
      </c>
      <c r="D5" s="51">
        <v>2879.2779999999998</v>
      </c>
      <c r="E5" s="51">
        <v>3274.393</v>
      </c>
      <c r="F5" s="51">
        <v>5301.4849999999997</v>
      </c>
      <c r="G5" s="51">
        <v>755.82899999999995</v>
      </c>
      <c r="I5" s="40" t="s">
        <v>155</v>
      </c>
      <c r="J5" s="51">
        <v>40</v>
      </c>
      <c r="K5" s="51">
        <v>300</v>
      </c>
      <c r="L5" s="51">
        <v>400</v>
      </c>
      <c r="M5" s="51">
        <v>400</v>
      </c>
    </row>
    <row r="6" spans="2:13" x14ac:dyDescent="0.25">
      <c r="B6" s="70" t="s">
        <v>1</v>
      </c>
      <c r="C6" s="71" t="s">
        <v>118</v>
      </c>
      <c r="D6" s="72">
        <f>D5/C5-1</f>
        <v>0.14208706075641775</v>
      </c>
      <c r="E6" s="72">
        <f t="shared" ref="E6" si="0">E5/D5-1</f>
        <v>0.13722711040753977</v>
      </c>
      <c r="F6" s="72">
        <f>F5/E5-1</f>
        <v>0.61907413068620643</v>
      </c>
      <c r="G6" s="71">
        <v>0</v>
      </c>
      <c r="I6" s="40" t="s">
        <v>131</v>
      </c>
      <c r="J6" s="51">
        <v>660.32500000000005</v>
      </c>
      <c r="K6" s="51">
        <v>624.67700000000002</v>
      </c>
      <c r="L6" s="51">
        <v>1674.922</v>
      </c>
      <c r="M6" s="51">
        <v>2050.4180000000001</v>
      </c>
    </row>
    <row r="7" spans="2:13" x14ac:dyDescent="0.25">
      <c r="B7" s="70" t="s">
        <v>2</v>
      </c>
      <c r="C7" s="71" t="s">
        <v>118</v>
      </c>
      <c r="D7" s="71" t="s">
        <v>118</v>
      </c>
      <c r="E7" s="71" t="s">
        <v>118</v>
      </c>
      <c r="F7" s="73">
        <f>+((F5/C5)^(1/3)-1)</f>
        <v>0.28116298629312553</v>
      </c>
      <c r="G7" s="71">
        <v>0</v>
      </c>
      <c r="I7" s="49" t="s">
        <v>17</v>
      </c>
      <c r="J7" s="75">
        <f>J5+J6</f>
        <v>700.32500000000005</v>
      </c>
      <c r="K7" s="75">
        <f t="shared" ref="K7:M7" si="1">K5+K6</f>
        <v>924.67700000000002</v>
      </c>
      <c r="L7" s="83">
        <f t="shared" si="1"/>
        <v>2074.922</v>
      </c>
      <c r="M7" s="83">
        <f t="shared" si="1"/>
        <v>2450.4180000000001</v>
      </c>
    </row>
    <row r="8" spans="2:13" x14ac:dyDescent="0.25">
      <c r="B8" s="74" t="s">
        <v>3</v>
      </c>
      <c r="C8" s="75">
        <f>SUM(C9:C13)</f>
        <v>2253.3479999999995</v>
      </c>
      <c r="D8" s="75">
        <f>SUM(D9:D13)</f>
        <v>2501.6420000000003</v>
      </c>
      <c r="E8" s="75">
        <f>SUM(E9:E13)</f>
        <v>2892.1499999999996</v>
      </c>
      <c r="F8" s="75">
        <f>SUM(F9:F13)</f>
        <v>4658.5819999999994</v>
      </c>
      <c r="G8" s="75">
        <f>SUM(G9:G13)</f>
        <v>626.00099999999998</v>
      </c>
      <c r="I8" s="40" t="s">
        <v>12</v>
      </c>
      <c r="J8" s="63" t="s">
        <v>68</v>
      </c>
      <c r="K8" s="63" t="s">
        <v>68</v>
      </c>
      <c r="L8" s="63" t="s">
        <v>68</v>
      </c>
      <c r="M8" s="63" t="s">
        <v>68</v>
      </c>
    </row>
    <row r="9" spans="2:13" x14ac:dyDescent="0.25">
      <c r="B9" s="36" t="s">
        <v>124</v>
      </c>
      <c r="C9" s="51">
        <v>1438.76</v>
      </c>
      <c r="D9" s="51">
        <v>1346.001</v>
      </c>
      <c r="E9" s="51">
        <v>1081.4970000000001</v>
      </c>
      <c r="F9" s="51">
        <v>2262.6469999999999</v>
      </c>
      <c r="G9" s="51">
        <v>216.76499999999999</v>
      </c>
      <c r="I9" s="40" t="s">
        <v>18</v>
      </c>
      <c r="J9" s="51">
        <v>85.488</v>
      </c>
      <c r="K9" s="51">
        <v>231.249</v>
      </c>
      <c r="L9" s="51">
        <v>199.89599999999999</v>
      </c>
      <c r="M9" s="51">
        <v>7.4169999999999998</v>
      </c>
    </row>
    <row r="10" spans="2:13" x14ac:dyDescent="0.25">
      <c r="B10" s="36" t="s">
        <v>152</v>
      </c>
      <c r="C10" s="51">
        <v>924.37800000000004</v>
      </c>
      <c r="D10" s="51">
        <v>1288.1949999999999</v>
      </c>
      <c r="E10" s="51">
        <v>2003.6669999999999</v>
      </c>
      <c r="F10" s="51">
        <v>2123.701</v>
      </c>
      <c r="G10" s="51">
        <v>391.77800000000002</v>
      </c>
      <c r="I10" s="40" t="s">
        <v>19</v>
      </c>
      <c r="J10" s="51">
        <v>511.63200000000001</v>
      </c>
      <c r="K10" s="51">
        <v>726.69899999999996</v>
      </c>
      <c r="L10" s="51">
        <v>491.97500000000002</v>
      </c>
      <c r="M10" s="51">
        <v>860.92100000000005</v>
      </c>
    </row>
    <row r="11" spans="2:13" x14ac:dyDescent="0.25">
      <c r="B11" s="36" t="s">
        <v>153</v>
      </c>
      <c r="C11" s="51">
        <v>-279.54500000000002</v>
      </c>
      <c r="D11" s="51">
        <v>-377.53699999999998</v>
      </c>
      <c r="E11" s="51">
        <v>-471.68299999999999</v>
      </c>
      <c r="F11" s="51">
        <v>-200.30699999999999</v>
      </c>
      <c r="G11" s="51">
        <v>-86.281000000000006</v>
      </c>
      <c r="I11" s="49" t="s">
        <v>20</v>
      </c>
      <c r="J11" s="75">
        <f>J9+J10</f>
        <v>597.12</v>
      </c>
      <c r="K11" s="75">
        <f t="shared" ref="K11:M11" si="2">K9+K10</f>
        <v>957.94799999999998</v>
      </c>
      <c r="L11" s="75">
        <f t="shared" si="2"/>
        <v>691.87099999999998</v>
      </c>
      <c r="M11" s="75">
        <f t="shared" si="2"/>
        <v>868.33800000000008</v>
      </c>
    </row>
    <row r="12" spans="2:13" x14ac:dyDescent="0.25">
      <c r="B12" s="36" t="s">
        <v>125</v>
      </c>
      <c r="C12" s="51">
        <v>54.133000000000003</v>
      </c>
      <c r="D12" s="51">
        <v>68.138999999999996</v>
      </c>
      <c r="E12" s="51">
        <v>86.88</v>
      </c>
      <c r="F12" s="51">
        <v>141.726</v>
      </c>
      <c r="G12" s="51">
        <v>36.840000000000003</v>
      </c>
      <c r="I12" s="49" t="s">
        <v>21</v>
      </c>
      <c r="J12" s="75">
        <f>J7+J49</f>
        <v>838.62100000000009</v>
      </c>
      <c r="K12" s="75">
        <f>K7+K49</f>
        <v>1173.6680000000001</v>
      </c>
      <c r="L12" s="75">
        <f>L7+L49</f>
        <v>2287.962</v>
      </c>
      <c r="M12" s="75">
        <f>M7+M49</f>
        <v>2516.636</v>
      </c>
    </row>
    <row r="13" spans="2:13" x14ac:dyDescent="0.25">
      <c r="B13" s="36" t="s">
        <v>154</v>
      </c>
      <c r="C13" s="51">
        <v>115.622</v>
      </c>
      <c r="D13" s="51">
        <v>176.84399999999999</v>
      </c>
      <c r="E13" s="51">
        <v>191.78899999999999</v>
      </c>
      <c r="F13" s="51">
        <v>330.815</v>
      </c>
      <c r="G13" s="51">
        <v>66.899000000000001</v>
      </c>
      <c r="I13" s="49" t="s">
        <v>21</v>
      </c>
      <c r="J13" s="75">
        <f>J55-J38</f>
        <v>838.62099999999998</v>
      </c>
      <c r="K13" s="75">
        <f>K55-K38</f>
        <v>1173.6679999999997</v>
      </c>
      <c r="L13" s="75">
        <f>L55-L38</f>
        <v>2287.9660000000003</v>
      </c>
      <c r="M13" s="75">
        <f>M55-M38</f>
        <v>2516.6360000000004</v>
      </c>
    </row>
    <row r="14" spans="2:13" x14ac:dyDescent="0.25">
      <c r="B14" s="74" t="s">
        <v>4</v>
      </c>
      <c r="C14" s="75">
        <f>C5-C8</f>
        <v>267.71900000000051</v>
      </c>
      <c r="D14" s="75">
        <f t="shared" ref="D14:F14" si="3">D5-D8</f>
        <v>377.63599999999951</v>
      </c>
      <c r="E14" s="75">
        <f>E5-E8</f>
        <v>382.24300000000039</v>
      </c>
      <c r="F14" s="75">
        <f t="shared" si="3"/>
        <v>642.90300000000025</v>
      </c>
      <c r="G14" s="75">
        <f>G5-G8</f>
        <v>129.82799999999997</v>
      </c>
    </row>
    <row r="15" spans="2:13" x14ac:dyDescent="0.25">
      <c r="B15" s="70" t="s">
        <v>1</v>
      </c>
      <c r="C15" s="71" t="s">
        <v>118</v>
      </c>
      <c r="D15" s="72">
        <f>D14/C14-1</f>
        <v>0.41056854388369457</v>
      </c>
      <c r="E15" s="72">
        <f>E14/D14-1</f>
        <v>1.2199578430024838E-2</v>
      </c>
      <c r="F15" s="72">
        <f>F14/E14-1</f>
        <v>0.68192223271583674</v>
      </c>
      <c r="G15" s="71">
        <v>0</v>
      </c>
      <c r="I15" s="49" t="s">
        <v>23</v>
      </c>
      <c r="J15" s="83">
        <f>SUM(J16:J25)</f>
        <v>167.15600000000001</v>
      </c>
      <c r="K15" s="83">
        <f>SUM(K16:K25)</f>
        <v>261.78800000000001</v>
      </c>
      <c r="L15" s="82">
        <f>SUM(L16:L25)</f>
        <v>290.59399999999994</v>
      </c>
      <c r="M15" s="82">
        <f>SUM(M16:M25)</f>
        <v>355.697</v>
      </c>
    </row>
    <row r="16" spans="2:13" x14ac:dyDescent="0.25">
      <c r="B16" s="70" t="s">
        <v>2</v>
      </c>
      <c r="C16" s="71" t="s">
        <v>118</v>
      </c>
      <c r="D16" s="71" t="s">
        <v>118</v>
      </c>
      <c r="E16" s="71" t="s">
        <v>118</v>
      </c>
      <c r="F16" s="73">
        <f>+((F14/C14)^(1/3)-1)</f>
        <v>0.33912798523027443</v>
      </c>
      <c r="G16" s="71">
        <v>0</v>
      </c>
      <c r="I16" s="40" t="s">
        <v>24</v>
      </c>
      <c r="J16" s="51">
        <v>123.211</v>
      </c>
      <c r="K16" s="51">
        <v>252.12100000000001</v>
      </c>
      <c r="L16" s="84">
        <v>263.43799999999999</v>
      </c>
      <c r="M16" s="84">
        <v>269.24799999999999</v>
      </c>
    </row>
    <row r="17" spans="2:17" x14ac:dyDescent="0.25">
      <c r="B17" s="69" t="s">
        <v>5</v>
      </c>
      <c r="C17" s="78">
        <f>C14/C5</f>
        <v>0.10619273506019496</v>
      </c>
      <c r="D17" s="78">
        <f t="shared" ref="D17:F17" si="4">D14/D5</f>
        <v>0.13115649131483639</v>
      </c>
      <c r="E17" s="78">
        <f>E14/E5</f>
        <v>0.11673705630325999</v>
      </c>
      <c r="F17" s="78">
        <f t="shared" si="4"/>
        <v>0.12126847477640704</v>
      </c>
      <c r="G17" s="78">
        <f>G14/G5</f>
        <v>0.17176901124460689</v>
      </c>
      <c r="I17" s="40" t="s">
        <v>66</v>
      </c>
      <c r="J17" s="51">
        <v>7.4340000000000002</v>
      </c>
      <c r="K17" s="51">
        <v>8.8840000000000003</v>
      </c>
      <c r="L17" s="51">
        <v>0</v>
      </c>
      <c r="M17" s="84">
        <v>25.478000000000002</v>
      </c>
    </row>
    <row r="18" spans="2:17" x14ac:dyDescent="0.25">
      <c r="B18" s="36" t="s">
        <v>126</v>
      </c>
      <c r="C18" s="51">
        <v>4.1989999999999998</v>
      </c>
      <c r="D18" s="51">
        <v>16.984000000000002</v>
      </c>
      <c r="E18" s="51">
        <v>3.7770000000000001</v>
      </c>
      <c r="F18" s="51">
        <v>6.0380000000000003</v>
      </c>
      <c r="G18" s="51">
        <v>0.38700000000000001</v>
      </c>
      <c r="I18" s="40" t="s">
        <v>133</v>
      </c>
      <c r="J18" s="51">
        <v>33.095999999999997</v>
      </c>
      <c r="K18" s="51">
        <v>0</v>
      </c>
      <c r="L18" s="51">
        <v>2.7280000000000002</v>
      </c>
      <c r="M18" s="51">
        <v>36.598999999999997</v>
      </c>
    </row>
    <row r="19" spans="2:17" x14ac:dyDescent="0.25">
      <c r="B19" s="36" t="s">
        <v>127</v>
      </c>
      <c r="C19" s="51">
        <v>14.018000000000001</v>
      </c>
      <c r="D19" s="51">
        <v>13.694000000000001</v>
      </c>
      <c r="E19" s="51">
        <v>13.656000000000001</v>
      </c>
      <c r="F19" s="51">
        <v>28.433</v>
      </c>
      <c r="G19" s="51">
        <v>8.4619999999999997</v>
      </c>
      <c r="I19" s="40" t="s">
        <v>134</v>
      </c>
      <c r="J19" s="51">
        <v>7.0000000000000007E-2</v>
      </c>
      <c r="K19" s="51">
        <v>3.3000000000000002E-2</v>
      </c>
      <c r="L19" s="51">
        <v>1.292</v>
      </c>
      <c r="M19" s="51">
        <v>21.709</v>
      </c>
    </row>
    <row r="20" spans="2:17" x14ac:dyDescent="0.25">
      <c r="B20" s="36" t="s">
        <v>128</v>
      </c>
      <c r="C20" s="51">
        <v>61.761000000000003</v>
      </c>
      <c r="D20" s="51">
        <v>83.256</v>
      </c>
      <c r="E20" s="51">
        <v>76.119</v>
      </c>
      <c r="F20" s="51">
        <v>95.415000000000006</v>
      </c>
      <c r="G20" s="51">
        <v>25.818999999999999</v>
      </c>
      <c r="I20" s="40" t="s">
        <v>135</v>
      </c>
      <c r="J20" s="51">
        <v>0.5</v>
      </c>
      <c r="K20" s="51">
        <v>0.1</v>
      </c>
      <c r="L20" s="51">
        <v>20.952999999999999</v>
      </c>
      <c r="M20" s="51">
        <v>8.9999999999999993E-3</v>
      </c>
    </row>
    <row r="21" spans="2:17" x14ac:dyDescent="0.25">
      <c r="B21" s="74" t="s">
        <v>7</v>
      </c>
      <c r="C21" s="83">
        <f>C14+C18-C19-C20</f>
        <v>196.13900000000055</v>
      </c>
      <c r="D21" s="82">
        <f>D14+D18-D19-D20</f>
        <v>297.6699999999995</v>
      </c>
      <c r="E21" s="83">
        <f>E14+E18-E19-E20</f>
        <v>296.24500000000035</v>
      </c>
      <c r="F21" s="83">
        <f>F14+F18-F19-F20</f>
        <v>525.0930000000003</v>
      </c>
      <c r="G21" s="83">
        <f>G14+G18-G19-G20</f>
        <v>95.933999999999969</v>
      </c>
      <c r="I21" s="40" t="s">
        <v>25</v>
      </c>
      <c r="J21" s="51"/>
      <c r="K21" s="51"/>
      <c r="L21" s="51"/>
      <c r="M21" s="51"/>
    </row>
    <row r="22" spans="2:17" x14ac:dyDescent="0.25">
      <c r="B22" s="36" t="s">
        <v>8</v>
      </c>
      <c r="C22" s="51">
        <v>52.082000000000001</v>
      </c>
      <c r="D22" s="51">
        <v>74.338999999999999</v>
      </c>
      <c r="E22" s="51">
        <v>80.555999999999997</v>
      </c>
      <c r="F22" s="51">
        <v>137.108</v>
      </c>
      <c r="G22" s="51">
        <v>24.706</v>
      </c>
      <c r="I22" s="40" t="s">
        <v>136</v>
      </c>
      <c r="J22" s="51">
        <v>0</v>
      </c>
      <c r="K22" s="51">
        <v>0</v>
      </c>
      <c r="L22" s="51">
        <v>0</v>
      </c>
      <c r="M22" s="51">
        <v>0</v>
      </c>
    </row>
    <row r="23" spans="2:17" x14ac:dyDescent="0.25">
      <c r="B23" s="70" t="s">
        <v>9</v>
      </c>
      <c r="C23" s="79">
        <f>C22/C21</f>
        <v>0.2655361758752714</v>
      </c>
      <c r="D23" s="79">
        <f t="shared" ref="D23:F23" si="5">D22/D21</f>
        <v>0.24973628514798307</v>
      </c>
      <c r="E23" s="79">
        <f t="shared" si="5"/>
        <v>0.27192357676922785</v>
      </c>
      <c r="F23" s="79">
        <f t="shared" si="5"/>
        <v>0.26111184114052161</v>
      </c>
      <c r="G23" s="79">
        <f>G22/G21</f>
        <v>0.25753121937999046</v>
      </c>
      <c r="I23" s="54" t="s">
        <v>137</v>
      </c>
      <c r="J23" s="51">
        <v>0</v>
      </c>
      <c r="K23" s="51">
        <v>0</v>
      </c>
      <c r="L23" s="51">
        <v>0</v>
      </c>
      <c r="M23" s="51">
        <v>0.30399999999999999</v>
      </c>
      <c r="N23" s="34"/>
      <c r="O23" s="34"/>
      <c r="P23" s="34"/>
      <c r="Q23" s="34"/>
    </row>
    <row r="24" spans="2:17" x14ac:dyDescent="0.25">
      <c r="B24" s="74" t="s">
        <v>10</v>
      </c>
      <c r="C24" s="83">
        <f>C21-C22</f>
        <v>144.05700000000056</v>
      </c>
      <c r="D24" s="83">
        <f t="shared" ref="D24:F24" si="6">D21-D22</f>
        <v>223.33099999999951</v>
      </c>
      <c r="E24" s="83">
        <f t="shared" si="6"/>
        <v>215.68900000000036</v>
      </c>
      <c r="F24" s="83">
        <f t="shared" si="6"/>
        <v>387.9850000000003</v>
      </c>
      <c r="G24" s="83">
        <f>G21-G22</f>
        <v>71.227999999999966</v>
      </c>
      <c r="I24" s="40" t="s">
        <v>132</v>
      </c>
      <c r="J24" s="51">
        <v>1.8560000000000001</v>
      </c>
      <c r="K24" s="51">
        <v>0.65</v>
      </c>
      <c r="L24" s="51">
        <v>1.179</v>
      </c>
      <c r="M24" s="51">
        <v>2.1869999999999998</v>
      </c>
    </row>
    <row r="25" spans="2:17" x14ac:dyDescent="0.25">
      <c r="B25" s="69" t="s">
        <v>11</v>
      </c>
      <c r="C25" s="78">
        <f>C24/C5</f>
        <v>5.7141281846139175E-2</v>
      </c>
      <c r="D25" s="78">
        <f>D24/D5</f>
        <v>7.7564931208448623E-2</v>
      </c>
      <c r="E25" s="78">
        <f>E24/E5</f>
        <v>6.5871445486232208E-2</v>
      </c>
      <c r="F25" s="78">
        <f>F24/F5</f>
        <v>7.318421159354413E-2</v>
      </c>
      <c r="G25" s="78">
        <f>G24/G5</f>
        <v>9.4238247010897933E-2</v>
      </c>
      <c r="I25" s="40" t="s">
        <v>138</v>
      </c>
      <c r="J25" s="51">
        <v>0.98899999999999999</v>
      </c>
      <c r="K25" s="51">
        <v>0</v>
      </c>
      <c r="L25" s="51">
        <v>1.004</v>
      </c>
      <c r="M25" s="51">
        <v>0.16300000000000001</v>
      </c>
    </row>
    <row r="26" spans="2:17" x14ac:dyDescent="0.25">
      <c r="B26" s="70" t="s">
        <v>2</v>
      </c>
      <c r="C26" s="71" t="s">
        <v>118</v>
      </c>
      <c r="D26" s="71" t="s">
        <v>118</v>
      </c>
      <c r="E26" s="71" t="s">
        <v>118</v>
      </c>
      <c r="F26" s="73">
        <f>+((F24/C24)^(1/3)-1)</f>
        <v>0.3913194499984527</v>
      </c>
      <c r="G26" s="71">
        <v>0</v>
      </c>
    </row>
    <row r="27" spans="2:17" x14ac:dyDescent="0.25">
      <c r="B27" s="36" t="s">
        <v>12</v>
      </c>
      <c r="C27" s="52" t="s">
        <v>68</v>
      </c>
      <c r="D27" s="52" t="s">
        <v>68</v>
      </c>
      <c r="E27" s="52" t="s">
        <v>68</v>
      </c>
      <c r="F27" s="52" t="s">
        <v>68</v>
      </c>
      <c r="G27" s="93" t="s">
        <v>68</v>
      </c>
      <c r="I27" s="49" t="s">
        <v>26</v>
      </c>
      <c r="J27" s="83">
        <f>SUM(J28:J36)</f>
        <v>1373.1610000000001</v>
      </c>
      <c r="K27" s="83">
        <f>SUM(K28:K36)</f>
        <v>1806.6119999999999</v>
      </c>
      <c r="L27" s="75">
        <f>SUM(L28:L36)</f>
        <v>2551.0090000000005</v>
      </c>
      <c r="M27" s="75">
        <f>SUM(M28:M36)</f>
        <v>3164.1030000000005</v>
      </c>
    </row>
    <row r="28" spans="2:17" x14ac:dyDescent="0.25">
      <c r="B28" s="36" t="s">
        <v>13</v>
      </c>
      <c r="C28" s="51">
        <v>0.74099999999999999</v>
      </c>
      <c r="D28" s="51">
        <v>1.0209999999999999</v>
      </c>
      <c r="E28" s="51">
        <v>0.41299999999999998</v>
      </c>
      <c r="F28" s="55">
        <v>0.60099999999999998</v>
      </c>
      <c r="G28" s="55">
        <v>0.15</v>
      </c>
      <c r="I28" s="40" t="s">
        <v>27</v>
      </c>
      <c r="J28" s="51">
        <v>1190.6099999999999</v>
      </c>
      <c r="K28" s="51">
        <v>1492.412</v>
      </c>
      <c r="L28" s="51">
        <v>2241.9780000000001</v>
      </c>
      <c r="M28" s="51">
        <v>2922.9520000000002</v>
      </c>
    </row>
    <row r="29" spans="2:17" x14ac:dyDescent="0.25">
      <c r="B29" s="74" t="s">
        <v>166</v>
      </c>
      <c r="C29" s="83">
        <f>C24+C28</f>
        <v>144.79800000000057</v>
      </c>
      <c r="D29" s="83">
        <f>D24+D28</f>
        <v>224.35199999999949</v>
      </c>
      <c r="E29" s="83">
        <f>E24+E28</f>
        <v>216.10200000000037</v>
      </c>
      <c r="F29" s="83">
        <f>F24+F28</f>
        <v>388.5860000000003</v>
      </c>
      <c r="G29" s="83">
        <f t="shared" ref="G29" si="7">G24+G28</f>
        <v>71.377999999999972</v>
      </c>
      <c r="I29" s="40" t="s">
        <v>25</v>
      </c>
      <c r="J29" s="51"/>
      <c r="K29" s="51"/>
      <c r="L29" s="51"/>
      <c r="M29" s="51"/>
    </row>
    <row r="30" spans="2:17" x14ac:dyDescent="0.25">
      <c r="B30" s="70" t="s">
        <v>1</v>
      </c>
      <c r="C30" s="71" t="s">
        <v>118</v>
      </c>
      <c r="D30" s="72">
        <f>D29/C29-1</f>
        <v>0.54941366593460272</v>
      </c>
      <c r="E30" s="72">
        <f>E29/D29-1</f>
        <v>-3.6772571673081345E-2</v>
      </c>
      <c r="F30" s="72">
        <f>F29/E29-1</f>
        <v>0.79816012808766068</v>
      </c>
      <c r="G30" s="71">
        <v>0</v>
      </c>
      <c r="I30" s="42" t="s">
        <v>160</v>
      </c>
      <c r="J30" s="51">
        <v>139.96</v>
      </c>
      <c r="K30" s="51">
        <v>219.874</v>
      </c>
      <c r="L30" s="51">
        <v>126.45099999999999</v>
      </c>
      <c r="M30" s="51">
        <v>173.28</v>
      </c>
    </row>
    <row r="31" spans="2:17" x14ac:dyDescent="0.25">
      <c r="B31" s="70" t="s">
        <v>2</v>
      </c>
      <c r="C31" s="71" t="s">
        <v>118</v>
      </c>
      <c r="D31" s="71" t="s">
        <v>118</v>
      </c>
      <c r="E31" s="71" t="s">
        <v>118</v>
      </c>
      <c r="F31" s="73">
        <f>+((F29/C29)^(1/3)-1)</f>
        <v>0.38965884339270396</v>
      </c>
      <c r="G31" s="71">
        <v>0</v>
      </c>
      <c r="I31" s="42" t="s">
        <v>161</v>
      </c>
      <c r="J31" s="51">
        <v>0.52600000000000002</v>
      </c>
      <c r="K31" s="51">
        <v>58.87</v>
      </c>
      <c r="L31" s="51">
        <v>127.07899999999999</v>
      </c>
      <c r="M31" s="51">
        <v>7.6909999999999998</v>
      </c>
    </row>
    <row r="32" spans="2:17" x14ac:dyDescent="0.25">
      <c r="B32" s="41" t="s">
        <v>14</v>
      </c>
      <c r="C32" s="38"/>
      <c r="D32" s="38"/>
      <c r="E32" s="38"/>
      <c r="F32" s="38"/>
      <c r="G32" s="38"/>
      <c r="I32" s="42" t="s">
        <v>162</v>
      </c>
      <c r="J32" s="51">
        <v>16.082999999999998</v>
      </c>
      <c r="K32" s="51">
        <v>16.859000000000002</v>
      </c>
      <c r="L32" s="51">
        <v>17.596</v>
      </c>
      <c r="M32" s="51">
        <v>19.219000000000001</v>
      </c>
    </row>
    <row r="33" spans="2:17" x14ac:dyDescent="0.25">
      <c r="B33" s="36" t="s">
        <v>129</v>
      </c>
      <c r="C33" s="37">
        <v>4.8</v>
      </c>
      <c r="D33" s="37">
        <v>7.44</v>
      </c>
      <c r="E33" s="37">
        <v>6.61</v>
      </c>
      <c r="F33" s="37">
        <v>9.6999999999999993</v>
      </c>
      <c r="G33" s="37">
        <v>1.78</v>
      </c>
      <c r="I33" s="42" t="s">
        <v>163</v>
      </c>
      <c r="J33" s="51">
        <v>1.3520000000000001</v>
      </c>
      <c r="K33" s="51">
        <v>0.71599999999999997</v>
      </c>
      <c r="L33" s="51">
        <v>0.60199999999999998</v>
      </c>
      <c r="M33" s="51">
        <v>1.1539999999999999</v>
      </c>
    </row>
    <row r="34" spans="2:17" x14ac:dyDescent="0.25">
      <c r="B34" s="36" t="s">
        <v>130</v>
      </c>
      <c r="C34" s="37">
        <v>4.8</v>
      </c>
      <c r="D34" s="37">
        <v>7.44</v>
      </c>
      <c r="E34" s="37">
        <v>6.61</v>
      </c>
      <c r="F34" s="37">
        <v>9.6999999999999993</v>
      </c>
      <c r="G34" s="37">
        <v>1.78</v>
      </c>
      <c r="I34" s="40" t="s">
        <v>164</v>
      </c>
      <c r="J34" s="51">
        <v>2E-3</v>
      </c>
      <c r="K34" s="51">
        <v>0.24099999999999999</v>
      </c>
      <c r="L34" s="51">
        <v>10.699</v>
      </c>
      <c r="M34" s="51">
        <v>25.061</v>
      </c>
    </row>
    <row r="35" spans="2:17" x14ac:dyDescent="0.25">
      <c r="B35" s="80" t="s">
        <v>1</v>
      </c>
      <c r="C35" s="71" t="s">
        <v>118</v>
      </c>
      <c r="D35" s="72">
        <f>D34/C34-1</f>
        <v>0.55000000000000004</v>
      </c>
      <c r="E35" s="72">
        <f>E34/D34-1</f>
        <v>-0.11155913978494625</v>
      </c>
      <c r="F35" s="72">
        <f>F34/E34-1</f>
        <v>0.46747352496217842</v>
      </c>
      <c r="G35" s="71">
        <v>0</v>
      </c>
      <c r="I35" s="40" t="s">
        <v>156</v>
      </c>
      <c r="J35" s="63">
        <v>0</v>
      </c>
      <c r="K35" s="51">
        <v>2.8319999999999999</v>
      </c>
      <c r="L35" s="51">
        <v>4.032</v>
      </c>
      <c r="M35" s="51">
        <v>0</v>
      </c>
    </row>
    <row r="36" spans="2:17" x14ac:dyDescent="0.25">
      <c r="B36" s="80" t="s">
        <v>2</v>
      </c>
      <c r="C36" s="71" t="s">
        <v>118</v>
      </c>
      <c r="D36" s="71" t="s">
        <v>118</v>
      </c>
      <c r="E36" s="71" t="s">
        <v>118</v>
      </c>
      <c r="F36" s="73">
        <f>+((F34/C34)^(1/3)-1)</f>
        <v>0.26428067304157321</v>
      </c>
      <c r="G36" s="71">
        <v>0</v>
      </c>
      <c r="I36" s="40" t="s">
        <v>28</v>
      </c>
      <c r="J36" s="51">
        <v>24.628</v>
      </c>
      <c r="K36" s="51">
        <v>14.808</v>
      </c>
      <c r="L36" s="51">
        <v>22.571999999999999</v>
      </c>
      <c r="M36" s="51">
        <v>14.746</v>
      </c>
    </row>
    <row r="37" spans="2:17" x14ac:dyDescent="0.25">
      <c r="J37" s="64"/>
      <c r="K37" s="64"/>
      <c r="L37" s="64"/>
      <c r="M37" s="64"/>
    </row>
    <row r="38" spans="2:17" x14ac:dyDescent="0.25">
      <c r="B38" s="76" t="s">
        <v>148</v>
      </c>
      <c r="C38" s="68" t="s">
        <v>69</v>
      </c>
      <c r="D38" s="68" t="s">
        <v>120</v>
      </c>
      <c r="E38" s="68" t="s">
        <v>122</v>
      </c>
      <c r="F38" s="68" t="s">
        <v>123</v>
      </c>
      <c r="I38" s="49" t="s">
        <v>29</v>
      </c>
      <c r="J38" s="83">
        <f>SUM(J39:J46)</f>
        <v>701.69600000000003</v>
      </c>
      <c r="K38" s="83">
        <f>SUM(K39:K46)</f>
        <v>894.73199999999997</v>
      </c>
      <c r="L38" s="83">
        <f>SUM(L39:L46)</f>
        <v>553.63699999999994</v>
      </c>
      <c r="M38" s="83">
        <f>SUM(M39:M46)</f>
        <v>1003.1640000000002</v>
      </c>
    </row>
    <row r="39" spans="2:17" x14ac:dyDescent="0.25">
      <c r="B39" s="43" t="s">
        <v>52</v>
      </c>
      <c r="C39" s="56">
        <v>7.11</v>
      </c>
      <c r="D39" s="56">
        <f>C44</f>
        <v>0.52600000000000069</v>
      </c>
      <c r="E39" s="56">
        <f>D44</f>
        <v>58.870000000000026</v>
      </c>
      <c r="F39" s="56">
        <f>E44</f>
        <v>127.07899999999998</v>
      </c>
      <c r="I39" s="40" t="s">
        <v>139</v>
      </c>
      <c r="J39" s="51"/>
      <c r="K39" s="51"/>
      <c r="L39" s="51"/>
      <c r="M39" s="51"/>
    </row>
    <row r="40" spans="2:17" x14ac:dyDescent="0.25">
      <c r="B40" s="36" t="s">
        <v>53</v>
      </c>
      <c r="C40" s="51">
        <v>8.7379999999999995</v>
      </c>
      <c r="D40" s="51">
        <v>-112.274</v>
      </c>
      <c r="E40" s="51">
        <v>-487.41</v>
      </c>
      <c r="F40" s="51">
        <v>-149.245</v>
      </c>
      <c r="I40" s="40" t="s">
        <v>140</v>
      </c>
      <c r="J40" s="51">
        <v>511.63200000000001</v>
      </c>
      <c r="K40" s="51">
        <v>726.69899999999996</v>
      </c>
      <c r="L40" s="51">
        <v>491.97500000000002</v>
      </c>
      <c r="M40" s="51">
        <v>860.92100000000005</v>
      </c>
      <c r="N40" s="34"/>
      <c r="O40" s="34"/>
      <c r="P40" s="34"/>
      <c r="Q40" s="34"/>
    </row>
    <row r="41" spans="2:17" x14ac:dyDescent="0.25">
      <c r="B41" s="36" t="s">
        <v>54</v>
      </c>
      <c r="C41" s="51">
        <v>-6.5419999999999998</v>
      </c>
      <c r="D41" s="51">
        <v>-110.482</v>
      </c>
      <c r="E41" s="51">
        <v>-35.313000000000002</v>
      </c>
      <c r="F41" s="51">
        <v>-48.738999999999997</v>
      </c>
      <c r="I41" s="40" t="s">
        <v>144</v>
      </c>
      <c r="J41" s="51">
        <v>6.0289999999999999</v>
      </c>
      <c r="K41" s="63">
        <v>0</v>
      </c>
      <c r="L41" s="51">
        <v>0.16</v>
      </c>
      <c r="M41" s="51">
        <v>3.8639999999999999</v>
      </c>
    </row>
    <row r="42" spans="2:17" x14ac:dyDescent="0.25">
      <c r="B42" s="36" t="s">
        <v>55</v>
      </c>
      <c r="C42" s="51">
        <v>-8.7799999999999994</v>
      </c>
      <c r="D42" s="51">
        <v>281.10000000000002</v>
      </c>
      <c r="E42" s="51">
        <v>590.93200000000002</v>
      </c>
      <c r="F42" s="51">
        <v>78.596000000000004</v>
      </c>
      <c r="I42" s="40" t="s">
        <v>157</v>
      </c>
      <c r="J42" s="51">
        <f>22.931+129.539</f>
        <v>152.47</v>
      </c>
      <c r="K42" s="51">
        <f>37.951+110.125</f>
        <v>148.07599999999999</v>
      </c>
      <c r="L42" s="51">
        <f>10.204+14.129</f>
        <v>24.332999999999998</v>
      </c>
      <c r="M42" s="51">
        <f>12.766+65.377</f>
        <v>78.143000000000001</v>
      </c>
    </row>
    <row r="43" spans="2:17" x14ac:dyDescent="0.25">
      <c r="B43" s="48" t="s">
        <v>56</v>
      </c>
      <c r="C43" s="57">
        <f>C40+C41+C42</f>
        <v>-6.5839999999999996</v>
      </c>
      <c r="D43" s="57">
        <f t="shared" ref="D43:F43" si="8">D40+D41+D42</f>
        <v>58.344000000000023</v>
      </c>
      <c r="E43" s="57">
        <f t="shared" si="8"/>
        <v>68.208999999999946</v>
      </c>
      <c r="F43" s="57">
        <f t="shared" si="8"/>
        <v>-119.38800000000001</v>
      </c>
      <c r="I43" s="40" t="s">
        <v>165</v>
      </c>
      <c r="J43" s="51">
        <v>2.9239999999999999</v>
      </c>
      <c r="K43" s="51">
        <v>4.2770000000000001</v>
      </c>
      <c r="L43" s="51">
        <v>10.477</v>
      </c>
      <c r="M43" s="51">
        <v>14.577</v>
      </c>
    </row>
    <row r="44" spans="2:17" x14ac:dyDescent="0.25">
      <c r="B44" s="74" t="s">
        <v>57</v>
      </c>
      <c r="C44" s="83">
        <f>C39+C43</f>
        <v>0.52600000000000069</v>
      </c>
      <c r="D44" s="82">
        <f>D43+D39</f>
        <v>58.870000000000026</v>
      </c>
      <c r="E44" s="82">
        <f>E39+E43</f>
        <v>127.07899999999998</v>
      </c>
      <c r="F44" s="82">
        <f>F39+F43</f>
        <v>7.6909999999999741</v>
      </c>
      <c r="I44" s="40" t="s">
        <v>67</v>
      </c>
      <c r="J44" s="51">
        <v>5.5E-2</v>
      </c>
      <c r="K44" s="51">
        <v>6.4000000000000001E-2</v>
      </c>
      <c r="L44" s="51">
        <v>7.9000000000000001E-2</v>
      </c>
      <c r="M44" s="51">
        <v>0.18099999999999999</v>
      </c>
    </row>
    <row r="45" spans="2:17" x14ac:dyDescent="0.25">
      <c r="B45" s="81" t="s">
        <v>146</v>
      </c>
      <c r="C45" s="68" t="s">
        <v>69</v>
      </c>
      <c r="D45" s="68" t="s">
        <v>120</v>
      </c>
      <c r="E45" s="68" t="s">
        <v>122</v>
      </c>
      <c r="F45" s="68" t="s">
        <v>123</v>
      </c>
      <c r="I45" s="40" t="s">
        <v>158</v>
      </c>
      <c r="J45" s="51">
        <v>10.032</v>
      </c>
      <c r="K45" s="63">
        <v>0</v>
      </c>
      <c r="L45" s="63">
        <v>0</v>
      </c>
      <c r="M45" s="51">
        <v>4.008</v>
      </c>
    </row>
    <row r="46" spans="2:17" x14ac:dyDescent="0.25">
      <c r="B46" s="39" t="s">
        <v>58</v>
      </c>
      <c r="C46" s="51">
        <f>C40</f>
        <v>8.7379999999999995</v>
      </c>
      <c r="D46" s="51">
        <f t="shared" ref="D46:F46" si="9">D40</f>
        <v>-112.274</v>
      </c>
      <c r="E46" s="51">
        <f t="shared" si="9"/>
        <v>-487.41</v>
      </c>
      <c r="F46" s="58">
        <f t="shared" si="9"/>
        <v>-149.245</v>
      </c>
      <c r="I46" s="40" t="s">
        <v>141</v>
      </c>
      <c r="J46" s="51">
        <v>18.553999999999998</v>
      </c>
      <c r="K46" s="51">
        <v>15.616</v>
      </c>
      <c r="L46" s="51">
        <v>26.613</v>
      </c>
      <c r="M46" s="51">
        <v>41.47</v>
      </c>
    </row>
    <row r="47" spans="2:17" x14ac:dyDescent="0.25">
      <c r="B47" s="39" t="s">
        <v>59</v>
      </c>
      <c r="C47" s="59">
        <f>-1.529+0.125</f>
        <v>-1.4039999999999999</v>
      </c>
      <c r="D47" s="59">
        <f>-138.531</f>
        <v>-138.53100000000001</v>
      </c>
      <c r="E47" s="59">
        <f>-16.865</f>
        <v>-16.864999999999998</v>
      </c>
      <c r="F47" s="60">
        <f>-45.796</f>
        <v>-45.795999999999999</v>
      </c>
      <c r="I47" s="49" t="s">
        <v>30</v>
      </c>
      <c r="J47" s="75">
        <f>J27-J38</f>
        <v>671.46500000000003</v>
      </c>
      <c r="K47" s="75">
        <f>K27-K38</f>
        <v>911.87999999999988</v>
      </c>
      <c r="L47" s="75">
        <f>L27-L38</f>
        <v>1997.3720000000005</v>
      </c>
      <c r="M47" s="75">
        <f>M27-M38</f>
        <v>2160.9390000000003</v>
      </c>
      <c r="N47" s="34"/>
      <c r="O47" s="34"/>
      <c r="P47" s="34"/>
      <c r="Q47" s="34"/>
    </row>
    <row r="48" spans="2:17" x14ac:dyDescent="0.25">
      <c r="B48" s="77" t="s">
        <v>145</v>
      </c>
      <c r="C48" s="75">
        <f>C46+C47</f>
        <v>7.3339999999999996</v>
      </c>
      <c r="D48" s="75">
        <f t="shared" ref="D48:F48" si="10">D46+D47</f>
        <v>-250.80500000000001</v>
      </c>
      <c r="E48" s="75">
        <f t="shared" si="10"/>
        <v>-504.27500000000003</v>
      </c>
      <c r="F48" s="75">
        <f t="shared" si="10"/>
        <v>-195.041</v>
      </c>
      <c r="J48" s="64"/>
      <c r="K48" s="64"/>
      <c r="L48" s="64"/>
      <c r="M48" s="64"/>
    </row>
    <row r="49" spans="2:17" x14ac:dyDescent="0.25">
      <c r="I49" s="49" t="s">
        <v>119</v>
      </c>
      <c r="J49" s="83">
        <f>SUM(J51:J54)</f>
        <v>138.29599999999999</v>
      </c>
      <c r="K49" s="83">
        <f>SUM(K51:K54)</f>
        <v>248.99099999999999</v>
      </c>
      <c r="L49" s="75">
        <f>SUM(L51:L54)</f>
        <v>213.04</v>
      </c>
      <c r="M49" s="75">
        <f>SUM(M51:M54)</f>
        <v>66.218000000000004</v>
      </c>
      <c r="N49" s="86"/>
    </row>
    <row r="50" spans="2:17" x14ac:dyDescent="0.25">
      <c r="B50" s="76" t="s">
        <v>150</v>
      </c>
      <c r="C50" s="68" t="s">
        <v>69</v>
      </c>
      <c r="D50" s="68" t="s">
        <v>120</v>
      </c>
      <c r="E50" s="68" t="s">
        <v>122</v>
      </c>
      <c r="F50" s="68" t="s">
        <v>123</v>
      </c>
      <c r="I50" s="40" t="s">
        <v>142</v>
      </c>
      <c r="J50" s="51"/>
      <c r="K50" s="51"/>
      <c r="L50" s="51"/>
      <c r="M50" s="51"/>
    </row>
    <row r="51" spans="2:17" x14ac:dyDescent="0.25">
      <c r="B51" s="28" t="s">
        <v>61</v>
      </c>
      <c r="C51" s="53"/>
      <c r="D51" s="53"/>
      <c r="E51" s="62">
        <v>40000000</v>
      </c>
      <c r="F51" s="62">
        <v>40000000</v>
      </c>
      <c r="I51" s="40" t="s">
        <v>143</v>
      </c>
      <c r="J51" s="51">
        <v>85.488</v>
      </c>
      <c r="K51" s="51">
        <v>231.249</v>
      </c>
      <c r="L51" s="51">
        <v>199.89599999999999</v>
      </c>
      <c r="M51" s="51">
        <v>7.4169999999999998</v>
      </c>
    </row>
    <row r="52" spans="2:17" x14ac:dyDescent="0.25">
      <c r="B52" s="44" t="s">
        <v>121</v>
      </c>
      <c r="C52" s="61"/>
      <c r="D52" s="61"/>
      <c r="E52" s="59">
        <f>E51*L59/1000000</f>
        <v>6006</v>
      </c>
      <c r="F52" s="59">
        <f>F51*M59/1000000</f>
        <v>5436</v>
      </c>
      <c r="I52" s="40" t="s">
        <v>144</v>
      </c>
      <c r="J52" s="51">
        <v>40.561</v>
      </c>
      <c r="K52" s="61">
        <v>0</v>
      </c>
      <c r="L52" s="51">
        <v>2.7519999999999998</v>
      </c>
      <c r="M52" s="51">
        <v>35.621000000000002</v>
      </c>
    </row>
    <row r="53" spans="2:17" x14ac:dyDescent="0.25">
      <c r="B53" s="36" t="s">
        <v>63</v>
      </c>
      <c r="C53" s="51">
        <f>J11</f>
        <v>597.12</v>
      </c>
      <c r="D53" s="51">
        <f>K11</f>
        <v>957.94799999999998</v>
      </c>
      <c r="E53" s="51">
        <f>L11</f>
        <v>691.87099999999998</v>
      </c>
      <c r="F53" s="51">
        <f>M11</f>
        <v>868.33800000000008</v>
      </c>
      <c r="I53" s="40" t="s">
        <v>67</v>
      </c>
      <c r="J53" s="51">
        <v>3.4689999999999999</v>
      </c>
      <c r="K53" s="51">
        <v>3.4590000000000001</v>
      </c>
      <c r="L53" s="51">
        <v>4.6050000000000004</v>
      </c>
      <c r="M53" s="51">
        <v>8.3339999999999996</v>
      </c>
    </row>
    <row r="54" spans="2:17" x14ac:dyDescent="0.25">
      <c r="B54" s="36" t="s">
        <v>64</v>
      </c>
      <c r="C54" s="51">
        <f>SUM(J31:J32)</f>
        <v>16.608999999999998</v>
      </c>
      <c r="D54" s="51">
        <f>SUM(K31:K32)</f>
        <v>75.728999999999999</v>
      </c>
      <c r="E54" s="51">
        <f>SUM(L31:L32)</f>
        <v>144.67499999999998</v>
      </c>
      <c r="F54" s="51">
        <f>SUM(M31:M32)</f>
        <v>26.91</v>
      </c>
      <c r="I54" s="40" t="s">
        <v>159</v>
      </c>
      <c r="J54" s="51">
        <v>8.7780000000000005</v>
      </c>
      <c r="K54" s="51">
        <v>14.282999999999999</v>
      </c>
      <c r="L54" s="51">
        <v>5.7869999999999999</v>
      </c>
      <c r="M54" s="51">
        <v>14.846</v>
      </c>
    </row>
    <row r="55" spans="2:17" x14ac:dyDescent="0.25">
      <c r="B55" s="44" t="s">
        <v>65</v>
      </c>
      <c r="C55" s="51" t="s">
        <v>118</v>
      </c>
      <c r="D55" s="51" t="s">
        <v>118</v>
      </c>
      <c r="E55" s="51">
        <f t="shared" ref="E55:F55" si="11">E52+E53-E54</f>
        <v>6553.1959999999999</v>
      </c>
      <c r="F55" s="51">
        <f t="shared" si="11"/>
        <v>6277.4279999999999</v>
      </c>
      <c r="I55" s="49" t="s">
        <v>31</v>
      </c>
      <c r="J55" s="83">
        <f>J27+J15</f>
        <v>1540.317</v>
      </c>
      <c r="K55" s="82">
        <f>K27+K15</f>
        <v>2068.3999999999996</v>
      </c>
      <c r="L55" s="82">
        <f>L27+L15</f>
        <v>2841.6030000000005</v>
      </c>
      <c r="M55" s="82">
        <f>M27+M15</f>
        <v>3519.8000000000006</v>
      </c>
    </row>
    <row r="56" spans="2:17" x14ac:dyDescent="0.25">
      <c r="I56" s="49" t="s">
        <v>32</v>
      </c>
      <c r="J56" s="83">
        <f>J38+J49+J7</f>
        <v>1540.317</v>
      </c>
      <c r="K56" s="82">
        <f t="shared" ref="K56:M56" si="12">K38+K49+K7</f>
        <v>2068.4</v>
      </c>
      <c r="L56" s="82">
        <f t="shared" si="12"/>
        <v>2841.5990000000002</v>
      </c>
      <c r="M56" s="82">
        <f t="shared" si="12"/>
        <v>3519.8</v>
      </c>
    </row>
    <row r="58" spans="2:17" x14ac:dyDescent="0.25">
      <c r="C58" s="50"/>
      <c r="I58" s="67" t="s">
        <v>149</v>
      </c>
      <c r="J58" s="68" t="s">
        <v>69</v>
      </c>
      <c r="K58" s="68" t="s">
        <v>120</v>
      </c>
      <c r="L58" s="68" t="s">
        <v>122</v>
      </c>
      <c r="M58" s="68" t="s">
        <v>123</v>
      </c>
      <c r="N58" s="68" t="s">
        <v>167</v>
      </c>
    </row>
    <row r="59" spans="2:17" x14ac:dyDescent="0.25">
      <c r="F59" s="50"/>
      <c r="G59" s="50"/>
      <c r="I59" s="45" t="s">
        <v>33</v>
      </c>
      <c r="J59" s="61" t="s">
        <v>68</v>
      </c>
      <c r="K59" s="61" t="s">
        <v>68</v>
      </c>
      <c r="L59" s="58">
        <v>150.15</v>
      </c>
      <c r="M59" s="58">
        <v>135.9</v>
      </c>
      <c r="N59" s="92">
        <v>141.44999999999999</v>
      </c>
    </row>
    <row r="60" spans="2:17" x14ac:dyDescent="0.25">
      <c r="F60" s="50"/>
      <c r="G60" s="50"/>
      <c r="I60" s="45" t="s">
        <v>34</v>
      </c>
      <c r="J60" s="58">
        <f>C34</f>
        <v>4.8</v>
      </c>
      <c r="K60" s="58">
        <f>D34</f>
        <v>7.44</v>
      </c>
      <c r="L60" s="58">
        <f>E34</f>
        <v>6.61</v>
      </c>
      <c r="M60" s="58">
        <f>F34</f>
        <v>9.6999999999999993</v>
      </c>
      <c r="N60" s="91">
        <f>M60+G34-2.27</f>
        <v>9.2099999999999991</v>
      </c>
      <c r="O60" s="34"/>
      <c r="P60" s="34"/>
      <c r="Q60" s="34"/>
    </row>
    <row r="61" spans="2:17" x14ac:dyDescent="0.25">
      <c r="D61" s="50"/>
      <c r="I61" s="45" t="s">
        <v>35</v>
      </c>
      <c r="J61" s="61" t="s">
        <v>68</v>
      </c>
      <c r="K61" s="61" t="s">
        <v>68</v>
      </c>
      <c r="L61" s="60">
        <f>L7*1000000/E51</f>
        <v>51.873049999999999</v>
      </c>
      <c r="M61" s="60">
        <f>M7*1000000/F51</f>
        <v>61.260449999999999</v>
      </c>
      <c r="N61" s="61" t="s">
        <v>118</v>
      </c>
    </row>
    <row r="62" spans="2:17" x14ac:dyDescent="0.25">
      <c r="I62" s="45" t="s">
        <v>36</v>
      </c>
      <c r="J62" s="61" t="s">
        <v>68</v>
      </c>
      <c r="K62" s="61" t="s">
        <v>68</v>
      </c>
      <c r="L62" s="61" t="s">
        <v>68</v>
      </c>
      <c r="M62" s="61" t="s">
        <v>68</v>
      </c>
      <c r="N62" s="61" t="s">
        <v>118</v>
      </c>
    </row>
    <row r="63" spans="2:17" x14ac:dyDescent="0.25">
      <c r="I63" s="45" t="s">
        <v>37</v>
      </c>
      <c r="J63" s="61" t="s">
        <v>68</v>
      </c>
      <c r="K63" s="61" t="s">
        <v>68</v>
      </c>
      <c r="L63" s="58">
        <f>L59/L60</f>
        <v>22.715582450832073</v>
      </c>
      <c r="M63" s="58">
        <f>M59/M60</f>
        <v>14.010309278350517</v>
      </c>
      <c r="N63" s="58">
        <f t="shared" ref="N63" si="13">N59/N60</f>
        <v>15.358306188925082</v>
      </c>
    </row>
    <row r="64" spans="2:17" x14ac:dyDescent="0.25">
      <c r="I64" s="45" t="s">
        <v>38</v>
      </c>
      <c r="J64" s="61" t="s">
        <v>68</v>
      </c>
      <c r="K64" s="61" t="s">
        <v>68</v>
      </c>
      <c r="L64" s="58">
        <f>L59/L61</f>
        <v>2.894566639131495</v>
      </c>
      <c r="M64" s="58">
        <f>M59/M61</f>
        <v>2.2183970245076554</v>
      </c>
      <c r="N64" s="61" t="s">
        <v>118</v>
      </c>
    </row>
    <row r="65" spans="9:14" x14ac:dyDescent="0.25">
      <c r="I65" s="45" t="s">
        <v>39</v>
      </c>
      <c r="J65" s="61" t="s">
        <v>68</v>
      </c>
      <c r="K65" s="61" t="s">
        <v>68</v>
      </c>
      <c r="L65" s="58">
        <f>E55/E14</f>
        <v>17.144057575939893</v>
      </c>
      <c r="M65" s="58">
        <f>F55/F14</f>
        <v>9.7641914876738749</v>
      </c>
      <c r="N65" s="61" t="s">
        <v>118</v>
      </c>
    </row>
    <row r="66" spans="9:14" x14ac:dyDescent="0.25">
      <c r="I66" s="46" t="s">
        <v>40</v>
      </c>
      <c r="J66" s="35">
        <f>C24/J7</f>
        <v>0.20570021061650026</v>
      </c>
      <c r="K66" s="35">
        <f>D24/AVERAGE(J7:K7)</f>
        <v>0.27486858477712584</v>
      </c>
      <c r="L66" s="35">
        <f>E24/AVERAGE(K7:L7)</f>
        <v>0.14381188952256641</v>
      </c>
      <c r="M66" s="35">
        <f t="shared" ref="M66" si="14">F24/AVERAGE(L7:M7)</f>
        <v>0.1714721987740149</v>
      </c>
      <c r="N66" s="61" t="s">
        <v>118</v>
      </c>
    </row>
    <row r="67" spans="9:14" x14ac:dyDescent="0.25">
      <c r="I67" s="46" t="s">
        <v>41</v>
      </c>
      <c r="J67" s="35">
        <f>(C21+C20)/J13</f>
        <v>0.30752866908889781</v>
      </c>
      <c r="K67" s="35">
        <f>(D21+D20)/AVERAGE(J13:K13)</f>
        <v>0.37859969417911593</v>
      </c>
      <c r="L67" s="35">
        <f>(E21+E20)/AVERAGE(K13:L13)</f>
        <v>0.21513770664374129</v>
      </c>
      <c r="M67" s="35">
        <f t="shared" ref="M67" si="15">(F21+F20)/AVERAGE(L13:M13)</f>
        <v>0.25829735740858462</v>
      </c>
      <c r="N67" s="61" t="s">
        <v>118</v>
      </c>
    </row>
    <row r="68" spans="9:14" x14ac:dyDescent="0.25">
      <c r="I68" s="45" t="s">
        <v>42</v>
      </c>
      <c r="J68" s="65">
        <f>J11/J7</f>
        <v>0.85263270624352971</v>
      </c>
      <c r="K68" s="65">
        <f t="shared" ref="K68:M68" si="16">K11/K7</f>
        <v>1.035981212899207</v>
      </c>
      <c r="L68" s="65">
        <f t="shared" si="16"/>
        <v>0.33344434152223551</v>
      </c>
      <c r="M68" s="65">
        <f t="shared" si="16"/>
        <v>0.35436321476580734</v>
      </c>
      <c r="N68" s="61" t="s">
        <v>118</v>
      </c>
    </row>
    <row r="69" spans="9:14" x14ac:dyDescent="0.25">
      <c r="I69" s="45" t="s">
        <v>43</v>
      </c>
      <c r="J69" s="65">
        <f>(J11-C54)/J7</f>
        <v>0.82891657444757783</v>
      </c>
      <c r="K69" s="65">
        <f>(K11-D54)/K7</f>
        <v>0.95408342588817496</v>
      </c>
      <c r="L69" s="65">
        <f>(L11-E54)/L7</f>
        <v>0.26371882894875087</v>
      </c>
      <c r="M69" s="65">
        <f t="shared" ref="M69" si="17">(M11-F54)/M7</f>
        <v>0.34338141492594326</v>
      </c>
      <c r="N69" s="61" t="s">
        <v>118</v>
      </c>
    </row>
    <row r="70" spans="9:14" x14ac:dyDescent="0.25">
      <c r="I70" s="45" t="s">
        <v>44</v>
      </c>
      <c r="J70" s="66" t="s">
        <v>68</v>
      </c>
      <c r="K70" s="66" t="s">
        <v>68</v>
      </c>
      <c r="L70" s="66" t="s">
        <v>68</v>
      </c>
      <c r="M70" s="66" t="s">
        <v>68</v>
      </c>
      <c r="N70" s="61" t="s">
        <v>118</v>
      </c>
    </row>
    <row r="71" spans="9:14" x14ac:dyDescent="0.25">
      <c r="I71" s="45" t="s">
        <v>45</v>
      </c>
      <c r="J71" s="65">
        <f>AVERAGE(J30:J30)/C5*365</f>
        <v>20.263404344271695</v>
      </c>
      <c r="K71" s="65">
        <f>AVERAGE(J30:K30)/D5*365</f>
        <v>22.80769866612394</v>
      </c>
      <c r="L71" s="65">
        <f>AVERAGE(K30:L30)/E5*365</f>
        <v>19.302604330023915</v>
      </c>
      <c r="M71" s="65">
        <f t="shared" ref="M71" si="18">AVERAGE(L30:M30)/F5*365</f>
        <v>10.318034946812073</v>
      </c>
      <c r="N71" s="61" t="s">
        <v>118</v>
      </c>
    </row>
    <row r="72" spans="9:14" x14ac:dyDescent="0.25">
      <c r="I72" s="45" t="s">
        <v>46</v>
      </c>
      <c r="J72" s="65">
        <f>AVERAGE(J42:J42)/SUM(C9:C11)*365</f>
        <v>26.709414938522066</v>
      </c>
      <c r="K72" s="65">
        <f>AVERAGE(J42:K42)/SUM(D9:D11)*365</f>
        <v>24.30568597204983</v>
      </c>
      <c r="L72" s="65">
        <f>AVERAGE(K42:L42)/SUM(E9:E11)*365</f>
        <v>12.039361487609821</v>
      </c>
      <c r="M72" s="65">
        <f t="shared" ref="M72" si="19">AVERAGE(L42:M42)/SUM(F9:F11)*365</f>
        <v>4.4676748268829662</v>
      </c>
      <c r="N72" s="61" t="s">
        <v>118</v>
      </c>
    </row>
    <row r="73" spans="9:14" x14ac:dyDescent="0.25">
      <c r="I73" s="45" t="s">
        <v>47</v>
      </c>
      <c r="J73" s="65">
        <f>AVERAGE(J28:J28)/(SUM(C9:C11))*365</f>
        <v>208.56887597529845</v>
      </c>
      <c r="K73" s="65">
        <f>AVERAGE(J28:K28)/SUM(D9:D11)*365</f>
        <v>216.98072903349595</v>
      </c>
      <c r="L73" s="65">
        <f>AVERAGE(K28:L28)/SUM(E9:E11)*365</f>
        <v>260.77334214406</v>
      </c>
      <c r="M73" s="65">
        <f t="shared" ref="M73" si="20">AVERAGE(L28:M28)/SUM(F9:F11)*365</f>
        <v>225.17689745513721</v>
      </c>
      <c r="N73" s="61" t="s">
        <v>118</v>
      </c>
    </row>
    <row r="74" spans="9:14" x14ac:dyDescent="0.25">
      <c r="I74" s="45" t="s">
        <v>48</v>
      </c>
      <c r="J74" s="65">
        <f>J73+J71-J72</f>
        <v>202.12286538104809</v>
      </c>
      <c r="K74" s="65">
        <f>K73+K71-K72</f>
        <v>215.48274172757004</v>
      </c>
      <c r="L74" s="65">
        <f t="shared" ref="L74:M74" si="21">L73+L71-L72</f>
        <v>268.03658498647411</v>
      </c>
      <c r="M74" s="65">
        <f t="shared" si="21"/>
        <v>231.02725757506633</v>
      </c>
      <c r="N74" s="61" t="s">
        <v>118</v>
      </c>
    </row>
    <row r="75" spans="9:14" x14ac:dyDescent="0.25">
      <c r="I75" s="45" t="s">
        <v>49</v>
      </c>
      <c r="J75" s="65">
        <f>AVERAGE(J47:J47)/C5*365</f>
        <v>97.21468132342379</v>
      </c>
      <c r="K75" s="65">
        <f>AVERAGE(J47:K47)/D5*365</f>
        <v>100.35865328044044</v>
      </c>
      <c r="L75" s="65">
        <f>AVERAGE(K47:L47)/E5*365</f>
        <v>162.14867610576985</v>
      </c>
      <c r="M75" s="65">
        <f t="shared" ref="M75" si="22">AVERAGE(L47:M47)/F5*365</f>
        <v>143.14701588328558</v>
      </c>
      <c r="N75" s="61" t="s">
        <v>118</v>
      </c>
    </row>
    <row r="76" spans="9:14" x14ac:dyDescent="0.25">
      <c r="I76" s="47" t="s">
        <v>50</v>
      </c>
      <c r="J76" s="85">
        <f>C20/J11</f>
        <v>0.10343147106109325</v>
      </c>
      <c r="K76" s="85">
        <f>D20/K11</f>
        <v>8.6910771774668355E-2</v>
      </c>
      <c r="L76" s="85">
        <f>E20/L11</f>
        <v>0.11001906424752592</v>
      </c>
      <c r="M76" s="85">
        <f>F20/M11</f>
        <v>0.10988232692799348</v>
      </c>
      <c r="N76" s="61" t="s">
        <v>118</v>
      </c>
    </row>
    <row r="77" spans="9:14" x14ac:dyDescent="0.25">
      <c r="I77" s="40" t="s">
        <v>51</v>
      </c>
      <c r="J77" s="65">
        <f>(C21+C20)/C20</f>
        <v>4.175774355985177</v>
      </c>
      <c r="K77" s="65">
        <f>(D21+D20)/D20</f>
        <v>4.5753579321610394</v>
      </c>
      <c r="L77" s="65">
        <f>(E21+E20)/E20</f>
        <v>4.8918666824314609</v>
      </c>
      <c r="M77" s="65">
        <f t="shared" ref="M77:N77" si="23">(F21+F20)/F20</f>
        <v>6.503254205313632</v>
      </c>
      <c r="N77" s="65">
        <f t="shared" si="23"/>
        <v>4.7156357721058129</v>
      </c>
    </row>
    <row r="78" spans="9:14" x14ac:dyDescent="0.25">
      <c r="I78" s="47" t="s">
        <v>117</v>
      </c>
      <c r="J78" s="65">
        <f>C5/AVERAGE(J55)</f>
        <v>1.6367195843453004</v>
      </c>
      <c r="K78" s="65">
        <f>D5/AVERAGE(J55:K55)</f>
        <v>1.595734993905036</v>
      </c>
      <c r="L78" s="65">
        <f>E5/AVERAGE(K55:L55)</f>
        <v>1.3337641545229197</v>
      </c>
      <c r="M78" s="65">
        <f t="shared" ref="M78" si="24">F5/AVERAGE(L55:M55)</f>
        <v>1.6667659634203331</v>
      </c>
      <c r="N78" s="61" t="s">
        <v>118</v>
      </c>
    </row>
  </sheetData>
  <mergeCells count="3">
    <mergeCell ref="B2:M2"/>
    <mergeCell ref="B3:F3"/>
    <mergeCell ref="I3:M3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C54:F54 J71:M7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activeCell="D26" sqref="D26"/>
    </sheetView>
  </sheetViews>
  <sheetFormatPr defaultRowHeight="15" x14ac:dyDescent="0.25"/>
  <cols>
    <col min="1" max="1" width="45" customWidth="1"/>
    <col min="2" max="10" width="15.140625" customWidth="1"/>
  </cols>
  <sheetData>
    <row r="1" spans="1:11" x14ac:dyDescent="0.25">
      <c r="B1" s="1" t="s">
        <v>15</v>
      </c>
      <c r="C1" s="1" t="s">
        <v>69</v>
      </c>
      <c r="D1" s="1" t="s">
        <v>15</v>
      </c>
      <c r="E1" s="1" t="s">
        <v>69</v>
      </c>
      <c r="F1" s="1" t="s">
        <v>15</v>
      </c>
      <c r="G1" s="1" t="s">
        <v>69</v>
      </c>
      <c r="H1" s="1" t="s">
        <v>15</v>
      </c>
      <c r="I1" s="1" t="s">
        <v>69</v>
      </c>
      <c r="J1" s="1" t="s">
        <v>15</v>
      </c>
      <c r="K1" s="1" t="s">
        <v>69</v>
      </c>
    </row>
    <row r="2" spans="1:11" x14ac:dyDescent="0.25">
      <c r="A2" s="2" t="s">
        <v>70</v>
      </c>
      <c r="B2" s="87" t="s">
        <v>113</v>
      </c>
      <c r="C2" s="88"/>
      <c r="D2" s="87" t="s">
        <v>114</v>
      </c>
      <c r="E2" s="88"/>
      <c r="F2" s="87" t="s">
        <v>115</v>
      </c>
      <c r="G2" s="88"/>
      <c r="H2" s="89" t="s">
        <v>116</v>
      </c>
      <c r="I2" s="90"/>
      <c r="J2" s="87" t="s">
        <v>71</v>
      </c>
      <c r="K2" s="88"/>
    </row>
    <row r="3" spans="1:11" x14ac:dyDescent="0.25">
      <c r="A3" s="3"/>
      <c r="B3" s="3"/>
      <c r="C3" s="3"/>
      <c r="D3" s="3"/>
      <c r="E3" s="3"/>
      <c r="F3" s="3"/>
      <c r="G3" s="3"/>
      <c r="H3" s="3"/>
      <c r="I3" s="3"/>
      <c r="J3" s="4"/>
      <c r="K3" s="4"/>
    </row>
    <row r="4" spans="1:11" x14ac:dyDescent="0.25">
      <c r="A4" s="5" t="s">
        <v>72</v>
      </c>
      <c r="B4" s="3"/>
      <c r="C4" s="3"/>
      <c r="D4" s="3"/>
      <c r="E4" s="3"/>
      <c r="F4" s="3"/>
      <c r="G4" s="3"/>
      <c r="H4" s="3"/>
      <c r="I4" s="3"/>
      <c r="J4" s="4"/>
      <c r="K4" s="4"/>
    </row>
    <row r="5" spans="1:11" x14ac:dyDescent="0.25">
      <c r="A5" s="3" t="s">
        <v>73</v>
      </c>
      <c r="B5" s="6"/>
      <c r="C5" s="6"/>
      <c r="D5" s="7">
        <f>5072.98*10</f>
        <v>50729.799999999996</v>
      </c>
      <c r="E5" s="7">
        <f>8033.73*10</f>
        <v>80337.299999999988</v>
      </c>
      <c r="F5" s="7">
        <v>17084.8</v>
      </c>
      <c r="G5" s="7">
        <v>23877.19</v>
      </c>
      <c r="H5" s="7"/>
      <c r="I5" s="7"/>
      <c r="J5" s="8"/>
      <c r="K5" s="8"/>
    </row>
    <row r="6" spans="1:11" x14ac:dyDescent="0.25">
      <c r="A6" s="3" t="s">
        <v>74</v>
      </c>
      <c r="B6" s="6"/>
      <c r="C6" s="9" t="s">
        <v>68</v>
      </c>
      <c r="D6" s="7"/>
      <c r="E6" s="10">
        <v>73690</v>
      </c>
      <c r="F6" s="7"/>
      <c r="G6" s="11">
        <v>30561.14</v>
      </c>
      <c r="H6" s="7"/>
      <c r="I6" s="11"/>
      <c r="J6" s="8"/>
      <c r="K6" s="11"/>
    </row>
    <row r="7" spans="1:11" x14ac:dyDescent="0.25">
      <c r="A7" s="3" t="s">
        <v>75</v>
      </c>
      <c r="C7" s="12" t="e">
        <f>(C5/C6)^(1/3)-1</f>
        <v>#VALUE!</v>
      </c>
      <c r="D7" s="12"/>
      <c r="E7" s="12">
        <f t="shared" ref="E7" si="0">(E5/E6)^(1/3)-1</f>
        <v>2.9207380125174875E-2</v>
      </c>
      <c r="F7" s="12"/>
      <c r="G7" s="12">
        <f t="shared" ref="G7" si="1">(G5/G6)^(1/3)-1</f>
        <v>-7.8975417929668112E-2</v>
      </c>
      <c r="H7" s="13"/>
      <c r="I7" s="11"/>
      <c r="J7" s="13"/>
      <c r="K7" s="11"/>
    </row>
    <row r="8" spans="1:11" x14ac:dyDescent="0.25">
      <c r="A8" s="3" t="s">
        <v>76</v>
      </c>
      <c r="B8" s="6"/>
      <c r="C8" s="6"/>
      <c r="D8" s="7">
        <f>D5-46104</f>
        <v>4625.7999999999956</v>
      </c>
      <c r="E8" s="7">
        <f>E5-72454</f>
        <v>7883.2999999999884</v>
      </c>
      <c r="F8" s="7">
        <f>F5-15463</f>
        <v>1621.7999999999993</v>
      </c>
      <c r="G8" s="7">
        <f>G5-19692</f>
        <v>4185.1899999999987</v>
      </c>
      <c r="H8" s="7"/>
      <c r="I8" s="7"/>
      <c r="J8" s="8"/>
      <c r="K8" s="8"/>
    </row>
    <row r="9" spans="1:11" x14ac:dyDescent="0.25">
      <c r="A9" s="3" t="s">
        <v>77</v>
      </c>
      <c r="B9" s="6"/>
      <c r="C9" s="9" t="s">
        <v>68</v>
      </c>
      <c r="D9" s="7"/>
      <c r="E9" s="10">
        <v>4791.8900000000003</v>
      </c>
      <c r="F9" s="7"/>
      <c r="G9" s="11">
        <v>8431</v>
      </c>
      <c r="H9" s="7"/>
      <c r="I9" s="11"/>
      <c r="J9" s="8"/>
      <c r="K9" s="11"/>
    </row>
    <row r="10" spans="1:11" x14ac:dyDescent="0.25">
      <c r="A10" s="3" t="s">
        <v>75</v>
      </c>
      <c r="B10" s="12"/>
      <c r="C10" s="12" t="e">
        <f>(C8/C9)^(1/3)-1</f>
        <v>#VALUE!</v>
      </c>
      <c r="D10" s="12"/>
      <c r="E10" s="12">
        <f t="shared" ref="E10" si="2">(E8/E9)^(1/3)-1</f>
        <v>0.18050293538614959</v>
      </c>
      <c r="F10" s="12"/>
      <c r="G10" s="12">
        <f t="shared" ref="G10" si="3">(G8/G9)^(1/3)-1</f>
        <v>-0.20820632193304767</v>
      </c>
      <c r="H10" s="13"/>
      <c r="I10" s="11"/>
      <c r="J10" s="13"/>
      <c r="K10" s="11"/>
    </row>
    <row r="11" spans="1:11" x14ac:dyDescent="0.25">
      <c r="A11" s="3" t="s">
        <v>78</v>
      </c>
      <c r="B11" s="12" t="e">
        <f t="shared" ref="B11:C11" si="4">B8/B5</f>
        <v>#DIV/0!</v>
      </c>
      <c r="C11" s="12" t="e">
        <f t="shared" si="4"/>
        <v>#DIV/0!</v>
      </c>
      <c r="D11" s="14">
        <f>D8/D5</f>
        <v>9.1185062823034901E-2</v>
      </c>
      <c r="E11" s="13">
        <f>E8/E5</f>
        <v>9.8127519844455682E-2</v>
      </c>
      <c r="F11" s="14">
        <f>F8/F5</f>
        <v>9.4926484360367075E-2</v>
      </c>
      <c r="G11" s="13">
        <f>G8/G5</f>
        <v>0.17527983820541693</v>
      </c>
      <c r="H11" s="14"/>
      <c r="I11" s="13"/>
      <c r="J11" s="14"/>
      <c r="K11" s="13"/>
    </row>
    <row r="12" spans="1:11" x14ac:dyDescent="0.25">
      <c r="A12" s="3" t="s">
        <v>10</v>
      </c>
      <c r="B12" s="6"/>
      <c r="C12" s="6"/>
      <c r="D12" s="7">
        <f>-27.39*10</f>
        <v>-273.89999999999998</v>
      </c>
      <c r="E12" s="7">
        <f>241.58*10</f>
        <v>2415.8000000000002</v>
      </c>
      <c r="F12" s="7">
        <v>-893</v>
      </c>
      <c r="G12" s="7">
        <v>1030</v>
      </c>
      <c r="H12" s="7"/>
      <c r="I12" s="7"/>
      <c r="J12" s="8"/>
      <c r="K12" s="8"/>
    </row>
    <row r="13" spans="1:11" x14ac:dyDescent="0.25">
      <c r="A13" s="3" t="s">
        <v>79</v>
      </c>
      <c r="B13" s="6"/>
      <c r="C13" s="9" t="s">
        <v>68</v>
      </c>
      <c r="D13" s="7"/>
      <c r="E13" s="10">
        <v>921</v>
      </c>
      <c r="F13" s="7"/>
      <c r="G13" s="11">
        <v>3290</v>
      </c>
      <c r="H13" s="7"/>
      <c r="I13" s="11"/>
      <c r="J13" s="8"/>
      <c r="K13" s="11"/>
    </row>
    <row r="14" spans="1:11" x14ac:dyDescent="0.25">
      <c r="A14" s="3" t="s">
        <v>75</v>
      </c>
      <c r="B14" s="12"/>
      <c r="C14" s="12" t="e">
        <f>(C12/C13)^(1/3)-1</f>
        <v>#VALUE!</v>
      </c>
      <c r="D14" s="12"/>
      <c r="E14" s="12">
        <f t="shared" ref="E14" si="5">(E12/E13)^(1/3)-1</f>
        <v>0.37911489455415204</v>
      </c>
      <c r="F14" s="12"/>
      <c r="G14" s="12">
        <f t="shared" ref="G14" si="6">(G12/G13)^(1/3)-1</f>
        <v>-0.32098332089922066</v>
      </c>
      <c r="H14" s="13"/>
      <c r="I14" s="11"/>
      <c r="J14" s="13"/>
      <c r="K14" s="11"/>
    </row>
    <row r="15" spans="1:11" x14ac:dyDescent="0.25">
      <c r="A15" s="3" t="s">
        <v>80</v>
      </c>
      <c r="B15" s="12" t="e">
        <f t="shared" ref="B15:C15" si="7">B12/B5</f>
        <v>#DIV/0!</v>
      </c>
      <c r="C15" s="12" t="e">
        <f t="shared" si="7"/>
        <v>#DIV/0!</v>
      </c>
      <c r="D15" s="14">
        <f>D12/D5</f>
        <v>-5.3991933735201003E-3</v>
      </c>
      <c r="E15" s="13">
        <f>E12/E5</f>
        <v>3.0070714350619209E-2</v>
      </c>
      <c r="F15" s="23">
        <f>F12/F5</f>
        <v>-5.2268683274021357E-2</v>
      </c>
      <c r="G15" s="13">
        <f>G12/G5</f>
        <v>4.3137404359558228E-2</v>
      </c>
      <c r="H15" s="14"/>
      <c r="I15" s="13"/>
      <c r="J15" s="14"/>
      <c r="K15" s="13"/>
    </row>
    <row r="16" spans="1:11" x14ac:dyDescent="0.25">
      <c r="A16" s="3" t="s">
        <v>14</v>
      </c>
      <c r="B16" s="3"/>
      <c r="C16" s="3"/>
      <c r="D16" s="15">
        <v>0.64</v>
      </c>
      <c r="E16" s="15">
        <v>9.1300000000000008</v>
      </c>
      <c r="F16" s="15">
        <v>-6.95</v>
      </c>
      <c r="G16" s="15">
        <v>8.01</v>
      </c>
      <c r="H16" s="15"/>
      <c r="I16" s="15"/>
      <c r="J16" s="16"/>
      <c r="K16" s="16"/>
    </row>
    <row r="17" spans="1:11" x14ac:dyDescent="0.25">
      <c r="A17" s="3"/>
      <c r="B17" s="3"/>
      <c r="C17" s="3"/>
      <c r="D17" s="7"/>
      <c r="E17" s="3"/>
      <c r="F17" s="7"/>
      <c r="G17" s="15"/>
      <c r="H17" s="7"/>
      <c r="I17" s="15"/>
      <c r="J17" s="8"/>
      <c r="K17" s="16"/>
    </row>
    <row r="18" spans="1:11" x14ac:dyDescent="0.25">
      <c r="A18" s="5" t="s">
        <v>81</v>
      </c>
      <c r="B18" s="3"/>
      <c r="C18" s="3"/>
      <c r="D18" s="7"/>
      <c r="E18" s="3"/>
      <c r="F18" s="7"/>
      <c r="G18" s="15"/>
      <c r="H18" s="7"/>
      <c r="I18" s="15"/>
      <c r="J18" s="8"/>
      <c r="K18" s="16"/>
    </row>
    <row r="19" spans="1:11" x14ac:dyDescent="0.25">
      <c r="A19" s="3" t="s">
        <v>82</v>
      </c>
      <c r="B19" s="6"/>
      <c r="C19" s="6"/>
      <c r="D19" s="7">
        <f>2719.29*10</f>
        <v>27192.9</v>
      </c>
      <c r="E19" s="7">
        <f>2950.53*10</f>
        <v>29505.300000000003</v>
      </c>
      <c r="F19" s="7">
        <v>17580.91</v>
      </c>
      <c r="G19" s="7">
        <v>18146.52</v>
      </c>
      <c r="H19" s="7"/>
      <c r="I19" s="7"/>
      <c r="J19" s="8"/>
      <c r="K19" s="8"/>
    </row>
    <row r="20" spans="1:11" x14ac:dyDescent="0.25">
      <c r="A20" s="3" t="s">
        <v>63</v>
      </c>
      <c r="B20" s="6">
        <f>SUM(B21:B22)</f>
        <v>0</v>
      </c>
      <c r="C20" s="6">
        <f>SUM(C21:C22)</f>
        <v>0</v>
      </c>
      <c r="D20" s="7">
        <f>SUM(D21:D22)</f>
        <v>20021.5</v>
      </c>
      <c r="E20" s="15">
        <f>SUM(E21:E22)</f>
        <v>17594.5</v>
      </c>
      <c r="F20" s="7"/>
      <c r="G20" s="7"/>
      <c r="H20" s="7"/>
      <c r="I20" s="7"/>
      <c r="J20" s="8"/>
      <c r="K20" s="8"/>
    </row>
    <row r="21" spans="1:11" x14ac:dyDescent="0.25">
      <c r="A21" s="3" t="s">
        <v>83</v>
      </c>
      <c r="B21" s="6"/>
      <c r="C21" s="6"/>
      <c r="D21" s="7">
        <f>1141.9*10</f>
        <v>11419</v>
      </c>
      <c r="E21" s="15">
        <f>757.73*10</f>
        <v>7577.3</v>
      </c>
      <c r="F21" s="7"/>
      <c r="G21" s="7"/>
      <c r="H21" s="7"/>
      <c r="I21" s="7"/>
      <c r="J21" s="8"/>
      <c r="K21" s="8"/>
    </row>
    <row r="22" spans="1:11" x14ac:dyDescent="0.25">
      <c r="A22" s="3" t="s">
        <v>84</v>
      </c>
      <c r="B22" s="6"/>
      <c r="C22" s="6"/>
      <c r="D22" s="7">
        <f>860.25*10</f>
        <v>8602.5</v>
      </c>
      <c r="E22" s="15">
        <f>1001.72*10</f>
        <v>10017.200000000001</v>
      </c>
      <c r="F22" s="7"/>
      <c r="G22" s="7"/>
      <c r="H22" s="7"/>
      <c r="I22" s="7"/>
      <c r="J22" s="8"/>
      <c r="K22" s="8"/>
    </row>
    <row r="23" spans="1:11" x14ac:dyDescent="0.25">
      <c r="A23" s="3"/>
      <c r="B23" s="3"/>
      <c r="C23" s="3"/>
      <c r="D23" s="7"/>
      <c r="E23" s="3"/>
      <c r="F23" s="7"/>
      <c r="G23" s="15"/>
      <c r="H23" s="7"/>
      <c r="I23" s="15"/>
      <c r="J23" s="8"/>
      <c r="K23" s="16"/>
    </row>
    <row r="24" spans="1:11" x14ac:dyDescent="0.25">
      <c r="A24" s="5" t="s">
        <v>85</v>
      </c>
      <c r="B24" s="3"/>
      <c r="C24" s="3"/>
      <c r="D24" s="7"/>
      <c r="E24" s="3"/>
      <c r="F24" s="7"/>
      <c r="G24" s="15"/>
      <c r="H24" s="7"/>
      <c r="I24" s="15"/>
      <c r="J24" s="8"/>
      <c r="K24" s="16"/>
    </row>
    <row r="25" spans="1:11" x14ac:dyDescent="0.25">
      <c r="A25" s="3" t="s">
        <v>86</v>
      </c>
      <c r="B25" s="6"/>
      <c r="C25" s="6"/>
      <c r="D25" s="7">
        <f>776.28*10</f>
        <v>7762.7999999999993</v>
      </c>
      <c r="E25" s="7">
        <f>594.57*10</f>
        <v>5945.7000000000007</v>
      </c>
      <c r="F25" s="7">
        <v>4610.54</v>
      </c>
      <c r="G25" s="7">
        <v>2115.08</v>
      </c>
      <c r="H25" s="7"/>
      <c r="I25" s="7"/>
      <c r="J25" s="8"/>
      <c r="K25" s="8"/>
    </row>
    <row r="26" spans="1:11" x14ac:dyDescent="0.25">
      <c r="A26" s="3" t="s">
        <v>60</v>
      </c>
      <c r="B26" s="6">
        <f t="shared" ref="B26:G26" si="8">B25-B27</f>
        <v>0</v>
      </c>
      <c r="C26" s="6">
        <f t="shared" si="8"/>
        <v>0</v>
      </c>
      <c r="D26" s="7">
        <f t="shared" si="8"/>
        <v>6604.1999999999989</v>
      </c>
      <c r="E26" s="7">
        <f t="shared" si="8"/>
        <v>4087.8000000000011</v>
      </c>
      <c r="F26" s="7">
        <f t="shared" si="8"/>
        <v>4978.04</v>
      </c>
      <c r="G26" s="7">
        <f t="shared" si="8"/>
        <v>2600.92</v>
      </c>
      <c r="H26" s="7"/>
      <c r="I26" s="7"/>
      <c r="J26" s="8"/>
      <c r="K26" s="8"/>
    </row>
    <row r="27" spans="1:11" x14ac:dyDescent="0.25">
      <c r="A27" s="3" t="s">
        <v>87</v>
      </c>
      <c r="B27" s="3"/>
      <c r="C27" s="3"/>
      <c r="D27" s="7">
        <f>115.86*10</f>
        <v>1158.5999999999999</v>
      </c>
      <c r="E27" s="3">
        <f>185.79*10</f>
        <v>1857.8999999999999</v>
      </c>
      <c r="F27" s="7">
        <v>-367.5</v>
      </c>
      <c r="G27" s="15">
        <v>-485.84</v>
      </c>
      <c r="H27" s="7"/>
      <c r="I27" s="15"/>
      <c r="J27" s="8"/>
      <c r="K27" s="16"/>
    </row>
    <row r="28" spans="1:11" x14ac:dyDescent="0.25">
      <c r="A28" s="3"/>
      <c r="B28" s="3"/>
      <c r="C28" s="3"/>
      <c r="D28" s="7"/>
      <c r="E28" s="3"/>
      <c r="F28" s="7"/>
      <c r="G28" s="15"/>
      <c r="H28" s="7"/>
      <c r="I28" s="15"/>
      <c r="J28" s="8"/>
      <c r="K28" s="16"/>
    </row>
    <row r="29" spans="1:11" x14ac:dyDescent="0.25">
      <c r="A29" s="3" t="s">
        <v>88</v>
      </c>
      <c r="B29" s="6"/>
      <c r="C29" s="6"/>
      <c r="D29" s="15">
        <v>260585819</v>
      </c>
      <c r="E29" s="15">
        <v>260585819</v>
      </c>
      <c r="F29" s="15">
        <v>128527540</v>
      </c>
      <c r="G29" s="15">
        <v>128527540</v>
      </c>
      <c r="H29" s="7"/>
      <c r="I29" s="7"/>
      <c r="J29" s="8"/>
      <c r="K29" s="8"/>
    </row>
    <row r="30" spans="1:11" x14ac:dyDescent="0.25">
      <c r="A30" s="3" t="s">
        <v>62</v>
      </c>
      <c r="B30" s="6">
        <f>B29*B41</f>
        <v>0</v>
      </c>
      <c r="C30" s="6">
        <f>C29*C41</f>
        <v>0</v>
      </c>
      <c r="D30" s="7"/>
      <c r="E30" s="15">
        <f>2517.26*10</f>
        <v>25172.600000000002</v>
      </c>
      <c r="F30" s="7"/>
      <c r="G30" s="7">
        <f>22797.57*10</f>
        <v>227975.7</v>
      </c>
      <c r="H30" s="7"/>
      <c r="I30" s="7"/>
      <c r="J30" s="7"/>
      <c r="K30" s="7"/>
    </row>
    <row r="31" spans="1:11" x14ac:dyDescent="0.25">
      <c r="A31" s="3" t="s">
        <v>89</v>
      </c>
      <c r="B31" s="6">
        <f>B30+B20-B32</f>
        <v>0</v>
      </c>
      <c r="C31" s="6">
        <f>C30+C20-C32</f>
        <v>0</v>
      </c>
      <c r="D31" s="7"/>
      <c r="E31" s="17">
        <f>E30+E20-E32</f>
        <v>42169.3</v>
      </c>
      <c r="F31" s="7"/>
      <c r="G31" s="7">
        <f>G30+G20-G32</f>
        <v>227797.98</v>
      </c>
      <c r="H31" s="7"/>
      <c r="I31" s="7"/>
      <c r="J31" s="8"/>
      <c r="K31" s="8"/>
    </row>
    <row r="32" spans="1:11" x14ac:dyDescent="0.25">
      <c r="A32" s="3" t="s">
        <v>90</v>
      </c>
      <c r="B32" s="3"/>
      <c r="C32" s="3"/>
      <c r="D32" s="7">
        <f>27.12*10</f>
        <v>271.2</v>
      </c>
      <c r="E32" s="3">
        <f>59.78*10</f>
        <v>597.79999999999995</v>
      </c>
      <c r="F32" s="7">
        <v>544.9</v>
      </c>
      <c r="G32" s="15">
        <v>177.72</v>
      </c>
      <c r="H32" s="7"/>
      <c r="I32" s="15"/>
      <c r="J32" s="8"/>
      <c r="K32" s="16"/>
    </row>
    <row r="33" spans="1:11" x14ac:dyDescent="0.25">
      <c r="A33" s="3"/>
      <c r="B33" s="3"/>
      <c r="C33" s="3"/>
      <c r="D33" s="7"/>
      <c r="E33" s="3"/>
      <c r="F33" s="7"/>
      <c r="G33" s="15"/>
      <c r="H33" s="7"/>
      <c r="I33" s="15"/>
      <c r="J33" s="8"/>
      <c r="K33" s="16"/>
    </row>
    <row r="34" spans="1:11" x14ac:dyDescent="0.25">
      <c r="A34" s="3" t="s">
        <v>91</v>
      </c>
      <c r="B34" s="18" t="e">
        <f>B41/B16</f>
        <v>#DIV/0!</v>
      </c>
      <c r="C34" s="18" t="e">
        <f>C41/C16</f>
        <v>#DIV/0!</v>
      </c>
      <c r="D34" s="18">
        <f>D41/D16</f>
        <v>102.65625</v>
      </c>
      <c r="E34" s="18">
        <f>E41/E16</f>
        <v>12.650602409638553</v>
      </c>
      <c r="F34" s="18">
        <f t="shared" ref="F34:I34" si="9">F41/F16</f>
        <v>-202.10791366906474</v>
      </c>
      <c r="G34" s="18">
        <f t="shared" si="9"/>
        <v>244.93757802746569</v>
      </c>
      <c r="H34" s="18" t="e">
        <f t="shared" si="9"/>
        <v>#DIV/0!</v>
      </c>
      <c r="I34" s="18" t="e">
        <f t="shared" si="9"/>
        <v>#DIV/0!</v>
      </c>
      <c r="J34" s="18"/>
      <c r="K34" s="19"/>
    </row>
    <row r="35" spans="1:11" x14ac:dyDescent="0.25">
      <c r="A35" s="3" t="s">
        <v>44</v>
      </c>
      <c r="B35" s="20">
        <f>B36/B41</f>
        <v>0</v>
      </c>
      <c r="C35" s="20">
        <f>C36/C41</f>
        <v>0</v>
      </c>
      <c r="D35" s="20">
        <f t="shared" ref="D35:I35" si="10">D36/D41</f>
        <v>0</v>
      </c>
      <c r="E35" s="20">
        <f t="shared" si="10"/>
        <v>0</v>
      </c>
      <c r="F35" s="20">
        <f t="shared" si="10"/>
        <v>2.8476844765599968E-3</v>
      </c>
      <c r="G35" s="20">
        <f t="shared" si="10"/>
        <v>2.5484849257116642E-3</v>
      </c>
      <c r="H35" s="20">
        <f t="shared" si="10"/>
        <v>0</v>
      </c>
      <c r="I35" s="20">
        <f t="shared" si="10"/>
        <v>0</v>
      </c>
      <c r="J35" s="8"/>
      <c r="K35" s="16"/>
    </row>
    <row r="36" spans="1:11" x14ac:dyDescent="0.25">
      <c r="A36" s="3" t="s">
        <v>92</v>
      </c>
      <c r="B36" s="20"/>
      <c r="C36" s="21"/>
      <c r="D36" s="7"/>
      <c r="E36" s="15"/>
      <c r="F36" s="7">
        <v>4</v>
      </c>
      <c r="G36" s="15">
        <v>5</v>
      </c>
      <c r="H36" s="7"/>
      <c r="I36" s="15"/>
      <c r="J36" s="8"/>
      <c r="K36" s="16"/>
    </row>
    <row r="37" spans="1:11" x14ac:dyDescent="0.25">
      <c r="A37" s="3" t="s">
        <v>93</v>
      </c>
      <c r="B37" s="18" t="e">
        <f>B41/B43</f>
        <v>#DIV/0!</v>
      </c>
      <c r="C37" s="21" t="e">
        <f>C41/C43</f>
        <v>#DIV/0!</v>
      </c>
      <c r="D37" s="18">
        <f t="shared" ref="D37:I37" si="11">D41/D43</f>
        <v>629594.0597839877</v>
      </c>
      <c r="E37" s="21">
        <f t="shared" si="11"/>
        <v>1020076.4640420533</v>
      </c>
      <c r="F37" s="18">
        <f t="shared" si="11"/>
        <v>10268877.382399432</v>
      </c>
      <c r="G37" s="21">
        <f t="shared" si="11"/>
        <v>13896031.145530934</v>
      </c>
      <c r="H37" s="18" t="e">
        <f t="shared" si="11"/>
        <v>#DIV/0!</v>
      </c>
      <c r="I37" s="21" t="e">
        <f t="shared" si="11"/>
        <v>#DIV/0!</v>
      </c>
      <c r="J37" s="15"/>
      <c r="K37" s="15"/>
    </row>
    <row r="38" spans="1:11" x14ac:dyDescent="0.25">
      <c r="A38" s="3" t="s">
        <v>94</v>
      </c>
      <c r="B38" s="18" t="e">
        <f>B31/B8</f>
        <v>#DIV/0!</v>
      </c>
      <c r="C38" s="18" t="e">
        <f>C31/C8</f>
        <v>#DIV/0!</v>
      </c>
      <c r="D38" s="18">
        <f t="shared" ref="D38:I38" si="12">D31/D8</f>
        <v>0</v>
      </c>
      <c r="E38" s="18">
        <f t="shared" si="12"/>
        <v>5.3491938655131817</v>
      </c>
      <c r="F38" s="18">
        <f t="shared" si="12"/>
        <v>0</v>
      </c>
      <c r="G38" s="18">
        <f t="shared" si="12"/>
        <v>54.429543222649407</v>
      </c>
      <c r="H38" s="18" t="e">
        <f t="shared" si="12"/>
        <v>#DIV/0!</v>
      </c>
      <c r="I38" s="18" t="e">
        <f t="shared" si="12"/>
        <v>#DIV/0!</v>
      </c>
      <c r="J38" s="18"/>
      <c r="K38" s="15"/>
    </row>
    <row r="39" spans="1:11" x14ac:dyDescent="0.25">
      <c r="A39" s="3"/>
      <c r="B39" s="3"/>
      <c r="C39" s="3"/>
      <c r="D39" s="7"/>
      <c r="E39" s="3"/>
      <c r="F39" s="7"/>
      <c r="G39" s="15"/>
      <c r="H39" s="7"/>
      <c r="I39" s="15"/>
      <c r="J39" s="8"/>
      <c r="K39" s="16"/>
    </row>
    <row r="40" spans="1:11" x14ac:dyDescent="0.25">
      <c r="A40" s="5" t="s">
        <v>95</v>
      </c>
      <c r="B40" s="3"/>
      <c r="C40" s="3"/>
      <c r="D40" s="7"/>
      <c r="E40" s="3"/>
      <c r="F40" s="7"/>
      <c r="G40" s="15"/>
      <c r="H40" s="7"/>
      <c r="I40" s="15"/>
      <c r="J40" s="8"/>
      <c r="K40" s="16"/>
    </row>
    <row r="41" spans="1:11" x14ac:dyDescent="0.25">
      <c r="A41" s="3" t="s">
        <v>96</v>
      </c>
      <c r="B41" s="18">
        <v>390</v>
      </c>
      <c r="C41" s="3">
        <v>758.1</v>
      </c>
      <c r="D41" s="15">
        <v>65.7</v>
      </c>
      <c r="E41" s="3">
        <v>115.5</v>
      </c>
      <c r="F41" s="15">
        <v>1404.65</v>
      </c>
      <c r="G41" s="15">
        <v>1961.95</v>
      </c>
      <c r="H41" s="15">
        <v>127.25</v>
      </c>
      <c r="I41" s="15">
        <v>146.4</v>
      </c>
      <c r="J41" s="16"/>
      <c r="K41" s="16"/>
    </row>
    <row r="42" spans="1:11" x14ac:dyDescent="0.25">
      <c r="A42" s="3" t="s">
        <v>97</v>
      </c>
      <c r="B42" s="17">
        <f>B19</f>
        <v>0</v>
      </c>
      <c r="C42" s="17">
        <f>C19</f>
        <v>0</v>
      </c>
      <c r="D42" s="17">
        <f t="shared" ref="D42:I42" si="13">D19</f>
        <v>27192.9</v>
      </c>
      <c r="E42" s="17">
        <f t="shared" si="13"/>
        <v>29505.300000000003</v>
      </c>
      <c r="F42" s="17">
        <f t="shared" si="13"/>
        <v>17580.91</v>
      </c>
      <c r="G42" s="17">
        <f t="shared" si="13"/>
        <v>18146.52</v>
      </c>
      <c r="H42" s="17">
        <f t="shared" si="13"/>
        <v>0</v>
      </c>
      <c r="I42" s="17">
        <f t="shared" si="13"/>
        <v>0</v>
      </c>
      <c r="J42" s="8"/>
      <c r="K42" s="8"/>
    </row>
    <row r="43" spans="1:11" x14ac:dyDescent="0.25">
      <c r="A43" s="3" t="s">
        <v>98</v>
      </c>
      <c r="B43" s="18" t="e">
        <f>B42/B29</f>
        <v>#DIV/0!</v>
      </c>
      <c r="C43" s="18" t="e">
        <f>C42/C29</f>
        <v>#DIV/0!</v>
      </c>
      <c r="D43" s="18">
        <f t="shared" ref="D43:G43" si="14">D42/D29</f>
        <v>1.0435295406462622E-4</v>
      </c>
      <c r="E43" s="18">
        <f t="shared" si="14"/>
        <v>1.1322680609876166E-4</v>
      </c>
      <c r="F43" s="18">
        <f t="shared" si="14"/>
        <v>1.3678710414904074E-4</v>
      </c>
      <c r="G43" s="18">
        <f t="shared" si="14"/>
        <v>1.4118779523828123E-4</v>
      </c>
      <c r="H43" s="15"/>
      <c r="I43" s="19"/>
      <c r="J43" s="15"/>
      <c r="K43" s="19"/>
    </row>
    <row r="44" spans="1:11" x14ac:dyDescent="0.25">
      <c r="A44" s="3" t="s">
        <v>99</v>
      </c>
      <c r="B44" s="20" t="e">
        <f>B12/B19</f>
        <v>#DIV/0!</v>
      </c>
      <c r="C44" s="20" t="e">
        <f>C12/C19</f>
        <v>#DIV/0!</v>
      </c>
      <c r="D44" s="20">
        <f t="shared" ref="D44:I44" si="15">D12/D19</f>
        <v>-1.0072482155268469E-2</v>
      </c>
      <c r="E44" s="20">
        <f t="shared" si="15"/>
        <v>8.187681535181815E-2</v>
      </c>
      <c r="F44" s="20">
        <f t="shared" si="15"/>
        <v>-5.0793730244907687E-2</v>
      </c>
      <c r="G44" s="20">
        <f t="shared" si="15"/>
        <v>5.6760194241099668E-2</v>
      </c>
      <c r="H44" s="20" t="e">
        <f t="shared" si="15"/>
        <v>#DIV/0!</v>
      </c>
      <c r="I44" s="20" t="e">
        <f t="shared" si="15"/>
        <v>#DIV/0!</v>
      </c>
      <c r="J44" s="14"/>
      <c r="K44" s="14"/>
    </row>
    <row r="45" spans="1:11" x14ac:dyDescent="0.25">
      <c r="A45" s="3" t="s">
        <v>100</v>
      </c>
      <c r="B45" s="22" t="e">
        <f>B46/B48</f>
        <v>#DIV/0!</v>
      </c>
      <c r="C45" s="22" t="e">
        <f>C46/C48</f>
        <v>#DIV/0!</v>
      </c>
      <c r="D45" s="20">
        <f t="shared" ref="D45:I45" si="16">D46/D48</f>
        <v>4.351825053836747E-2</v>
      </c>
      <c r="E45" s="20">
        <f t="shared" si="16"/>
        <v>0.12866794091920591</v>
      </c>
      <c r="F45" s="22">
        <f t="shared" si="16"/>
        <v>6.0894450763792907E-2</v>
      </c>
      <c r="G45" s="22">
        <f t="shared" si="16"/>
        <v>0.22817654052125738</v>
      </c>
      <c r="H45" s="22" t="e">
        <f t="shared" si="16"/>
        <v>#DIV/0!</v>
      </c>
      <c r="I45" s="22" t="e">
        <f t="shared" si="16"/>
        <v>#DIV/0!</v>
      </c>
      <c r="J45" s="24"/>
      <c r="K45" s="25"/>
    </row>
    <row r="46" spans="1:11" x14ac:dyDescent="0.25">
      <c r="A46" s="3" t="s">
        <v>101</v>
      </c>
      <c r="B46" s="26">
        <f>B8-B47</f>
        <v>0</v>
      </c>
      <c r="C46" s="26">
        <f>C8-C47</f>
        <v>0</v>
      </c>
      <c r="D46" s="26">
        <f>D8-D47</f>
        <v>1774.2999999999956</v>
      </c>
      <c r="E46" s="17">
        <f>E8-E47</f>
        <v>5163.199999999988</v>
      </c>
      <c r="F46" s="26">
        <f t="shared" ref="F46:I46" si="17">F8-F47</f>
        <v>1595.3249999999994</v>
      </c>
      <c r="G46" s="17">
        <f t="shared" si="17"/>
        <v>4160.9935999999989</v>
      </c>
      <c r="H46" s="26">
        <f t="shared" si="17"/>
        <v>0</v>
      </c>
      <c r="I46" s="17">
        <f t="shared" si="17"/>
        <v>0</v>
      </c>
      <c r="J46" s="24"/>
      <c r="K46" s="25"/>
    </row>
    <row r="47" spans="1:11" x14ac:dyDescent="0.25">
      <c r="A47" s="3" t="s">
        <v>6</v>
      </c>
      <c r="B47" s="20"/>
      <c r="C47" s="20"/>
      <c r="D47" s="31">
        <f>285.15*10</f>
        <v>2851.5</v>
      </c>
      <c r="E47" s="3">
        <f>272.01*10</f>
        <v>2720.1</v>
      </c>
      <c r="F47" s="31">
        <v>26.475000000000001</v>
      </c>
      <c r="G47" s="33">
        <v>24.196400000000001</v>
      </c>
      <c r="H47" s="14"/>
      <c r="I47" s="23"/>
      <c r="J47" s="24"/>
      <c r="K47" s="25"/>
    </row>
    <row r="48" spans="1:11" x14ac:dyDescent="0.25">
      <c r="A48" s="3" t="s">
        <v>102</v>
      </c>
      <c r="B48" s="26">
        <f>B19+B49</f>
        <v>0</v>
      </c>
      <c r="C48" s="26">
        <f>C19+C49</f>
        <v>0</v>
      </c>
      <c r="D48" s="26">
        <f t="shared" ref="D48:I48" si="18">D19+D49</f>
        <v>40771.4</v>
      </c>
      <c r="E48" s="26">
        <f t="shared" si="18"/>
        <v>40128.100000000006</v>
      </c>
      <c r="F48" s="26">
        <f t="shared" si="18"/>
        <v>26198.2</v>
      </c>
      <c r="G48" s="26">
        <f t="shared" si="18"/>
        <v>18235.851900000001</v>
      </c>
      <c r="H48" s="26">
        <f t="shared" si="18"/>
        <v>0</v>
      </c>
      <c r="I48" s="26">
        <f t="shared" si="18"/>
        <v>0</v>
      </c>
      <c r="J48" s="24"/>
      <c r="K48" s="25"/>
    </row>
    <row r="49" spans="1:11" x14ac:dyDescent="0.25">
      <c r="A49" s="3" t="s">
        <v>103</v>
      </c>
      <c r="B49" s="20"/>
      <c r="C49" s="20"/>
      <c r="D49" s="31">
        <f>1357.85*10</f>
        <v>13578.5</v>
      </c>
      <c r="E49" s="3">
        <f>1062.28*10</f>
        <v>10622.8</v>
      </c>
      <c r="F49" s="31">
        <v>8617.2900000000009</v>
      </c>
      <c r="G49" s="33">
        <v>89.331900000000005</v>
      </c>
      <c r="H49" s="14"/>
      <c r="I49" s="23"/>
      <c r="J49" s="24"/>
      <c r="K49" s="25"/>
    </row>
    <row r="50" spans="1:11" x14ac:dyDescent="0.25">
      <c r="A50" s="3" t="s">
        <v>104</v>
      </c>
      <c r="B50" s="3" t="e">
        <f>B5/SUM(B51:B53)</f>
        <v>#DIV/0!</v>
      </c>
      <c r="C50" s="3" t="e">
        <f>C5/SUM(C51:C53)</f>
        <v>#DIV/0!</v>
      </c>
      <c r="D50" s="3">
        <f t="shared" ref="D50:I50" si="19">D5/SUM(D51:D53)</f>
        <v>1.4275567662180146</v>
      </c>
      <c r="E50" s="3">
        <f t="shared" si="19"/>
        <v>2.4337703805582649</v>
      </c>
      <c r="F50" s="3">
        <f t="shared" si="19"/>
        <v>5.4660865113898129</v>
      </c>
      <c r="G50" s="3">
        <f t="shared" si="19"/>
        <v>8.1706840502344029</v>
      </c>
      <c r="H50" s="3" t="e">
        <f t="shared" si="19"/>
        <v>#DIV/0!</v>
      </c>
      <c r="I50" s="3" t="e">
        <f t="shared" si="19"/>
        <v>#DIV/0!</v>
      </c>
      <c r="J50" s="16"/>
      <c r="K50" s="16"/>
    </row>
    <row r="51" spans="1:11" x14ac:dyDescent="0.25">
      <c r="A51" s="3" t="s">
        <v>105</v>
      </c>
      <c r="B51" s="18"/>
      <c r="C51" s="18"/>
      <c r="D51" s="15">
        <f>3405.38*10</f>
        <v>34053.800000000003</v>
      </c>
      <c r="E51" s="3">
        <f>3189.36*10</f>
        <v>31893.600000000002</v>
      </c>
      <c r="F51" s="15">
        <v>2834.12</v>
      </c>
      <c r="G51" s="15">
        <v>2885.07</v>
      </c>
      <c r="H51" s="15"/>
      <c r="I51" s="15"/>
      <c r="J51" s="16"/>
      <c r="K51" s="16"/>
    </row>
    <row r="52" spans="1:11" x14ac:dyDescent="0.25">
      <c r="A52" s="3" t="s">
        <v>106</v>
      </c>
      <c r="B52" s="18"/>
      <c r="C52" s="18"/>
      <c r="D52" s="15">
        <f>77.95*10</f>
        <v>779.5</v>
      </c>
      <c r="E52" s="3">
        <f>45.32*10</f>
        <v>453.2</v>
      </c>
      <c r="F52" s="15">
        <v>291.48</v>
      </c>
      <c r="G52" s="15">
        <v>37.229999999999997</v>
      </c>
      <c r="H52" s="15"/>
      <c r="I52" s="15"/>
      <c r="J52" s="16"/>
      <c r="K52" s="16"/>
    </row>
    <row r="53" spans="1:11" x14ac:dyDescent="0.25">
      <c r="A53" s="3" t="s">
        <v>107</v>
      </c>
      <c r="B53" s="18"/>
      <c r="C53" s="18"/>
      <c r="D53" s="15">
        <f>70.28*10</f>
        <v>702.8</v>
      </c>
      <c r="E53" s="3">
        <f>66.26*10</f>
        <v>662.6</v>
      </c>
      <c r="F53" s="15">
        <v>0</v>
      </c>
      <c r="G53" s="15">
        <v>0</v>
      </c>
      <c r="H53" s="15"/>
      <c r="I53" s="15"/>
      <c r="J53" s="16"/>
      <c r="K53" s="16"/>
    </row>
    <row r="54" spans="1:11" x14ac:dyDescent="0.25">
      <c r="A54" s="3" t="s">
        <v>108</v>
      </c>
      <c r="B54" s="18" t="e">
        <f>B20/B19</f>
        <v>#DIV/0!</v>
      </c>
      <c r="C54" s="18" t="e">
        <f>C20/C19</f>
        <v>#DIV/0!</v>
      </c>
      <c r="D54" s="18">
        <f t="shared" ref="D54:I54" si="20">D20/D19</f>
        <v>0.73627674871014126</v>
      </c>
      <c r="E54" s="18">
        <f t="shared" si="20"/>
        <v>0.5963165939678633</v>
      </c>
      <c r="F54" s="18">
        <f t="shared" si="20"/>
        <v>0</v>
      </c>
      <c r="G54" s="18">
        <f t="shared" si="20"/>
        <v>0</v>
      </c>
      <c r="H54" s="18" t="e">
        <f t="shared" si="20"/>
        <v>#DIV/0!</v>
      </c>
      <c r="I54" s="18" t="e">
        <f t="shared" si="20"/>
        <v>#DIV/0!</v>
      </c>
      <c r="J54" s="15"/>
      <c r="K54" s="15"/>
    </row>
    <row r="55" spans="1:11" x14ac:dyDescent="0.25">
      <c r="A55" s="3" t="s">
        <v>109</v>
      </c>
      <c r="B55" s="3" t="e">
        <f>(B20-B32)/B19</f>
        <v>#DIV/0!</v>
      </c>
      <c r="C55" s="3" t="e">
        <f>(C20-C32)/C19</f>
        <v>#DIV/0!</v>
      </c>
      <c r="D55" s="3">
        <f t="shared" ref="D55:I55" si="21">(D20-D32)/D19</f>
        <v>0.72630355717852813</v>
      </c>
      <c r="E55" s="3">
        <f t="shared" si="21"/>
        <v>0.57605582725815363</v>
      </c>
      <c r="F55" s="3">
        <f t="shared" si="21"/>
        <v>-3.099384502849966E-2</v>
      </c>
      <c r="G55" s="3">
        <f t="shared" si="21"/>
        <v>-9.7936133209011976E-3</v>
      </c>
      <c r="H55" s="3" t="e">
        <f t="shared" si="21"/>
        <v>#DIV/0!</v>
      </c>
      <c r="I55" s="3" t="e">
        <f t="shared" si="21"/>
        <v>#DIV/0!</v>
      </c>
      <c r="J55" s="16"/>
      <c r="K55" s="16"/>
    </row>
    <row r="56" spans="1:11" x14ac:dyDescent="0.25">
      <c r="A56" s="3" t="s">
        <v>110</v>
      </c>
      <c r="B56" s="18" t="e">
        <f>B57/B58</f>
        <v>#DIV/0!</v>
      </c>
      <c r="C56" s="18" t="e">
        <f>C57/C58</f>
        <v>#DIV/0!</v>
      </c>
      <c r="D56" s="18">
        <f t="shared" ref="D56:I56" si="22">D57/D58</f>
        <v>0.790298873101419</v>
      </c>
      <c r="E56" s="18">
        <f t="shared" si="22"/>
        <v>2.9264864252111247</v>
      </c>
      <c r="F56" s="18">
        <f t="shared" si="22"/>
        <v>1.718766834019263</v>
      </c>
      <c r="G56" s="18">
        <f t="shared" si="22"/>
        <v>4.0185364817229212</v>
      </c>
      <c r="H56" s="18" t="e">
        <f t="shared" si="22"/>
        <v>#DIV/0!</v>
      </c>
      <c r="I56" s="18" t="e">
        <f t="shared" si="22"/>
        <v>#DIV/0!</v>
      </c>
      <c r="J56" s="16"/>
      <c r="K56" s="16"/>
    </row>
    <row r="57" spans="1:11" x14ac:dyDescent="0.25">
      <c r="A57" s="3" t="s">
        <v>101</v>
      </c>
      <c r="B57" s="18"/>
      <c r="C57" s="18"/>
      <c r="D57" s="15">
        <f>D46</f>
        <v>1774.2999999999956</v>
      </c>
      <c r="E57" s="15">
        <f>E46</f>
        <v>5163.199999999988</v>
      </c>
      <c r="F57" s="15">
        <f t="shared" ref="F57:I57" si="23">F46</f>
        <v>1595.3249999999994</v>
      </c>
      <c r="G57" s="15">
        <f t="shared" si="23"/>
        <v>4160.9935999999989</v>
      </c>
      <c r="H57" s="15">
        <f t="shared" si="23"/>
        <v>0</v>
      </c>
      <c r="I57" s="15">
        <f t="shared" si="23"/>
        <v>0</v>
      </c>
      <c r="J57" s="16"/>
      <c r="K57" s="16"/>
    </row>
    <row r="58" spans="1:11" x14ac:dyDescent="0.25">
      <c r="A58" s="3" t="s">
        <v>111</v>
      </c>
      <c r="B58" s="18"/>
      <c r="C58" s="18"/>
      <c r="D58" s="15">
        <f>224.51*10</f>
        <v>2245.1</v>
      </c>
      <c r="E58" s="15">
        <f>176.43*10</f>
        <v>1764.3000000000002</v>
      </c>
      <c r="F58" s="15">
        <v>928.18</v>
      </c>
      <c r="G58" s="15">
        <v>1035.45</v>
      </c>
      <c r="H58" s="27"/>
      <c r="I58" s="15"/>
      <c r="J58" s="16"/>
      <c r="K58" s="16"/>
    </row>
    <row r="59" spans="1:11" x14ac:dyDescent="0.25">
      <c r="A59" s="28" t="s">
        <v>112</v>
      </c>
      <c r="B59" s="29" t="e">
        <f>B58/B20</f>
        <v>#DIV/0!</v>
      </c>
      <c r="C59" s="29" t="e">
        <f>C58/C20</f>
        <v>#DIV/0!</v>
      </c>
      <c r="D59" s="32">
        <f t="shared" ref="D59:I59" si="24">D58/D20</f>
        <v>0.11213445546038009</v>
      </c>
      <c r="E59" s="32">
        <f t="shared" si="24"/>
        <v>0.10027565432379437</v>
      </c>
      <c r="F59" s="29" t="e">
        <f t="shared" si="24"/>
        <v>#DIV/0!</v>
      </c>
      <c r="G59" s="29" t="e">
        <f t="shared" si="24"/>
        <v>#DIV/0!</v>
      </c>
      <c r="H59" s="29" t="e">
        <f t="shared" si="24"/>
        <v>#DIV/0!</v>
      </c>
      <c r="I59" s="29" t="e">
        <f t="shared" si="24"/>
        <v>#DIV/0!</v>
      </c>
      <c r="J59" s="30"/>
      <c r="K59" s="30"/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Sheet</vt:lpstr>
      <vt:lpstr>peer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gala</dc:creator>
  <cp:lastModifiedBy>DELL</cp:lastModifiedBy>
  <cp:lastPrinted>2024-03-06T13:13:44Z</cp:lastPrinted>
  <dcterms:created xsi:type="dcterms:W3CDTF">2022-02-14T05:39:32Z</dcterms:created>
  <dcterms:modified xsi:type="dcterms:W3CDTF">2025-08-20T07:27:13Z</dcterms:modified>
</cp:coreProperties>
</file>