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ara Raja/"/>
    </mc:Choice>
  </mc:AlternateContent>
  <xr:revisionPtr revIDLastSave="0" documentId="8_{59067CAD-2AEB-4E14-9A77-C4D7E31B75E3}" xr6:coauthVersionLast="47" xr6:coauthVersionMax="47" xr10:uidLastSave="{00000000-0000-0000-0000-000000000000}"/>
  <bookViews>
    <workbookView xWindow="-110" yWindow="-110" windowWidth="19420" windowHeight="10420" tabRatio="503" xr2:uid="{00000000-000D-0000-FFFF-FFFF00000000}"/>
  </bookViews>
  <sheets>
    <sheet name="Sheet1" sheetId="1" r:id="rId1"/>
  </sheets>
  <definedNames>
    <definedName name="_xlnm.Print_Area" localSheetId="0">Sheet1!$A$1:$S$86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9" i="1" l="1"/>
  <c r="T66" i="1"/>
  <c r="Y70" i="1"/>
  <c r="J58" i="1"/>
  <c r="V66" i="1"/>
  <c r="J9" i="1"/>
  <c r="J15" i="1" s="1"/>
  <c r="F35" i="1"/>
  <c r="S82" i="1"/>
  <c r="O79" i="1"/>
  <c r="P79" i="1"/>
  <c r="Q79" i="1"/>
  <c r="R79" i="1"/>
  <c r="N79" i="1"/>
  <c r="S79" i="1"/>
  <c r="S78" i="1"/>
  <c r="S77" i="1"/>
  <c r="S76" i="1"/>
  <c r="S53" i="1"/>
  <c r="S41" i="1"/>
  <c r="D60" i="1"/>
  <c r="E60" i="1"/>
  <c r="F60" i="1"/>
  <c r="G60" i="1"/>
  <c r="H60" i="1"/>
  <c r="I60" i="1"/>
  <c r="C60" i="1"/>
  <c r="I53" i="1"/>
  <c r="I44" i="1"/>
  <c r="J18" i="1" l="1"/>
  <c r="J23" i="1"/>
  <c r="J27" i="1" s="1"/>
  <c r="J28" i="1" s="1"/>
  <c r="J31" i="1"/>
  <c r="J25" i="1"/>
  <c r="I45" i="1"/>
  <c r="I46" i="1" s="1"/>
  <c r="N78" i="1"/>
  <c r="P78" i="1"/>
  <c r="O78" i="1" l="1"/>
  <c r="Q78" i="1"/>
  <c r="R78" i="1"/>
  <c r="R77" i="1"/>
  <c r="R80" i="1" s="1"/>
  <c r="R82" i="1"/>
  <c r="R76" i="1"/>
  <c r="I58" i="1"/>
  <c r="S66" i="1"/>
  <c r="S69" i="1" s="1"/>
  <c r="R29" i="1"/>
  <c r="S29" i="1"/>
  <c r="S52" i="1" s="1"/>
  <c r="S16" i="1"/>
  <c r="S12" i="1"/>
  <c r="S9" i="1"/>
  <c r="I52" i="1"/>
  <c r="I54" i="1" s="1"/>
  <c r="I35" i="1"/>
  <c r="I9" i="1"/>
  <c r="I15" i="1" s="1"/>
  <c r="I8" i="1"/>
  <c r="I7" i="1"/>
  <c r="R66" i="1"/>
  <c r="R69" i="1" s="1"/>
  <c r="I18" i="1" l="1"/>
  <c r="I23" i="1"/>
  <c r="S84" i="1"/>
  <c r="I59" i="1"/>
  <c r="I61" i="1" s="1"/>
  <c r="S71" i="1" s="1"/>
  <c r="S74" i="1"/>
  <c r="S75" i="1"/>
  <c r="S83" i="1"/>
  <c r="S67" i="1"/>
  <c r="S70" i="1" s="1"/>
  <c r="S13" i="1"/>
  <c r="S73" i="1" s="1"/>
  <c r="S80" i="1"/>
  <c r="S60" i="1"/>
  <c r="S14" i="1" s="1"/>
  <c r="S61" i="1"/>
  <c r="I25" i="1" l="1"/>
  <c r="I27" i="1"/>
  <c r="H35" i="1"/>
  <c r="O77" i="1"/>
  <c r="P77" i="1"/>
  <c r="Q77" i="1"/>
  <c r="N77" i="1"/>
  <c r="I31" i="1" l="1"/>
  <c r="I28" i="1"/>
  <c r="S72" i="1"/>
  <c r="H52" i="1"/>
  <c r="H54" i="1" s="1"/>
  <c r="G52" i="1"/>
  <c r="G54" i="1" s="1"/>
  <c r="Q16" i="1"/>
  <c r="H8" i="1"/>
  <c r="H7" i="1"/>
  <c r="H58" i="1" l="1"/>
  <c r="H56" i="1"/>
  <c r="H9" i="1"/>
  <c r="G9" i="1"/>
  <c r="Q82" i="1"/>
  <c r="P82" i="1"/>
  <c r="O82" i="1"/>
  <c r="N82" i="1"/>
  <c r="M82" i="1"/>
  <c r="Q76" i="1"/>
  <c r="P76" i="1"/>
  <c r="O76" i="1"/>
  <c r="N76" i="1"/>
  <c r="M76" i="1"/>
  <c r="N67" i="1"/>
  <c r="N70" i="1" s="1"/>
  <c r="G58" i="1"/>
  <c r="F58" i="1"/>
  <c r="E58" i="1"/>
  <c r="D58" i="1"/>
  <c r="C58" i="1"/>
  <c r="Q66" i="1"/>
  <c r="Q69" i="1" s="1"/>
  <c r="P66" i="1"/>
  <c r="P69" i="1" s="1"/>
  <c r="O66" i="1"/>
  <c r="O69" i="1" s="1"/>
  <c r="N66" i="1"/>
  <c r="N69" i="1" s="1"/>
  <c r="M66" i="1"/>
  <c r="M69" i="1" s="1"/>
  <c r="C53" i="1"/>
  <c r="F52" i="1"/>
  <c r="F54" i="1" s="1"/>
  <c r="E52" i="1"/>
  <c r="E54" i="1" s="1"/>
  <c r="D52" i="1"/>
  <c r="D54" i="1" s="1"/>
  <c r="C52" i="1"/>
  <c r="H51" i="1"/>
  <c r="H45" i="1"/>
  <c r="G45" i="1"/>
  <c r="F45" i="1"/>
  <c r="E45" i="1"/>
  <c r="D45" i="1"/>
  <c r="C45" i="1"/>
  <c r="C46" i="1" s="1"/>
  <c r="D40" i="1" s="1"/>
  <c r="R53" i="1"/>
  <c r="Q53" i="1"/>
  <c r="P53" i="1"/>
  <c r="O53" i="1"/>
  <c r="N53" i="1"/>
  <c r="M53" i="1"/>
  <c r="R41" i="1"/>
  <c r="Q41" i="1"/>
  <c r="P41" i="1"/>
  <c r="O41" i="1"/>
  <c r="G35" i="1"/>
  <c r="Q29" i="1"/>
  <c r="P29" i="1"/>
  <c r="O29" i="1"/>
  <c r="N29" i="1"/>
  <c r="M29" i="1"/>
  <c r="R16" i="1"/>
  <c r="P16" i="1"/>
  <c r="O16" i="1"/>
  <c r="M16" i="1"/>
  <c r="P11" i="1"/>
  <c r="O11" i="1"/>
  <c r="N11" i="1"/>
  <c r="N41" i="1" s="1"/>
  <c r="M11" i="1"/>
  <c r="M41" i="1" s="1"/>
  <c r="R12" i="1"/>
  <c r="Q12" i="1"/>
  <c r="P10" i="1"/>
  <c r="O10" i="1"/>
  <c r="N10" i="1"/>
  <c r="M10" i="1"/>
  <c r="R9" i="1"/>
  <c r="R67" i="1" s="1"/>
  <c r="R70" i="1" s="1"/>
  <c r="Q9" i="1"/>
  <c r="Q67" i="1" s="1"/>
  <c r="P9" i="1"/>
  <c r="O9" i="1"/>
  <c r="M9" i="1"/>
  <c r="F9" i="1"/>
  <c r="E9" i="1"/>
  <c r="D9" i="1"/>
  <c r="C9" i="1"/>
  <c r="C15" i="1" s="1"/>
  <c r="G8" i="1"/>
  <c r="F8" i="1"/>
  <c r="G7" i="1"/>
  <c r="F7" i="1"/>
  <c r="E7" i="1"/>
  <c r="D7" i="1"/>
  <c r="R83" i="1" l="1"/>
  <c r="R75" i="1"/>
  <c r="R74" i="1"/>
  <c r="C54" i="1"/>
  <c r="O12" i="1"/>
  <c r="O75" i="1" s="1"/>
  <c r="N61" i="1"/>
  <c r="D46" i="1"/>
  <c r="E40" i="1" s="1"/>
  <c r="E46" i="1" s="1"/>
  <c r="F40" i="1" s="1"/>
  <c r="F46" i="1" s="1"/>
  <c r="N12" i="1"/>
  <c r="N75" i="1" s="1"/>
  <c r="H59" i="1"/>
  <c r="H61" i="1" s="1"/>
  <c r="H15" i="1"/>
  <c r="I16" i="1" s="1"/>
  <c r="P12" i="1"/>
  <c r="P75" i="1" s="1"/>
  <c r="M12" i="1"/>
  <c r="M75" i="1" s="1"/>
  <c r="G46" i="1"/>
  <c r="H46" i="1" s="1"/>
  <c r="Q75" i="1"/>
  <c r="M84" i="1"/>
  <c r="C23" i="1"/>
  <c r="C25" i="1" s="1"/>
  <c r="C18" i="1"/>
  <c r="N80" i="1"/>
  <c r="D15" i="1"/>
  <c r="E15" i="1"/>
  <c r="E23" i="1" s="1"/>
  <c r="F15" i="1"/>
  <c r="I17" i="1" s="1"/>
  <c r="G15" i="1"/>
  <c r="M67" i="1"/>
  <c r="M70" i="1" s="1"/>
  <c r="M61" i="1"/>
  <c r="M13" i="1"/>
  <c r="M73" i="1" s="1"/>
  <c r="O67" i="1"/>
  <c r="O70" i="1" s="1"/>
  <c r="O61" i="1"/>
  <c r="O13" i="1"/>
  <c r="P67" i="1"/>
  <c r="P70" i="1" s="1"/>
  <c r="P61" i="1"/>
  <c r="P13" i="1"/>
  <c r="Q70" i="1"/>
  <c r="Q13" i="1"/>
  <c r="R13" i="1"/>
  <c r="O83" i="1"/>
  <c r="O74" i="1"/>
  <c r="E59" i="1"/>
  <c r="E61" i="1" s="1"/>
  <c r="Q83" i="1"/>
  <c r="Q74" i="1"/>
  <c r="G59" i="1"/>
  <c r="G61" i="1" s="1"/>
  <c r="M60" i="1"/>
  <c r="M14" i="1" s="1"/>
  <c r="M52" i="1"/>
  <c r="N60" i="1"/>
  <c r="N52" i="1"/>
  <c r="O60" i="1"/>
  <c r="O14" i="1" s="1"/>
  <c r="O52" i="1"/>
  <c r="P60" i="1"/>
  <c r="P14" i="1" s="1"/>
  <c r="P52" i="1"/>
  <c r="Q60" i="1"/>
  <c r="Q14" i="1" s="1"/>
  <c r="Q52" i="1"/>
  <c r="R60" i="1"/>
  <c r="R14" i="1" s="1"/>
  <c r="R52" i="1"/>
  <c r="S81" i="1" s="1"/>
  <c r="Q61" i="1"/>
  <c r="R61" i="1"/>
  <c r="O80" i="1"/>
  <c r="P80" i="1"/>
  <c r="R81" i="1" l="1"/>
  <c r="H18" i="1"/>
  <c r="R73" i="1"/>
  <c r="R84" i="1"/>
  <c r="R71" i="1"/>
  <c r="C59" i="1"/>
  <c r="C61" i="1" s="1"/>
  <c r="M71" i="1" s="1"/>
  <c r="H23" i="1"/>
  <c r="H27" i="1" s="1"/>
  <c r="R72" i="1" s="1"/>
  <c r="N83" i="1"/>
  <c r="N74" i="1"/>
  <c r="D59" i="1"/>
  <c r="D61" i="1" s="1"/>
  <c r="N71" i="1" s="1"/>
  <c r="P74" i="1"/>
  <c r="P83" i="1"/>
  <c r="M74" i="1"/>
  <c r="O71" i="1"/>
  <c r="M83" i="1"/>
  <c r="H28" i="1"/>
  <c r="F59" i="1"/>
  <c r="F61" i="1" s="1"/>
  <c r="P71" i="1" s="1"/>
  <c r="H16" i="1"/>
  <c r="H17" i="1"/>
  <c r="Q80" i="1"/>
  <c r="Q71" i="1"/>
  <c r="Q81" i="1"/>
  <c r="P81" i="1"/>
  <c r="O81" i="1"/>
  <c r="N81" i="1"/>
  <c r="U36" i="1"/>
  <c r="Q84" i="1"/>
  <c r="Q73" i="1"/>
  <c r="G23" i="1"/>
  <c r="G27" i="1" s="1"/>
  <c r="G18" i="1"/>
  <c r="G17" i="1"/>
  <c r="G16" i="1"/>
  <c r="P84" i="1"/>
  <c r="P73" i="1"/>
  <c r="F23" i="1"/>
  <c r="F18" i="1"/>
  <c r="F17" i="1"/>
  <c r="F16" i="1"/>
  <c r="O84" i="1"/>
  <c r="O73" i="1"/>
  <c r="E18" i="1"/>
  <c r="E16" i="1"/>
  <c r="N84" i="1"/>
  <c r="N73" i="1"/>
  <c r="D23" i="1"/>
  <c r="D18" i="1"/>
  <c r="D16" i="1"/>
  <c r="C27" i="1"/>
  <c r="H25" i="1" l="1"/>
  <c r="H31" i="1"/>
  <c r="I32" i="1" s="1"/>
  <c r="M72" i="1"/>
  <c r="C31" i="1"/>
  <c r="C28" i="1"/>
  <c r="D27" i="1"/>
  <c r="D25" i="1"/>
  <c r="E27" i="1"/>
  <c r="E25" i="1"/>
  <c r="F27" i="1"/>
  <c r="F25" i="1"/>
  <c r="G25" i="1"/>
  <c r="Q72" i="1" l="1"/>
  <c r="G31" i="1"/>
  <c r="G28" i="1"/>
  <c r="P72" i="1"/>
  <c r="F31" i="1"/>
  <c r="I33" i="1" s="1"/>
  <c r="F28" i="1"/>
  <c r="O72" i="1"/>
  <c r="E31" i="1"/>
  <c r="H33" i="1" s="1"/>
  <c r="E28" i="1"/>
  <c r="N72" i="1"/>
  <c r="D31" i="1"/>
  <c r="D32" i="1" s="1"/>
  <c r="D28" i="1"/>
  <c r="H32" i="1" l="1"/>
  <c r="E32" i="1"/>
  <c r="F33" i="1"/>
  <c r="F32" i="1"/>
  <c r="G33" i="1"/>
  <c r="G32" i="1"/>
</calcChain>
</file>

<file path=xl/sharedStrings.xml><?xml version="1.0" encoding="utf-8"?>
<sst xmlns="http://schemas.openxmlformats.org/spreadsheetml/2006/main" count="199" uniqueCount="133">
  <si>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</si>
  <si>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</si>
  <si>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</si>
  <si>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</si>
  <si>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</si>
  <si>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</si>
  <si>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</si>
  <si>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</si>
  <si>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</si>
  <si>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</si>
  <si>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</si>
  <si>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</si>
  <si>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</si>
  <si>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</si>
  <si>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</si>
  <si>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</si>
  <si>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</si>
  <si>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</si>
  <si>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</si>
  <si>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</si>
  <si>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</si>
  <si>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</si>
  <si>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</si>
  <si>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</si>
  <si>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</si>
  <si>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</si>
  <si>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</si>
  <si>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</si>
  <si>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</si>
  <si>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</si>
  <si>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</si>
  <si>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</si>
  <si>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</si>
  <si>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</si>
  <si>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</si>
  <si>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</si>
  <si>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</si>
  <si>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</si>
  <si>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</si>
  <si>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</si>
  <si>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</si>
  <si>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</si>
  <si>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</si>
  <si>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</si>
  <si>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</si>
  <si>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</si>
  <si>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</si>
  <si>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</si>
  <si>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</si>
  <si>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</si>
  <si>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</si>
  <si>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</si>
  <si>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</si>
  <si>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</si>
  <si>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>PAT After MI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</si>
  <si>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</si>
  <si>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</si>
  <si>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</si>
  <si>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</si>
  <si>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</si>
  <si>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</si>
  <si>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</si>
  <si>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</si>
  <si>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</si>
  <si>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</si>
  <si>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</si>
  <si>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</si>
  <si>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</si>
  <si>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</si>
  <si>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</si>
  <si>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</si>
  <si>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</si>
  <si>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</si>
  <si>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</si>
  <si>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</si>
  <si>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</si>
  <si>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</si>
  <si>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</si>
  <si>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</si>
  <si>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</si>
  <si>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</si>
  <si>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</si>
  <si>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</si>
  <si>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</si>
  <si>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</si>
  <si>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</si>
  <si>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</si>
  <si>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</si>
  <si>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</si>
  <si>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</si>
  <si>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</si>
  <si>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</si>
  <si>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</si>
  <si>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</si>
  <si>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</si>
  <si>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</si>
  <si>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</si>
  <si>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</si>
  <si>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</si>
  <si>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</si>
  <si>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</si>
  <si>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</si>
  <si>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</si>
  <si>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</si>
  <si>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</si>
  <si>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</si>
  <si>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</si>
  <si>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</si>
  <si>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</si>
  <si>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</si>
  <si>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</si>
  <si>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</si>
  <si>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</si>
  <si>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</si>
  <si>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</si>
  <si>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</si>
  <si>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</si>
  <si>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</si>
  <si>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</si>
  <si>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</si>
  <si>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</si>
  <si>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</si>
  <si>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FY24</t>
  </si>
  <si>
    <t>Q2FY25</t>
  </si>
  <si>
    <t>Exceptional item</t>
  </si>
  <si>
    <t>Diluted EPS</t>
  </si>
  <si>
    <t xml:space="preserve">FY25 </t>
  </si>
  <si>
    <t>FY25</t>
  </si>
  <si>
    <t>Cash&amp;Cash Equivalents</t>
  </si>
  <si>
    <t>Q1-FY26</t>
  </si>
  <si>
    <t>Q1FY26</t>
  </si>
  <si>
    <t>Q3FY25</t>
  </si>
  <si>
    <t>Q4FY25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</si>
</sst>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_ * #,##0.0_ ;_ * \-#,##0.0_ ;_ * \-??_ ;_ @_ "/>
    <numFmt numFmtId="166" formatCode="_ * #,##0.000_ ;_ * \-#,##0.000_ ;_ * \-??_ ;_ @_ "/>
    <numFmt numFmtId="167" formatCode="0.0"/>
  </numFmts>
  <fonts count="13">
    <font>
      <sz val="11"/>
      <color rgb="FF000000"/>
      <name val="Calibri"/>
      <charset val="134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MyFirstFont"/>
    </font>
    <font>
      <sz val="8"/>
      <name val="Calibri"/>
      <charset val="134"/>
    </font>
    <font>
      <sz val="12"/>
      <color rgb="FF000000"/>
      <name val="MyFirstFont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164" fontId="7" fillId="0" borderId="0" applyBorder="0" applyProtection="0"/>
    <xf numFmtId="9" fontId="7" fillId="0" borderId="0" applyBorder="0" applyProtection="0"/>
    <xf numFmtId="164" fontId="7" fillId="0" borderId="0" applyBorder="0" applyProtection="0"/>
    <xf numFmtId="0" fontId="1" fillId="9" borderId="0" applyNumberFormat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0" borderId="4" xfId="0" applyFont="1" applyBorder="1"/>
    <xf numFmtId="0" fontId="6" fillId="2" borderId="4" xfId="0" applyFont="1" applyFill="1" applyBorder="1"/>
    <xf numFmtId="10" fontId="6" fillId="2" borderId="5" xfId="2" applyNumberFormat="1" applyFont="1" applyFill="1" applyBorder="1" applyProtection="1"/>
    <xf numFmtId="0" fontId="2" fillId="2" borderId="4" xfId="0" applyFont="1" applyFill="1" applyBorder="1"/>
    <xf numFmtId="0" fontId="3" fillId="0" borderId="4" xfId="0" applyFont="1" applyBorder="1"/>
    <xf numFmtId="164" fontId="0" fillId="0" borderId="0" xfId="0" applyNumberFormat="1"/>
    <xf numFmtId="10" fontId="4" fillId="2" borderId="5" xfId="0" applyNumberFormat="1" applyFont="1" applyFill="1" applyBorder="1"/>
    <xf numFmtId="10" fontId="7" fillId="0" borderId="0" xfId="2" applyNumberFormat="1" applyBorder="1" applyProtection="1"/>
    <xf numFmtId="10" fontId="6" fillId="2" borderId="5" xfId="0" applyNumberFormat="1" applyFont="1" applyFill="1" applyBorder="1"/>
    <xf numFmtId="0" fontId="6" fillId="0" borderId="4" xfId="0" applyFont="1" applyBorder="1"/>
    <xf numFmtId="10" fontId="2" fillId="2" borderId="5" xfId="2" applyNumberFormat="1" applyFont="1" applyFill="1" applyBorder="1" applyProtection="1"/>
    <xf numFmtId="0" fontId="6" fillId="2" borderId="7" xfId="0" applyFont="1" applyFill="1" applyBorder="1"/>
    <xf numFmtId="0" fontId="2" fillId="3" borderId="0" xfId="0" applyFont="1" applyFill="1"/>
    <xf numFmtId="0" fontId="3" fillId="3" borderId="4" xfId="0" applyFont="1" applyFill="1" applyBorder="1"/>
    <xf numFmtId="2" fontId="3" fillId="3" borderId="5" xfId="0" applyNumberFormat="1" applyFont="1" applyFill="1" applyBorder="1"/>
    <xf numFmtId="164" fontId="3" fillId="3" borderId="5" xfId="0" applyNumberFormat="1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/>
    <xf numFmtId="165" fontId="2" fillId="2" borderId="8" xfId="1" applyNumberFormat="1" applyFont="1" applyFill="1" applyBorder="1" applyProtection="1"/>
    <xf numFmtId="164" fontId="3" fillId="0" borderId="0" xfId="0" applyNumberFormat="1" applyFont="1"/>
    <xf numFmtId="0" fontId="4" fillId="4" borderId="3" xfId="0" applyFont="1" applyFill="1" applyBorder="1" applyAlignment="1">
      <alignment horizontal="right"/>
    </xf>
    <xf numFmtId="3" fontId="8" fillId="0" borderId="5" xfId="0" applyNumberFormat="1" applyFont="1" applyBorder="1"/>
    <xf numFmtId="3" fontId="8" fillId="3" borderId="5" xfId="0" applyNumberFormat="1" applyFont="1" applyFill="1" applyBorder="1" applyAlignment="1">
      <alignment horizontal="right" vertical="center" wrapText="1" indent="1"/>
    </xf>
    <xf numFmtId="164" fontId="8" fillId="0" borderId="5" xfId="1" applyFont="1" applyBorder="1" applyProtection="1"/>
    <xf numFmtId="165" fontId="8" fillId="0" borderId="5" xfId="1" applyNumberFormat="1" applyFont="1" applyBorder="1" applyProtection="1"/>
    <xf numFmtId="2" fontId="8" fillId="0" borderId="5" xfId="0" applyNumberFormat="1" applyFont="1" applyBorder="1"/>
    <xf numFmtId="0" fontId="4" fillId="4" borderId="2" xfId="0" applyFont="1" applyFill="1" applyBorder="1" applyAlignment="1">
      <alignment horizontal="right"/>
    </xf>
    <xf numFmtId="164" fontId="5" fillId="0" borderId="6" xfId="3" applyFont="1" applyBorder="1" applyProtection="1"/>
    <xf numFmtId="164" fontId="3" fillId="0" borderId="6" xfId="3" applyFont="1" applyBorder="1" applyProtection="1"/>
    <xf numFmtId="0" fontId="7" fillId="0" borderId="0" xfId="0" applyFont="1"/>
    <xf numFmtId="164" fontId="2" fillId="6" borderId="8" xfId="0" applyNumberFormat="1" applyFont="1" applyFill="1" applyBorder="1"/>
    <xf numFmtId="164" fontId="4" fillId="3" borderId="5" xfId="1" applyFont="1" applyFill="1" applyBorder="1" applyProtection="1"/>
    <xf numFmtId="164" fontId="5" fillId="3" borderId="5" xfId="1" applyFont="1" applyFill="1" applyBorder="1" applyProtection="1"/>
    <xf numFmtId="0" fontId="4" fillId="3" borderId="4" xfId="0" applyFont="1" applyFill="1" applyBorder="1"/>
    <xf numFmtId="0" fontId="4" fillId="2" borderId="7" xfId="0" applyFont="1" applyFill="1" applyBorder="1"/>
    <xf numFmtId="165" fontId="8" fillId="0" borderId="6" xfId="1" applyNumberFormat="1" applyFont="1" applyBorder="1" applyProtection="1"/>
    <xf numFmtId="165" fontId="2" fillId="2" borderId="9" xfId="1" applyNumberFormat="1" applyFont="1" applyFill="1" applyBorder="1" applyProtection="1"/>
    <xf numFmtId="1" fontId="2" fillId="0" borderId="5" xfId="0" applyNumberFormat="1" applyFont="1" applyBorder="1"/>
    <xf numFmtId="1" fontId="4" fillId="0" borderId="5" xfId="3" applyNumberFormat="1" applyFont="1" applyBorder="1" applyProtection="1"/>
    <xf numFmtId="1" fontId="2" fillId="2" borderId="5" xfId="3" applyNumberFormat="1" applyFont="1" applyFill="1" applyBorder="1" applyProtection="1"/>
    <xf numFmtId="1" fontId="3" fillId="0" borderId="5" xfId="0" applyNumberFormat="1" applyFont="1" applyBorder="1"/>
    <xf numFmtId="1" fontId="5" fillId="0" borderId="5" xfId="0" applyNumberFormat="1" applyFont="1" applyBorder="1"/>
    <xf numFmtId="1" fontId="5" fillId="0" borderId="5" xfId="3" applyNumberFormat="1" applyFont="1" applyBorder="1" applyProtection="1"/>
    <xf numFmtId="1" fontId="6" fillId="0" borderId="5" xfId="0" applyNumberFormat="1" applyFont="1" applyBorder="1"/>
    <xf numFmtId="1" fontId="3" fillId="0" borderId="5" xfId="1" applyNumberFormat="1" applyFont="1" applyBorder="1" applyProtection="1"/>
    <xf numFmtId="1" fontId="3" fillId="3" borderId="5" xfId="1" applyNumberFormat="1" applyFont="1" applyFill="1" applyBorder="1" applyProtection="1"/>
    <xf numFmtId="10" fontId="6" fillId="2" borderId="8" xfId="0" applyNumberFormat="1" applyFont="1" applyFill="1" applyBorder="1"/>
    <xf numFmtId="2" fontId="4" fillId="0" borderId="5" xfId="3" applyNumberFormat="1" applyFont="1" applyBorder="1" applyProtection="1"/>
    <xf numFmtId="10" fontId="6" fillId="6" borderId="5" xfId="2" applyNumberFormat="1" applyFont="1" applyFill="1" applyBorder="1" applyProtection="1"/>
    <xf numFmtId="0" fontId="5" fillId="0" borderId="4" xfId="0" applyFont="1" applyBorder="1"/>
    <xf numFmtId="164" fontId="3" fillId="0" borderId="5" xfId="3" applyFont="1" applyBorder="1" applyProtection="1"/>
    <xf numFmtId="165" fontId="3" fillId="0" borderId="5" xfId="3" applyNumberFormat="1" applyFont="1" applyBorder="1" applyProtection="1"/>
    <xf numFmtId="0" fontId="3" fillId="0" borderId="6" xfId="0" applyFont="1" applyBorder="1"/>
    <xf numFmtId="1" fontId="2" fillId="6" borderId="5" xfId="3" applyNumberFormat="1" applyFont="1" applyFill="1" applyBorder="1" applyProtection="1"/>
    <xf numFmtId="0" fontId="4" fillId="2" borderId="4" xfId="0" applyFont="1" applyFill="1" applyBorder="1"/>
    <xf numFmtId="164" fontId="4" fillId="2" borderId="5" xfId="1" applyFont="1" applyFill="1" applyBorder="1" applyProtection="1"/>
    <xf numFmtId="164" fontId="4" fillId="6" borderId="6" xfId="1" applyFont="1" applyFill="1" applyBorder="1" applyProtection="1"/>
    <xf numFmtId="1" fontId="3" fillId="0" borderId="6" xfId="0" applyNumberFormat="1" applyFont="1" applyBorder="1"/>
    <xf numFmtId="0" fontId="3" fillId="0" borderId="5" xfId="0" applyFont="1" applyBorder="1"/>
    <xf numFmtId="0" fontId="5" fillId="5" borderId="4" xfId="0" applyFont="1" applyFill="1" applyBorder="1"/>
    <xf numFmtId="164" fontId="4" fillId="2" borderId="6" xfId="1" applyFont="1" applyFill="1" applyBorder="1" applyProtection="1"/>
    <xf numFmtId="165" fontId="5" fillId="0" borderId="5" xfId="1" applyNumberFormat="1" applyFont="1" applyBorder="1" applyProtection="1"/>
    <xf numFmtId="164" fontId="4" fillId="6" borderId="5" xfId="1" applyFont="1" applyFill="1" applyBorder="1" applyProtection="1"/>
    <xf numFmtId="10" fontId="6" fillId="6" borderId="5" xfId="0" applyNumberFormat="1" applyFont="1" applyFill="1" applyBorder="1"/>
    <xf numFmtId="4" fontId="3" fillId="0" borderId="6" xfId="0" applyNumberFormat="1" applyFont="1" applyBorder="1"/>
    <xf numFmtId="10" fontId="4" fillId="6" borderId="5" xfId="0" applyNumberFormat="1" applyFont="1" applyFill="1" applyBorder="1"/>
    <xf numFmtId="166" fontId="3" fillId="0" borderId="0" xfId="0" applyNumberFormat="1" applyFont="1"/>
    <xf numFmtId="10" fontId="3" fillId="0" borderId="0" xfId="2" applyNumberFormat="1" applyFont="1" applyBorder="1" applyProtection="1"/>
    <xf numFmtId="1" fontId="5" fillId="0" borderId="6" xfId="3" applyNumberFormat="1" applyFont="1" applyBorder="1" applyProtection="1"/>
    <xf numFmtId="164" fontId="5" fillId="0" borderId="5" xfId="3" applyFont="1" applyBorder="1" applyProtection="1"/>
    <xf numFmtId="10" fontId="2" fillId="6" borderId="5" xfId="2" applyNumberFormat="1" applyFont="1" applyFill="1" applyBorder="1" applyProtection="1"/>
    <xf numFmtId="0" fontId="4" fillId="0" borderId="4" xfId="0" applyFont="1" applyBorder="1"/>
    <xf numFmtId="164" fontId="4" fillId="0" borderId="5" xfId="1" applyFont="1" applyBorder="1" applyProtection="1"/>
    <xf numFmtId="4" fontId="3" fillId="0" borderId="5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164" fontId="3" fillId="2" borderId="5" xfId="3" applyFont="1" applyFill="1" applyBorder="1" applyProtection="1"/>
    <xf numFmtId="164" fontId="3" fillId="0" borderId="5" xfId="0" applyNumberFormat="1" applyFont="1" applyBorder="1"/>
    <xf numFmtId="164" fontId="3" fillId="0" borderId="6" xfId="0" applyNumberFormat="1" applyFont="1" applyBorder="1"/>
    <xf numFmtId="0" fontId="5" fillId="2" borderId="4" xfId="0" applyFont="1" applyFill="1" applyBorder="1"/>
    <xf numFmtId="164" fontId="3" fillId="0" borderId="5" xfId="3" applyFont="1" applyBorder="1" applyAlignment="1" applyProtection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0" fontId="5" fillId="2" borderId="5" xfId="2" applyNumberFormat="1" applyFont="1" applyFill="1" applyBorder="1" applyAlignment="1" applyProtection="1">
      <alignment horizontal="right"/>
    </xf>
    <xf numFmtId="2" fontId="5" fillId="2" borderId="5" xfId="0" applyNumberFormat="1" applyFont="1" applyFill="1" applyBorder="1" applyAlignment="1">
      <alignment horizontal="right"/>
    </xf>
    <xf numFmtId="10" fontId="3" fillId="2" borderId="5" xfId="2" applyNumberFormat="1" applyFont="1" applyFill="1" applyBorder="1" applyAlignment="1" applyProtection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2" borderId="4" xfId="0" applyFont="1" applyFill="1" applyBorder="1"/>
    <xf numFmtId="2" fontId="5" fillId="2" borderId="5" xfId="2" applyNumberFormat="1" applyFont="1" applyFill="1" applyBorder="1" applyAlignment="1" applyProtection="1">
      <alignment horizontal="right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1" fontId="2" fillId="0" borderId="6" xfId="0" applyNumberFormat="1" applyFont="1" applyBorder="1"/>
    <xf numFmtId="1" fontId="6" fillId="0" borderId="6" xfId="0" applyNumberFormat="1" applyFont="1" applyBorder="1"/>
    <xf numFmtId="1" fontId="3" fillId="0" borderId="6" xfId="1" applyNumberFormat="1" applyFont="1" applyBorder="1" applyProtection="1"/>
    <xf numFmtId="10" fontId="6" fillId="6" borderId="8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2" fillId="6" borderId="9" xfId="0" applyNumberFormat="1" applyFont="1" applyFill="1" applyBorder="1"/>
    <xf numFmtId="3" fontId="10" fillId="0" borderId="6" xfId="0" applyNumberFormat="1" applyFont="1" applyBorder="1"/>
    <xf numFmtId="164" fontId="1" fillId="9" borderId="6" xfId="4" applyNumberFormat="1" applyBorder="1" applyProtection="1"/>
    <xf numFmtId="164" fontId="4" fillId="3" borderId="6" xfId="1" applyFont="1" applyFill="1" applyBorder="1" applyProtection="1"/>
    <xf numFmtId="0" fontId="5" fillId="3" borderId="4" xfId="0" applyFont="1" applyFill="1" applyBorder="1"/>
    <xf numFmtId="0" fontId="1" fillId="9" borderId="6" xfId="4" applyBorder="1"/>
    <xf numFmtId="164" fontId="4" fillId="2" borderId="8" xfId="1" applyFont="1" applyFill="1" applyBorder="1" applyProtection="1"/>
    <xf numFmtId="164" fontId="4" fillId="2" borderId="9" xfId="1" applyFont="1" applyFill="1" applyBorder="1" applyProtection="1"/>
    <xf numFmtId="165" fontId="1" fillId="9" borderId="6" xfId="4" applyNumberFormat="1" applyBorder="1" applyProtection="1"/>
    <xf numFmtId="164" fontId="4" fillId="0" borderId="6" xfId="1" applyFont="1" applyBorder="1" applyProtection="1"/>
    <xf numFmtId="164" fontId="3" fillId="2" borderId="6" xfId="3" applyFont="1" applyFill="1" applyBorder="1" applyProtection="1"/>
    <xf numFmtId="165" fontId="5" fillId="0" borderId="6" xfId="1" applyNumberFormat="1" applyFont="1" applyBorder="1" applyProtection="1"/>
    <xf numFmtId="0" fontId="9" fillId="8" borderId="15" xfId="0" applyFont="1" applyFill="1" applyBorder="1" applyAlignment="1">
      <alignment horizontal="center"/>
    </xf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11" xfId="0" applyBorder="1"/>
    <xf numFmtId="1" fontId="1" fillId="9" borderId="5" xfId="4" applyNumberFormat="1" applyBorder="1" applyAlignment="1">
      <alignment horizontal="right"/>
    </xf>
    <xf numFmtId="0" fontId="4" fillId="0" borderId="0" xfId="0" applyFont="1" applyAlignment="1">
      <alignment horizontal="center"/>
    </xf>
    <xf numFmtId="10" fontId="7" fillId="0" borderId="5" xfId="2" applyNumberFormat="1" applyBorder="1"/>
    <xf numFmtId="0" fontId="9" fillId="7" borderId="0" xfId="0" applyFont="1" applyFill="1" applyAlignment="1">
      <alignment horizontal="center"/>
    </xf>
    <xf numFmtId="2" fontId="2" fillId="6" borderId="5" xfId="3" applyNumberFormat="1" applyFont="1" applyFill="1" applyBorder="1" applyProtection="1"/>
    <xf numFmtId="167" fontId="2" fillId="6" borderId="5" xfId="3" applyNumberFormat="1" applyFont="1" applyFill="1" applyBorder="1" applyProtection="1"/>
    <xf numFmtId="0" fontId="2" fillId="2" borderId="3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" fontId="3" fillId="0" borderId="0" xfId="0" applyNumberFormat="1" applyFont="1"/>
    <xf numFmtId="164" fontId="2" fillId="0" borderId="0" xfId="0" applyNumberFormat="1" applyFont="1"/>
    <xf numFmtId="164" fontId="4" fillId="0" borderId="0" xfId="1" applyFont="1" applyBorder="1" applyProtection="1"/>
    <xf numFmtId="0" fontId="1" fillId="0" borderId="0" xfId="4" applyFill="1" applyBorder="1"/>
    <xf numFmtId="164" fontId="1" fillId="0" borderId="0" xfId="4" applyNumberFormat="1" applyFill="1" applyBorder="1" applyProtection="1"/>
    <xf numFmtId="165" fontId="8" fillId="0" borderId="0" xfId="1" applyNumberFormat="1" applyFont="1" applyBorder="1" applyProtection="1"/>
    <xf numFmtId="2" fontId="8" fillId="0" borderId="0" xfId="0" applyNumberFormat="1" applyFont="1"/>
    <xf numFmtId="165" fontId="2" fillId="0" borderId="0" xfId="1" applyNumberFormat="1" applyFont="1" applyBorder="1" applyProtection="1"/>
    <xf numFmtId="0" fontId="9" fillId="0" borderId="0" xfId="0" applyFont="1" applyAlignment="1">
      <alignment horizontal="center"/>
    </xf>
    <xf numFmtId="164" fontId="5" fillId="0" borderId="0" xfId="3" applyFont="1" applyBorder="1" applyProtection="1"/>
    <xf numFmtId="165" fontId="1" fillId="0" borderId="0" xfId="4" applyNumberFormat="1" applyFill="1" applyBorder="1" applyProtection="1"/>
    <xf numFmtId="164" fontId="3" fillId="0" borderId="0" xfId="3" applyFont="1" applyBorder="1" applyProtection="1"/>
    <xf numFmtId="165" fontId="5" fillId="0" borderId="0" xfId="1" applyNumberFormat="1" applyFont="1" applyBorder="1" applyProtection="1"/>
    <xf numFmtId="2" fontId="3" fillId="0" borderId="0" xfId="0" applyNumberFormat="1" applyFont="1"/>
    <xf numFmtId="4" fontId="1" fillId="9" borderId="5" xfId="4" applyNumberFormat="1" applyBorder="1"/>
    <xf numFmtId="2" fontId="3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/>
    </xf>
    <xf numFmtId="0" fontId="9" fillId="7" borderId="17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3" fontId="12" fillId="0" borderId="0" xfId="0" applyNumberFormat="1" applyFont="1"/>
  </cellXfs>
  <cellStyles count="5">
    <cellStyle name="20% - Accent1" xfId="4" builtinId="30"/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"/>
  <sheetViews>
    <sheetView showGridLines="0" tabSelected="1" topLeftCell="G1" zoomScale="55" zoomScaleNormal="55" workbookViewId="0">
      <selection activeCell="S71" sqref="S71"/>
    </sheetView>
  </sheetViews>
  <sheetFormatPr defaultColWidth="9" defaultRowHeight="14.5"/>
  <cols>
    <col min="2" max="2" width="54.7265625" customWidth="1"/>
    <col min="3" max="3" width="15" customWidth="1"/>
    <col min="4" max="4" width="16" customWidth="1"/>
    <col min="5" max="7" width="15" customWidth="1"/>
    <col min="8" max="8" width="19.453125" bestFit="1" customWidth="1"/>
    <col min="9" max="10" width="19.453125" customWidth="1"/>
    <col min="11" max="11" width="14.26953125" customWidth="1"/>
    <col min="12" max="12" width="29.26953125" customWidth="1"/>
    <col min="13" max="13" width="16.1796875" customWidth="1"/>
    <col min="14" max="14" width="12.54296875" customWidth="1"/>
    <col min="15" max="17" width="12.81640625" customWidth="1"/>
    <col min="18" max="18" width="17.26953125" bestFit="1" customWidth="1"/>
    <col min="19" max="20" width="17.26953125" customWidth="1"/>
    <col min="21" max="21" width="10.54296875" customWidth="1"/>
    <col min="24" max="24" width="1.81640625" customWidth="1"/>
  </cols>
  <sheetData>
    <row r="1" spans="2:22" ht="15" thickBot="1"/>
    <row r="2" spans="2:22" ht="16" thickBot="1"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48"/>
      <c r="U2" s="1"/>
      <c r="V2" s="1"/>
    </row>
    <row r="3" spans="2:22" s="105" customFormat="1" ht="16" thickBot="1">
      <c r="B3" s="101"/>
      <c r="C3" s="102"/>
      <c r="D3" s="102"/>
      <c r="E3" s="102"/>
      <c r="F3" s="102"/>
      <c r="G3" s="102"/>
      <c r="H3" s="102"/>
      <c r="I3" s="102"/>
      <c r="J3" s="103"/>
      <c r="K3" s="103"/>
      <c r="L3" s="124"/>
      <c r="M3" s="124"/>
      <c r="N3" s="124"/>
      <c r="O3" s="124"/>
      <c r="P3" s="124"/>
      <c r="Q3" s="124"/>
      <c r="R3" s="124"/>
      <c r="S3" s="124"/>
      <c r="T3" s="148"/>
      <c r="U3" s="104"/>
      <c r="V3" s="104"/>
    </row>
    <row r="4" spans="2:22" ht="16" thickBot="1">
      <c r="B4" s="160" t="s">
        <v>1</v>
      </c>
      <c r="C4" s="161"/>
      <c r="D4" s="161"/>
      <c r="E4" s="161"/>
      <c r="F4" s="161"/>
      <c r="G4" s="161"/>
      <c r="H4" s="161"/>
      <c r="I4" s="162"/>
      <c r="J4" s="135"/>
      <c r="K4" s="1"/>
      <c r="L4" s="164" t="s">
        <v>2</v>
      </c>
      <c r="M4" s="165"/>
      <c r="N4" s="165"/>
      <c r="O4" s="165"/>
      <c r="P4" s="165"/>
      <c r="Q4" s="165"/>
      <c r="R4" s="165"/>
      <c r="S4" s="166"/>
      <c r="T4" s="148"/>
      <c r="U4" s="1"/>
      <c r="V4" s="1"/>
    </row>
    <row r="5" spans="2:22" ht="15.5">
      <c r="B5" s="2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3" t="s">
        <v>122</v>
      </c>
      <c r="I5" s="3" t="s">
        <v>126</v>
      </c>
      <c r="J5" s="138" t="s">
        <v>129</v>
      </c>
      <c r="K5" s="1"/>
      <c r="L5" s="61" t="s">
        <v>3</v>
      </c>
      <c r="M5" s="110" t="s">
        <v>4</v>
      </c>
      <c r="N5" s="110" t="s">
        <v>5</v>
      </c>
      <c r="O5" s="110" t="s">
        <v>6</v>
      </c>
      <c r="P5" s="110" t="s">
        <v>7</v>
      </c>
      <c r="Q5" s="110" t="s">
        <v>8</v>
      </c>
      <c r="R5" s="110" t="s">
        <v>122</v>
      </c>
      <c r="S5" s="126" t="s">
        <v>127</v>
      </c>
      <c r="T5" s="139"/>
      <c r="U5" s="1"/>
      <c r="V5" s="1"/>
    </row>
    <row r="6" spans="2:22" ht="15.5">
      <c r="B6" s="5" t="s">
        <v>9</v>
      </c>
      <c r="C6" s="44">
        <v>67931.100000000006</v>
      </c>
      <c r="D6" s="45">
        <v>68394.600000000006</v>
      </c>
      <c r="E6" s="45">
        <v>71497.8</v>
      </c>
      <c r="F6" s="45">
        <v>86971.5</v>
      </c>
      <c r="G6" s="44">
        <v>103920</v>
      </c>
      <c r="H6" s="44">
        <v>117084.4</v>
      </c>
      <c r="I6" s="44">
        <v>128463.2</v>
      </c>
      <c r="J6" s="106">
        <v>34010.800000000003</v>
      </c>
      <c r="K6" s="1"/>
      <c r="L6" s="56" t="s">
        <v>10</v>
      </c>
      <c r="M6" s="76">
        <v>170.8</v>
      </c>
      <c r="N6" s="76">
        <v>170.8</v>
      </c>
      <c r="O6" s="76">
        <v>170.8</v>
      </c>
      <c r="P6" s="76">
        <v>170.8</v>
      </c>
      <c r="Q6" s="76">
        <v>170.8</v>
      </c>
      <c r="R6" s="76">
        <v>183</v>
      </c>
      <c r="S6" s="34">
        <v>183</v>
      </c>
      <c r="T6" s="149"/>
      <c r="U6" s="1"/>
      <c r="V6" s="1"/>
    </row>
    <row r="7" spans="2:22" ht="15.5">
      <c r="B7" s="6" t="s">
        <v>11</v>
      </c>
      <c r="C7" s="7"/>
      <c r="D7" s="7">
        <f t="shared" ref="D7:H7" si="0">D6/C6-1</f>
        <v>6.8230898660555095E-3</v>
      </c>
      <c r="E7" s="7">
        <f t="shared" si="0"/>
        <v>4.5372003052872589E-2</v>
      </c>
      <c r="F7" s="7">
        <f t="shared" si="0"/>
        <v>0.21642204375519247</v>
      </c>
      <c r="G7" s="55">
        <f t="shared" si="0"/>
        <v>0.19487418292199177</v>
      </c>
      <c r="H7" s="55">
        <f t="shared" si="0"/>
        <v>0.12667821401077739</v>
      </c>
      <c r="I7" s="55">
        <f>I6/H6-1</f>
        <v>9.7184595044258693E-2</v>
      </c>
      <c r="J7" s="55"/>
      <c r="K7" s="1"/>
      <c r="L7" s="56" t="s">
        <v>12</v>
      </c>
      <c r="M7" s="57">
        <v>33179.599999999999</v>
      </c>
      <c r="N7" s="57">
        <v>36382.300000000003</v>
      </c>
      <c r="O7" s="57">
        <v>41929.1</v>
      </c>
      <c r="P7" s="57">
        <v>45354</v>
      </c>
      <c r="Q7" s="80">
        <v>59899.6</v>
      </c>
      <c r="R7" s="80">
        <v>67804.3</v>
      </c>
      <c r="S7" s="71">
        <v>73708.3</v>
      </c>
      <c r="T7" s="140"/>
      <c r="U7" s="1"/>
      <c r="V7" s="1"/>
    </row>
    <row r="8" spans="2:22" ht="15.5">
      <c r="B8" s="6" t="s">
        <v>13</v>
      </c>
      <c r="C8" s="13"/>
      <c r="D8" s="13"/>
      <c r="E8" s="13"/>
      <c r="F8" s="7">
        <f>(F6/C6)^(1/3)-1</f>
        <v>8.5849005105644194E-2</v>
      </c>
      <c r="G8" s="55">
        <f>(G6/D6)^(1/3)-1</f>
        <v>0.14963269925470546</v>
      </c>
      <c r="H8" s="55">
        <f>(H6/E6)^(1/3)-1</f>
        <v>0.17869683853897156</v>
      </c>
      <c r="I8" s="55">
        <f>(I6/F6)^(1/3)-1</f>
        <v>0.1388519205759291</v>
      </c>
      <c r="J8" s="55"/>
      <c r="K8" s="1"/>
      <c r="L8" s="56" t="s">
        <v>14</v>
      </c>
      <c r="M8" s="58">
        <v>0</v>
      </c>
      <c r="N8" s="58">
        <v>0</v>
      </c>
      <c r="O8" s="58">
        <v>0</v>
      </c>
      <c r="P8" s="58"/>
      <c r="Q8" s="58"/>
      <c r="R8" s="58"/>
      <c r="S8" s="120"/>
      <c r="T8" s="150"/>
      <c r="U8" s="1"/>
      <c r="V8" s="1"/>
    </row>
    <row r="9" spans="2:22" ht="15.5">
      <c r="B9" s="8" t="s">
        <v>15</v>
      </c>
      <c r="C9" s="46">
        <f t="shared" ref="C9:I9" si="1">SUM(C10:C14)</f>
        <v>58416.2</v>
      </c>
      <c r="D9" s="46">
        <f t="shared" si="1"/>
        <v>57406.299999999988</v>
      </c>
      <c r="E9" s="46">
        <f t="shared" si="1"/>
        <v>60341</v>
      </c>
      <c r="F9" s="46">
        <f t="shared" si="1"/>
        <v>76731.900000000009</v>
      </c>
      <c r="G9" s="60">
        <f t="shared" si="1"/>
        <v>89600.7</v>
      </c>
      <c r="H9" s="60">
        <f t="shared" si="1"/>
        <v>100499.29999999999</v>
      </c>
      <c r="I9" s="60">
        <f t="shared" si="1"/>
        <v>112298.49999999999</v>
      </c>
      <c r="J9" s="60">
        <f>SUM(J10:J14)</f>
        <v>30375.5</v>
      </c>
      <c r="K9" s="1"/>
      <c r="L9" s="61" t="s">
        <v>16</v>
      </c>
      <c r="M9" s="62">
        <f>M6+M7+M8</f>
        <v>33350.400000000001</v>
      </c>
      <c r="N9" s="62">
        <v>36553.1</v>
      </c>
      <c r="O9" s="62">
        <f>O6+O7+O8</f>
        <v>42099.9</v>
      </c>
      <c r="P9" s="62">
        <f>P6+P7+P8</f>
        <v>45524.800000000003</v>
      </c>
      <c r="Q9" s="69">
        <f>Q6+Q7+Q8</f>
        <v>60070.400000000001</v>
      </c>
      <c r="R9" s="69">
        <f>R6+R7+R8</f>
        <v>67987.3</v>
      </c>
      <c r="S9" s="63">
        <f>S6+S7+S8</f>
        <v>73891.3</v>
      </c>
      <c r="T9" s="142"/>
      <c r="U9" s="1"/>
      <c r="V9" s="1"/>
    </row>
    <row r="10" spans="2:22" ht="15.5">
      <c r="B10" s="9" t="s">
        <v>17</v>
      </c>
      <c r="C10" s="47">
        <v>46030.6</v>
      </c>
      <c r="D10" s="48">
        <v>42190.7</v>
      </c>
      <c r="E10" s="48">
        <v>43825.4</v>
      </c>
      <c r="F10" s="48">
        <v>59693.9</v>
      </c>
      <c r="G10" s="47">
        <v>64585.4</v>
      </c>
      <c r="H10" s="47">
        <v>68828.3</v>
      </c>
      <c r="I10" s="47">
        <v>72873.7</v>
      </c>
      <c r="J10" s="64">
        <v>18006.8</v>
      </c>
      <c r="K10" s="1"/>
      <c r="L10" s="56" t="s">
        <v>18</v>
      </c>
      <c r="M10" s="57">
        <f t="shared" ref="M10:P10" si="2">M55</f>
        <v>468</v>
      </c>
      <c r="N10" s="57">
        <f t="shared" si="2"/>
        <v>343.4</v>
      </c>
      <c r="O10" s="57">
        <f t="shared" si="2"/>
        <v>233.9</v>
      </c>
      <c r="P10" s="57">
        <f t="shared" si="2"/>
        <v>165.2</v>
      </c>
      <c r="Q10" s="65">
        <v>800.1</v>
      </c>
      <c r="R10" s="65">
        <v>259.89999999999998</v>
      </c>
      <c r="S10" s="59">
        <v>0</v>
      </c>
      <c r="T10" s="1"/>
      <c r="U10" s="1"/>
      <c r="V10" s="1"/>
    </row>
    <row r="11" spans="2:22" ht="15.5">
      <c r="B11" s="9" t="s">
        <v>19</v>
      </c>
      <c r="C11" s="47">
        <v>1701.8</v>
      </c>
      <c r="D11" s="48">
        <v>1759.2</v>
      </c>
      <c r="E11" s="48">
        <v>4300.7</v>
      </c>
      <c r="F11" s="48">
        <v>4739.1000000000004</v>
      </c>
      <c r="G11" s="48">
        <v>4874.1000000000004</v>
      </c>
      <c r="H11" s="47">
        <v>11683.4</v>
      </c>
      <c r="I11" s="47">
        <v>15561</v>
      </c>
      <c r="J11" s="64">
        <v>5842</v>
      </c>
      <c r="K11" s="1"/>
      <c r="L11" s="66" t="s">
        <v>20</v>
      </c>
      <c r="M11" s="57">
        <f t="shared" ref="M11:P11" si="3">M43</f>
        <v>0</v>
      </c>
      <c r="N11" s="57">
        <f t="shared" si="3"/>
        <v>0</v>
      </c>
      <c r="O11" s="57">
        <f t="shared" si="3"/>
        <v>109.5</v>
      </c>
      <c r="P11" s="57">
        <f t="shared" si="3"/>
        <v>68.7</v>
      </c>
      <c r="Q11" s="65">
        <v>310.5</v>
      </c>
      <c r="R11" s="65">
        <v>273.39999999999998</v>
      </c>
      <c r="S11" s="59">
        <v>1445.7</v>
      </c>
      <c r="T11" s="1"/>
      <c r="U11" s="1"/>
      <c r="V11" s="1"/>
    </row>
    <row r="12" spans="2:22" ht="15.5">
      <c r="B12" s="9" t="s">
        <v>21</v>
      </c>
      <c r="C12" s="47">
        <v>-1291.4000000000001</v>
      </c>
      <c r="D12" s="48">
        <v>518.6</v>
      </c>
      <c r="E12" s="48">
        <v>-682.3</v>
      </c>
      <c r="F12" s="48">
        <v>-3219.5</v>
      </c>
      <c r="G12" s="47">
        <v>522.9</v>
      </c>
      <c r="H12" s="47">
        <v>-1915.6</v>
      </c>
      <c r="I12" s="47">
        <v>-1639.3</v>
      </c>
      <c r="J12" s="64">
        <v>-8.6999999999999993</v>
      </c>
      <c r="K12" s="1"/>
      <c r="L12" s="61" t="s">
        <v>22</v>
      </c>
      <c r="M12" s="62">
        <f t="shared" ref="M12:S12" si="4">(M10+M11)</f>
        <v>468</v>
      </c>
      <c r="N12" s="62">
        <f t="shared" si="4"/>
        <v>343.4</v>
      </c>
      <c r="O12" s="62">
        <f t="shared" si="4"/>
        <v>343.4</v>
      </c>
      <c r="P12" s="62">
        <f t="shared" si="4"/>
        <v>233.89999999999998</v>
      </c>
      <c r="Q12" s="62">
        <f t="shared" si="4"/>
        <v>1110.5999999999999</v>
      </c>
      <c r="R12" s="62">
        <f t="shared" si="4"/>
        <v>533.29999999999995</v>
      </c>
      <c r="S12" s="67">
        <f t="shared" si="4"/>
        <v>1445.7</v>
      </c>
      <c r="T12" s="142"/>
      <c r="U12" s="1"/>
      <c r="V12" s="1"/>
    </row>
    <row r="13" spans="2:22" ht="15.5">
      <c r="B13" s="9" t="s">
        <v>23</v>
      </c>
      <c r="C13" s="47">
        <v>3453.9</v>
      </c>
      <c r="D13" s="48">
        <v>3858.1</v>
      </c>
      <c r="E13" s="48">
        <v>4266.3999999999996</v>
      </c>
      <c r="F13" s="48">
        <v>4993.1000000000004</v>
      </c>
      <c r="G13" s="47">
        <v>6518.7</v>
      </c>
      <c r="H13" s="47">
        <v>7347.3</v>
      </c>
      <c r="I13" s="47">
        <v>8230.4</v>
      </c>
      <c r="J13" s="64">
        <v>2224.4</v>
      </c>
      <c r="K13" s="1"/>
      <c r="L13" s="61" t="s">
        <v>24</v>
      </c>
      <c r="M13" s="62">
        <f>M9+M53</f>
        <v>35931.9</v>
      </c>
      <c r="N13" s="62">
        <v>39202</v>
      </c>
      <c r="O13" s="62">
        <f>O9+O53</f>
        <v>44673.8</v>
      </c>
      <c r="P13" s="62">
        <f>P9+P53</f>
        <v>48496.3</v>
      </c>
      <c r="Q13" s="62">
        <f>Q9+Q53</f>
        <v>64838.400000000001</v>
      </c>
      <c r="R13" s="62">
        <f>R9+R53</f>
        <v>72527</v>
      </c>
      <c r="S13" s="67">
        <f>S9+S53</f>
        <v>78549.600000000006</v>
      </c>
      <c r="T13" s="142"/>
      <c r="U13" s="1"/>
      <c r="V13" s="1"/>
    </row>
    <row r="14" spans="2:22" ht="15.5">
      <c r="B14" s="9" t="s">
        <v>25</v>
      </c>
      <c r="C14" s="47">
        <v>8521.2999999999993</v>
      </c>
      <c r="D14" s="48">
        <v>9079.7000000000007</v>
      </c>
      <c r="E14" s="48">
        <v>8630.7999999999993</v>
      </c>
      <c r="F14" s="48">
        <v>10525.3</v>
      </c>
      <c r="G14" s="47">
        <v>13099.6</v>
      </c>
      <c r="H14" s="47">
        <v>14555.9</v>
      </c>
      <c r="I14" s="47">
        <v>17272.7</v>
      </c>
      <c r="J14" s="64">
        <v>4311</v>
      </c>
      <c r="K14" s="1"/>
      <c r="L14" s="61" t="s">
        <v>24</v>
      </c>
      <c r="M14" s="62">
        <f>M60-M41</f>
        <v>35931.899999999994</v>
      </c>
      <c r="N14" s="62">
        <v>17016.5</v>
      </c>
      <c r="O14" s="62">
        <f>O60-O41</f>
        <v>44673.799999999996</v>
      </c>
      <c r="P14" s="62">
        <f>P60-P41</f>
        <v>48496.30000000001</v>
      </c>
      <c r="Q14" s="62">
        <f>Q60-Q41</f>
        <v>64838.399999999987</v>
      </c>
      <c r="R14" s="62">
        <f>R60-R41</f>
        <v>72527</v>
      </c>
      <c r="S14" s="67">
        <f>S60-S41</f>
        <v>78549.600000000006</v>
      </c>
      <c r="T14" s="142"/>
      <c r="U14" s="1"/>
      <c r="V14" s="1"/>
    </row>
    <row r="15" spans="2:22" ht="15.5">
      <c r="B15" s="8" t="s">
        <v>26</v>
      </c>
      <c r="C15" s="46">
        <f t="shared" ref="C15:H15" si="5">(C6-C9)</f>
        <v>9514.9000000000087</v>
      </c>
      <c r="D15" s="46">
        <f t="shared" si="5"/>
        <v>10988.300000000017</v>
      </c>
      <c r="E15" s="46">
        <f t="shared" si="5"/>
        <v>11156.800000000003</v>
      </c>
      <c r="F15" s="46">
        <f t="shared" si="5"/>
        <v>10239.599999999991</v>
      </c>
      <c r="G15" s="60">
        <f t="shared" si="5"/>
        <v>14319.300000000003</v>
      </c>
      <c r="H15" s="60">
        <f t="shared" si="5"/>
        <v>16585.100000000006</v>
      </c>
      <c r="I15" s="60">
        <f>(I6-I9)</f>
        <v>16164.700000000012</v>
      </c>
      <c r="J15" s="60">
        <f>(J6-J9)</f>
        <v>3635.3000000000029</v>
      </c>
      <c r="K15" s="1"/>
      <c r="L15" s="56"/>
      <c r="M15" s="68"/>
      <c r="N15" s="68"/>
      <c r="O15" s="68"/>
      <c r="P15" s="68"/>
      <c r="Q15" s="65"/>
      <c r="R15" s="65"/>
      <c r="S15" s="59"/>
      <c r="T15" s="1"/>
      <c r="U15" s="1"/>
      <c r="V15" s="1"/>
    </row>
    <row r="16" spans="2:22" ht="15.5">
      <c r="B16" s="6" t="s">
        <v>11</v>
      </c>
      <c r="C16" s="7"/>
      <c r="D16" s="7">
        <f t="shared" ref="D16:H16" si="6">D15/C15-1</f>
        <v>0.15485186391869665</v>
      </c>
      <c r="E16" s="7">
        <f t="shared" si="6"/>
        <v>1.5334492141640288E-2</v>
      </c>
      <c r="F16" s="7">
        <f t="shared" si="6"/>
        <v>-8.2209952674603071E-2</v>
      </c>
      <c r="G16" s="55">
        <f t="shared" si="6"/>
        <v>0.39842376655338252</v>
      </c>
      <c r="H16" s="55">
        <f t="shared" si="6"/>
        <v>0.15823399188507836</v>
      </c>
      <c r="I16" s="55">
        <f>I15/H15-1</f>
        <v>-2.5348053373208113E-2</v>
      </c>
      <c r="J16" s="55"/>
      <c r="K16" s="1"/>
      <c r="L16" s="61" t="s">
        <v>27</v>
      </c>
      <c r="M16" s="62">
        <f>SUM(M17:M26)</f>
        <v>22915.899999999994</v>
      </c>
      <c r="N16" s="62">
        <v>27771.5</v>
      </c>
      <c r="O16" s="62">
        <f>SUM(O17:O26)</f>
        <v>29756.499999999996</v>
      </c>
      <c r="P16" s="62">
        <f>SUM(P17:P26)</f>
        <v>35512.700000000012</v>
      </c>
      <c r="Q16" s="69">
        <f>SUM(Q17:Q28)</f>
        <v>45107.4</v>
      </c>
      <c r="R16" s="69">
        <f>SUM(R17:R28)</f>
        <v>51083.399999999994</v>
      </c>
      <c r="S16" s="63">
        <f>SUM(S17:S28)</f>
        <v>59216.400000000009</v>
      </c>
      <c r="T16" s="142"/>
      <c r="U16" s="1"/>
      <c r="V16" s="1"/>
    </row>
    <row r="17" spans="2:25" ht="15.5">
      <c r="B17" s="6" t="s">
        <v>13</v>
      </c>
      <c r="C17" s="13"/>
      <c r="D17" s="13"/>
      <c r="E17" s="13"/>
      <c r="F17" s="13">
        <f>(F15/C15)^(1/3)-1</f>
        <v>2.4769649486148682E-2</v>
      </c>
      <c r="G17" s="70">
        <f>(G15/D15)^(1/3)-1</f>
        <v>9.2271059050889281E-2</v>
      </c>
      <c r="H17" s="70">
        <f>(H15/E15)^(1/3)-1</f>
        <v>0.1412815999989212</v>
      </c>
      <c r="I17" s="70">
        <f>(I15/F15)^(1/3)-1</f>
        <v>0.16438039841261132</v>
      </c>
      <c r="J17" s="70"/>
      <c r="K17" s="1"/>
      <c r="L17" s="56" t="s">
        <v>28</v>
      </c>
      <c r="M17" s="57">
        <v>18090.5</v>
      </c>
      <c r="N17" s="57">
        <v>16476.099999999999</v>
      </c>
      <c r="O17" s="57">
        <v>21160.3</v>
      </c>
      <c r="P17" s="57">
        <v>21275.9</v>
      </c>
      <c r="Q17" s="80">
        <v>28554.5</v>
      </c>
      <c r="R17" s="80">
        <v>29094.5</v>
      </c>
      <c r="S17" s="71">
        <v>31163.5</v>
      </c>
      <c r="T17" s="140"/>
      <c r="U17" s="1"/>
      <c r="V17" s="1"/>
    </row>
    <row r="18" spans="2:25" ht="15.5">
      <c r="B18" s="8" t="s">
        <v>29</v>
      </c>
      <c r="C18" s="11">
        <f t="shared" ref="C18:H18" si="7">(C15/C6)</f>
        <v>0.14006692074764002</v>
      </c>
      <c r="D18" s="11">
        <f t="shared" si="7"/>
        <v>0.16066034453012396</v>
      </c>
      <c r="E18" s="11">
        <f t="shared" si="7"/>
        <v>0.15604396219184369</v>
      </c>
      <c r="F18" s="11">
        <f t="shared" si="7"/>
        <v>0.11773512012555827</v>
      </c>
      <c r="G18" s="72">
        <f t="shared" si="7"/>
        <v>0.13779157043879911</v>
      </c>
      <c r="H18" s="72">
        <f t="shared" si="7"/>
        <v>0.14165080915988815</v>
      </c>
      <c r="I18" s="72">
        <f>(I15/I6)</f>
        <v>0.12583136649250534</v>
      </c>
      <c r="J18" s="72">
        <f>(J15/J6)</f>
        <v>0.10688663600973816</v>
      </c>
      <c r="K18" s="1"/>
      <c r="L18" s="56" t="s">
        <v>30</v>
      </c>
      <c r="M18" s="57"/>
      <c r="N18" s="57">
        <v>1784.8</v>
      </c>
      <c r="O18" s="57">
        <v>2436.5</v>
      </c>
      <c r="P18" s="57">
        <v>2851.8</v>
      </c>
      <c r="Q18" s="65">
        <v>3965.9</v>
      </c>
      <c r="R18" s="65">
        <v>4081.1</v>
      </c>
      <c r="S18" s="59">
        <v>4154.3</v>
      </c>
      <c r="T18" s="1"/>
      <c r="U18" s="73"/>
      <c r="V18" s="1"/>
    </row>
    <row r="19" spans="2:25" ht="15.5">
      <c r="B19" s="9" t="s">
        <v>31</v>
      </c>
      <c r="C19" s="47">
        <v>467.7</v>
      </c>
      <c r="D19" s="49">
        <v>550.5</v>
      </c>
      <c r="E19" s="49">
        <v>873.6</v>
      </c>
      <c r="F19" s="49">
        <v>779.8</v>
      </c>
      <c r="G19" s="47">
        <v>923.7</v>
      </c>
      <c r="H19" s="47">
        <v>1104.0999999999999</v>
      </c>
      <c r="I19" s="47">
        <v>1155.9000000000001</v>
      </c>
      <c r="J19" s="64">
        <v>185</v>
      </c>
      <c r="K19" s="1"/>
      <c r="L19" s="56" t="s">
        <v>32</v>
      </c>
      <c r="M19" s="57">
        <v>2338.8000000000002</v>
      </c>
      <c r="N19" s="57">
        <v>7325.8</v>
      </c>
      <c r="O19" s="57">
        <v>3975.6</v>
      </c>
      <c r="P19" s="57">
        <v>8293.2000000000007</v>
      </c>
      <c r="Q19" s="65">
        <v>2486.9</v>
      </c>
      <c r="R19" s="65">
        <v>6255.2</v>
      </c>
      <c r="S19" s="59">
        <v>12975.3</v>
      </c>
      <c r="T19" s="1"/>
      <c r="U19" s="1"/>
      <c r="V19" s="1"/>
    </row>
    <row r="20" spans="2:25" ht="15.5">
      <c r="B20" s="9" t="s">
        <v>33</v>
      </c>
      <c r="C20" s="47">
        <v>2612</v>
      </c>
      <c r="D20" s="49">
        <v>3007.4</v>
      </c>
      <c r="E20" s="49">
        <v>3191.6</v>
      </c>
      <c r="F20" s="49">
        <v>3957.2</v>
      </c>
      <c r="G20" s="47">
        <v>4504</v>
      </c>
      <c r="H20" s="47">
        <v>4843.3</v>
      </c>
      <c r="I20" s="47">
        <v>5256.6</v>
      </c>
      <c r="J20" s="64">
        <v>1421.8</v>
      </c>
      <c r="K20" s="1"/>
      <c r="L20" s="56" t="s">
        <v>34</v>
      </c>
      <c r="M20" s="57">
        <v>37.1</v>
      </c>
      <c r="N20" s="57">
        <v>31.3</v>
      </c>
      <c r="O20" s="57">
        <v>950.8</v>
      </c>
      <c r="P20" s="57">
        <v>795.3</v>
      </c>
      <c r="Q20" s="65">
        <v>669.1</v>
      </c>
      <c r="R20" s="65">
        <v>538.29999999999995</v>
      </c>
      <c r="S20" s="131">
        <v>465.1</v>
      </c>
      <c r="U20" s="74"/>
      <c r="V20" s="74"/>
      <c r="W20" s="12"/>
      <c r="X20" s="12"/>
      <c r="Y20" s="12"/>
    </row>
    <row r="21" spans="2:25" ht="15.5">
      <c r="B21" s="9" t="s">
        <v>35</v>
      </c>
      <c r="C21" s="47">
        <v>69.5</v>
      </c>
      <c r="D21" s="49">
        <v>121.9</v>
      </c>
      <c r="E21" s="49">
        <v>105.3</v>
      </c>
      <c r="F21" s="49">
        <v>151</v>
      </c>
      <c r="G21" s="49">
        <v>296</v>
      </c>
      <c r="H21" s="47">
        <v>343.7</v>
      </c>
      <c r="I21" s="47">
        <v>443</v>
      </c>
      <c r="J21" s="64">
        <v>109.3</v>
      </c>
      <c r="K21" s="1"/>
      <c r="L21" s="56" t="s">
        <v>36</v>
      </c>
      <c r="M21" s="57">
        <v>808.6</v>
      </c>
      <c r="N21" s="57">
        <v>944.4</v>
      </c>
      <c r="O21" s="57">
        <v>17.2</v>
      </c>
      <c r="P21" s="57">
        <v>3.3</v>
      </c>
      <c r="Q21" s="57">
        <v>7.6</v>
      </c>
      <c r="R21" s="57">
        <v>154</v>
      </c>
      <c r="S21" s="35">
        <v>7.1</v>
      </c>
      <c r="T21" s="151"/>
      <c r="U21" s="74"/>
      <c r="V21" s="74"/>
      <c r="W21" s="12"/>
      <c r="X21" s="12"/>
      <c r="Y21" s="12"/>
    </row>
    <row r="22" spans="2:25" ht="15.5">
      <c r="B22" s="9" t="s">
        <v>124</v>
      </c>
      <c r="C22" s="47">
        <v>0</v>
      </c>
      <c r="D22" s="49">
        <v>0</v>
      </c>
      <c r="E22" s="49"/>
      <c r="F22" s="49">
        <v>0</v>
      </c>
      <c r="G22" s="49">
        <v>476.5</v>
      </c>
      <c r="H22" s="49">
        <v>0</v>
      </c>
      <c r="I22" s="49">
        <v>-1110.7</v>
      </c>
      <c r="J22" s="75">
        <v>0</v>
      </c>
      <c r="K22" s="1"/>
      <c r="L22" s="56" t="s">
        <v>37</v>
      </c>
      <c r="M22" s="76"/>
      <c r="N22" s="76"/>
      <c r="O22" s="76">
        <v>0</v>
      </c>
      <c r="P22" s="76">
        <v>0</v>
      </c>
      <c r="Q22" s="76"/>
      <c r="R22" s="76">
        <v>0</v>
      </c>
      <c r="S22" s="34"/>
      <c r="T22" s="149"/>
      <c r="U22" s="1"/>
      <c r="V22" s="1"/>
    </row>
    <row r="23" spans="2:25" ht="15.5">
      <c r="B23" s="8" t="s">
        <v>38</v>
      </c>
      <c r="C23" s="46">
        <f t="shared" ref="C23:H23" si="8">(C15-C20-C21+C19-C22)</f>
        <v>7301.1000000000085</v>
      </c>
      <c r="D23" s="46">
        <f t="shared" si="8"/>
        <v>8409.5000000000182</v>
      </c>
      <c r="E23" s="46">
        <f t="shared" si="8"/>
        <v>8733.5000000000018</v>
      </c>
      <c r="F23" s="46">
        <f t="shared" si="8"/>
        <v>6911.1999999999916</v>
      </c>
      <c r="G23" s="60">
        <f t="shared" si="8"/>
        <v>9966.5000000000036</v>
      </c>
      <c r="H23" s="60">
        <f t="shared" si="8"/>
        <v>12502.200000000006</v>
      </c>
      <c r="I23" s="136">
        <f>(I15-I20-I21+I19-I22)</f>
        <v>12731.700000000012</v>
      </c>
      <c r="J23" s="136">
        <f>(J15-J20-J21+J19-J22)</f>
        <v>2289.2000000000025</v>
      </c>
      <c r="K23" s="1"/>
      <c r="L23" s="56" t="s">
        <v>39</v>
      </c>
      <c r="M23" s="57">
        <v>198.8</v>
      </c>
      <c r="N23" s="57">
        <v>133.5</v>
      </c>
      <c r="O23" s="57">
        <v>65.5</v>
      </c>
      <c r="P23" s="57">
        <v>424.8</v>
      </c>
      <c r="Q23" s="65">
        <v>2616.6999999999998</v>
      </c>
      <c r="R23" s="65">
        <v>3608.1</v>
      </c>
      <c r="S23" s="59">
        <v>3520.9</v>
      </c>
      <c r="T23" s="1"/>
      <c r="U23" s="1"/>
      <c r="V23" s="1"/>
    </row>
    <row r="24" spans="2:25" ht="15.5">
      <c r="B24" s="9" t="s">
        <v>40</v>
      </c>
      <c r="C24" s="47">
        <v>2468.8000000000002</v>
      </c>
      <c r="D24" s="48">
        <v>1798.6</v>
      </c>
      <c r="E24" s="48">
        <v>2265.1999999999998</v>
      </c>
      <c r="F24" s="48">
        <v>1785.5</v>
      </c>
      <c r="G24" s="47">
        <v>2658.2</v>
      </c>
      <c r="H24" s="47">
        <v>3158.4</v>
      </c>
      <c r="I24" s="47">
        <v>3285</v>
      </c>
      <c r="J24" s="64">
        <v>641.20000000000005</v>
      </c>
      <c r="K24" s="1"/>
      <c r="L24" s="9" t="s">
        <v>41</v>
      </c>
      <c r="M24" s="65">
        <v>69.5</v>
      </c>
      <c r="N24" s="65">
        <v>63.6</v>
      </c>
      <c r="O24" s="57">
        <v>43.1</v>
      </c>
      <c r="P24" s="57">
        <v>83.3</v>
      </c>
      <c r="Q24" s="57">
        <v>1251.9000000000001</v>
      </c>
      <c r="R24" s="57">
        <v>132</v>
      </c>
      <c r="S24" s="35">
        <v>150.80000000000001</v>
      </c>
      <c r="T24" s="151"/>
      <c r="U24" s="1"/>
      <c r="V24" s="1"/>
      <c r="X24" t="s">
        <v>42</v>
      </c>
    </row>
    <row r="25" spans="2:25" ht="15.5">
      <c r="B25" s="6" t="s">
        <v>43</v>
      </c>
      <c r="C25" s="134">
        <f>C24/C23</f>
        <v>0.33814082809439638</v>
      </c>
      <c r="D25" s="134">
        <f t="shared" ref="D25:H25" si="9">(D24/D23)</f>
        <v>0.21387716273262333</v>
      </c>
      <c r="E25" s="134">
        <f t="shared" si="9"/>
        <v>0.25936909600961805</v>
      </c>
      <c r="F25" s="134">
        <f t="shared" si="9"/>
        <v>0.25834876721842837</v>
      </c>
      <c r="G25" s="134">
        <f t="shared" si="9"/>
        <v>0.26671349019214358</v>
      </c>
      <c r="H25" s="134">
        <f t="shared" si="9"/>
        <v>0.25262753755339051</v>
      </c>
      <c r="I25" s="134">
        <f>(I24/I23)</f>
        <v>0.25801738966516624</v>
      </c>
      <c r="J25" s="134">
        <f>(J24/J23)</f>
        <v>0.28009785077756394</v>
      </c>
      <c r="K25" s="1"/>
      <c r="L25" s="56" t="s">
        <v>44</v>
      </c>
      <c r="M25" s="57">
        <v>214.8</v>
      </c>
      <c r="N25" s="57">
        <v>262.10000000000002</v>
      </c>
      <c r="O25" s="57">
        <v>0</v>
      </c>
      <c r="P25" s="57">
        <v>72.400000000000006</v>
      </c>
      <c r="Q25" s="57">
        <v>15</v>
      </c>
      <c r="R25" s="65">
        <v>131.1</v>
      </c>
      <c r="S25" s="59">
        <v>181.6</v>
      </c>
      <c r="T25" s="1"/>
      <c r="U25" s="1"/>
      <c r="V25" s="1"/>
    </row>
    <row r="26" spans="2:25" ht="15.5">
      <c r="B26" s="14" t="s">
        <v>45</v>
      </c>
      <c r="C26" s="50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/>
      <c r="J26" s="107">
        <v>0</v>
      </c>
      <c r="K26" s="1"/>
      <c r="L26" s="56" t="s">
        <v>46</v>
      </c>
      <c r="M26" s="57">
        <v>1157.8</v>
      </c>
      <c r="N26" s="57">
        <v>749.9</v>
      </c>
      <c r="O26" s="57">
        <v>1107.5</v>
      </c>
      <c r="P26" s="57">
        <v>1712.7</v>
      </c>
      <c r="Q26" s="57">
        <v>1251</v>
      </c>
      <c r="R26" s="65">
        <v>2714.1</v>
      </c>
      <c r="S26" s="59">
        <v>2167.9</v>
      </c>
      <c r="T26" s="1"/>
      <c r="U26" s="1"/>
      <c r="V26" s="1"/>
    </row>
    <row r="27" spans="2:25" ht="15.5">
      <c r="B27" s="8" t="s">
        <v>47</v>
      </c>
      <c r="C27" s="46">
        <f t="shared" ref="C27:H27" si="10">(C23-C24+C26)</f>
        <v>4832.3000000000084</v>
      </c>
      <c r="D27" s="46">
        <f t="shared" si="10"/>
        <v>6610.9000000000178</v>
      </c>
      <c r="E27" s="46">
        <f t="shared" si="10"/>
        <v>6468.300000000002</v>
      </c>
      <c r="F27" s="46">
        <f t="shared" si="10"/>
        <v>5125.6999999999916</v>
      </c>
      <c r="G27" s="60">
        <f t="shared" si="10"/>
        <v>7308.3000000000038</v>
      </c>
      <c r="H27" s="60">
        <f t="shared" si="10"/>
        <v>9343.8000000000065</v>
      </c>
      <c r="I27" s="137">
        <f>(I23-I24+I26)</f>
        <v>9446.7000000000116</v>
      </c>
      <c r="J27" s="137">
        <f>(J23-J24+J26)</f>
        <v>1648.0000000000025</v>
      </c>
      <c r="K27" s="1"/>
      <c r="L27" s="56" t="s">
        <v>48</v>
      </c>
      <c r="M27" s="57"/>
      <c r="N27" s="57"/>
      <c r="O27" s="57"/>
      <c r="P27" s="57"/>
      <c r="Q27" s="57">
        <v>8.9</v>
      </c>
      <c r="R27" s="57">
        <v>17</v>
      </c>
      <c r="S27" s="35">
        <v>71.900000000000006</v>
      </c>
      <c r="T27" s="151"/>
      <c r="U27" s="1"/>
      <c r="V27" s="1"/>
    </row>
    <row r="28" spans="2:25" ht="15.5">
      <c r="B28" s="8" t="s">
        <v>49</v>
      </c>
      <c r="C28" s="15">
        <f t="shared" ref="C28:H28" si="11">C27/C6</f>
        <v>7.1135312102998602E-2</v>
      </c>
      <c r="D28" s="15">
        <f t="shared" si="11"/>
        <v>9.6658215707088241E-2</v>
      </c>
      <c r="E28" s="15">
        <f t="shared" si="11"/>
        <v>9.0468517912439289E-2</v>
      </c>
      <c r="F28" s="15">
        <f t="shared" si="11"/>
        <v>5.8935398377629358E-2</v>
      </c>
      <c r="G28" s="77">
        <f t="shared" si="11"/>
        <v>7.0326212471131674E-2</v>
      </c>
      <c r="H28" s="77">
        <f t="shared" si="11"/>
        <v>7.9803970469165889E-2</v>
      </c>
      <c r="I28" s="77">
        <f>I27/I6</f>
        <v>7.3536234501398151E-2</v>
      </c>
      <c r="J28" s="77">
        <f>J27/J6</f>
        <v>4.845519658461437E-2</v>
      </c>
      <c r="K28" s="1"/>
      <c r="L28" s="56" t="s">
        <v>50</v>
      </c>
      <c r="M28" s="57"/>
      <c r="N28" s="57"/>
      <c r="O28" s="57"/>
      <c r="P28" s="57"/>
      <c r="Q28" s="65">
        <v>4279.8999999999996</v>
      </c>
      <c r="R28" s="65">
        <v>4358</v>
      </c>
      <c r="S28" s="59">
        <v>4358</v>
      </c>
      <c r="T28" s="1"/>
      <c r="U28" s="1"/>
      <c r="V28" s="1"/>
    </row>
    <row r="29" spans="2:25" ht="15.5">
      <c r="B29" s="9" t="s">
        <v>51</v>
      </c>
      <c r="C29" s="47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/>
      <c r="J29" s="108"/>
      <c r="K29" s="1"/>
      <c r="L29" s="61" t="s">
        <v>52</v>
      </c>
      <c r="M29" s="62">
        <f>SUM(M31:M39)</f>
        <v>22041.1</v>
      </c>
      <c r="N29" s="62">
        <f>SUM(N31:N39)</f>
        <v>22232.5</v>
      </c>
      <c r="O29" s="62">
        <f>SUM(O31:O39)</f>
        <v>28212.399999999998</v>
      </c>
      <c r="P29" s="62">
        <f>SUM(P31:P39)</f>
        <v>28248.299999999996</v>
      </c>
      <c r="Q29" s="69">
        <f>SUM(Q31:Q39)</f>
        <v>34513.399999999994</v>
      </c>
      <c r="R29" s="69">
        <f>SUM(R30:R39)</f>
        <v>38694.200000000004</v>
      </c>
      <c r="S29" s="63">
        <f>SUM(S30:S39)</f>
        <v>42466.5</v>
      </c>
      <c r="T29" s="142"/>
      <c r="U29" s="1"/>
      <c r="V29" s="1"/>
    </row>
    <row r="30" spans="2:25" ht="15.5">
      <c r="B30" s="9" t="s">
        <v>53</v>
      </c>
      <c r="C30" s="47">
        <v>-1.2</v>
      </c>
      <c r="D30" s="52">
        <v>-94</v>
      </c>
      <c r="E30" s="52">
        <v>-67.400000000000006</v>
      </c>
      <c r="F30" s="52">
        <v>7.4</v>
      </c>
      <c r="G30" s="47">
        <v>1092.5</v>
      </c>
      <c r="H30" s="47">
        <v>-60.4</v>
      </c>
      <c r="I30" s="47">
        <v>-1639.2</v>
      </c>
      <c r="J30" s="64">
        <v>-6.4</v>
      </c>
      <c r="K30" s="1"/>
      <c r="L30" s="78"/>
      <c r="M30" s="79"/>
      <c r="N30" s="79"/>
      <c r="O30" s="79"/>
      <c r="P30" s="79"/>
      <c r="Q30" s="79"/>
      <c r="R30" s="79"/>
      <c r="S30" s="121"/>
      <c r="T30" s="142"/>
      <c r="U30" s="1"/>
      <c r="V30" s="1"/>
    </row>
    <row r="31" spans="2:25" ht="15.5">
      <c r="B31" s="8" t="s">
        <v>54</v>
      </c>
      <c r="C31" s="46">
        <f t="shared" ref="C31:H31" si="12">(C27-C29+C30)</f>
        <v>4831.1000000000085</v>
      </c>
      <c r="D31" s="46">
        <f t="shared" si="12"/>
        <v>6516.9000000000178</v>
      </c>
      <c r="E31" s="46">
        <f t="shared" si="12"/>
        <v>6400.9000000000024</v>
      </c>
      <c r="F31" s="46">
        <f t="shared" si="12"/>
        <v>5133.0999999999913</v>
      </c>
      <c r="G31" s="60">
        <f t="shared" si="12"/>
        <v>8400.8000000000029</v>
      </c>
      <c r="H31" s="60">
        <f t="shared" si="12"/>
        <v>9283.4000000000069</v>
      </c>
      <c r="I31" s="136">
        <f>(I27-I29+I30)</f>
        <v>7807.5000000000118</v>
      </c>
      <c r="J31" s="136">
        <f>(J27-J29+J30)</f>
        <v>1641.6000000000024</v>
      </c>
      <c r="K31" s="1"/>
      <c r="L31" s="56" t="s">
        <v>55</v>
      </c>
      <c r="M31" s="57">
        <v>10614.2</v>
      </c>
      <c r="N31" s="57">
        <v>11430</v>
      </c>
      <c r="O31" s="57">
        <v>14389.3</v>
      </c>
      <c r="P31" s="57">
        <v>18045.599999999999</v>
      </c>
      <c r="Q31" s="80">
        <v>17339.599999999999</v>
      </c>
      <c r="R31" s="80">
        <v>19484.400000000001</v>
      </c>
      <c r="S31" s="71">
        <v>21954.1</v>
      </c>
      <c r="T31" s="140"/>
      <c r="U31" s="1"/>
      <c r="V31" s="1"/>
    </row>
    <row r="32" spans="2:25" ht="15.5">
      <c r="B32" s="6" t="s">
        <v>11</v>
      </c>
      <c r="C32" s="7"/>
      <c r="D32" s="7">
        <f t="shared" ref="D32:H32" si="13">D31/C31-1</f>
        <v>0.34894744468133676</v>
      </c>
      <c r="E32" s="7">
        <f t="shared" si="13"/>
        <v>-1.779987417330553E-2</v>
      </c>
      <c r="F32" s="7">
        <f t="shared" si="13"/>
        <v>-0.1980658969832384</v>
      </c>
      <c r="G32" s="55">
        <f t="shared" si="13"/>
        <v>0.63659387114999078</v>
      </c>
      <c r="H32" s="55">
        <f t="shared" si="13"/>
        <v>0.10506142272164598</v>
      </c>
      <c r="I32" s="55">
        <f>I31/H31-1</f>
        <v>-0.15898270030376738</v>
      </c>
      <c r="J32" s="55"/>
      <c r="K32" s="1"/>
      <c r="L32" s="56" t="s">
        <v>37</v>
      </c>
      <c r="M32" s="57">
        <v>0</v>
      </c>
      <c r="N32" s="57">
        <v>0</v>
      </c>
      <c r="O32" s="57"/>
      <c r="P32" s="57"/>
      <c r="Q32" s="57"/>
      <c r="R32" s="57"/>
      <c r="S32" s="35"/>
      <c r="T32" s="151"/>
      <c r="U32" s="1"/>
      <c r="V32" s="1"/>
    </row>
    <row r="33" spans="2:23" ht="15.5">
      <c r="B33" s="6" t="s">
        <v>56</v>
      </c>
      <c r="C33" s="13"/>
      <c r="D33" s="13"/>
      <c r="E33" s="13"/>
      <c r="F33" s="13">
        <f>(F31/C31)^(1/3)-1</f>
        <v>2.0417502836696189E-2</v>
      </c>
      <c r="G33" s="70">
        <f>(G31/D31)^(1/3)-1</f>
        <v>8.8328150876447964E-2</v>
      </c>
      <c r="H33" s="70">
        <f>(H31/E31)^(1/3)-1</f>
        <v>0.13193635100902368</v>
      </c>
      <c r="I33" s="70">
        <f>(I31/F31)^(1/3)-1</f>
        <v>0.15003420069461559</v>
      </c>
      <c r="J33" s="70"/>
      <c r="K33" s="1"/>
      <c r="L33" s="56" t="s">
        <v>39</v>
      </c>
      <c r="M33" s="76">
        <v>3</v>
      </c>
      <c r="N33" s="76">
        <v>1422.5</v>
      </c>
      <c r="O33" s="76">
        <v>2734.2</v>
      </c>
      <c r="P33" s="76">
        <v>347.3</v>
      </c>
      <c r="Q33" s="76">
        <v>1653</v>
      </c>
      <c r="R33" s="65">
        <v>3530.9</v>
      </c>
      <c r="S33" s="59">
        <v>3294.1</v>
      </c>
      <c r="T33" s="1"/>
      <c r="U33" s="1"/>
      <c r="V33" s="26"/>
    </row>
    <row r="34" spans="2:23" ht="15.5">
      <c r="B34" s="5" t="s">
        <v>125</v>
      </c>
      <c r="C34" s="54">
        <v>28.29</v>
      </c>
      <c r="D34" s="54">
        <v>38.69</v>
      </c>
      <c r="E34" s="54">
        <v>37.869999999999997</v>
      </c>
      <c r="F34" s="54">
        <v>30.01</v>
      </c>
      <c r="G34" s="81">
        <v>39.93</v>
      </c>
      <c r="H34" s="81">
        <v>51.05</v>
      </c>
      <c r="I34" s="81">
        <v>51.62</v>
      </c>
      <c r="J34" s="82">
        <v>9</v>
      </c>
      <c r="K34" s="1"/>
      <c r="L34" s="56" t="s">
        <v>57</v>
      </c>
      <c r="M34" s="57">
        <v>7685.8</v>
      </c>
      <c r="N34" s="57">
        <v>6363</v>
      </c>
      <c r="O34" s="57">
        <v>7869.3</v>
      </c>
      <c r="P34" s="57">
        <v>7920</v>
      </c>
      <c r="Q34" s="57">
        <v>8865.6</v>
      </c>
      <c r="R34" s="80">
        <v>11358.4</v>
      </c>
      <c r="S34" s="71">
        <v>12630.9</v>
      </c>
      <c r="T34" s="140"/>
      <c r="U34" s="1"/>
      <c r="V34" s="1"/>
    </row>
    <row r="35" spans="2:23" ht="16" thickBot="1">
      <c r="B35" s="16" t="s">
        <v>13</v>
      </c>
      <c r="C35" s="53"/>
      <c r="D35" s="53"/>
      <c r="E35" s="53"/>
      <c r="F35" s="109">
        <f>(F34/C34)^(1/3)-1</f>
        <v>1.9868901790683458E-2</v>
      </c>
      <c r="G35" s="109">
        <f>(G34/D34)^(1/3)-1</f>
        <v>1.0571067184002692E-2</v>
      </c>
      <c r="H35" s="109">
        <f>(H34/E34)^(1/3)-1</f>
        <v>0.10467234160731564</v>
      </c>
      <c r="I35" s="109">
        <f>(I34/F34)^(1/3)-1</f>
        <v>0.19816694724424488</v>
      </c>
      <c r="J35" s="109"/>
      <c r="K35" s="1"/>
      <c r="L35" s="56" t="s">
        <v>58</v>
      </c>
      <c r="M35" s="57">
        <v>502.3</v>
      </c>
      <c r="N35" s="57">
        <v>326.2</v>
      </c>
      <c r="O35" s="57">
        <v>969.3</v>
      </c>
      <c r="P35" s="57">
        <v>348.6</v>
      </c>
      <c r="Q35" s="57">
        <v>948.7</v>
      </c>
      <c r="R35" s="57">
        <v>983.4</v>
      </c>
      <c r="S35" s="35">
        <v>1578.3</v>
      </c>
      <c r="T35" s="151"/>
      <c r="U35" s="1"/>
      <c r="V35" s="1"/>
    </row>
    <row r="36" spans="2:23" ht="15.5">
      <c r="B36" s="1"/>
      <c r="C36" s="1"/>
      <c r="D36" s="1"/>
      <c r="E36" s="1"/>
      <c r="F36" s="1"/>
      <c r="G36" s="1"/>
      <c r="H36" s="1"/>
      <c r="I36" s="1"/>
      <c r="J36" s="1"/>
      <c r="K36" s="1"/>
      <c r="L36" s="56" t="s">
        <v>59</v>
      </c>
      <c r="M36" s="57">
        <v>216</v>
      </c>
      <c r="N36" s="57">
        <v>519.1</v>
      </c>
      <c r="O36" s="57">
        <v>790.8</v>
      </c>
      <c r="P36" s="57">
        <v>192.6</v>
      </c>
      <c r="Q36" s="57">
        <v>103.9</v>
      </c>
      <c r="R36" s="57">
        <v>194.6</v>
      </c>
      <c r="S36" s="35">
        <v>167.8</v>
      </c>
      <c r="T36" s="151"/>
      <c r="U36" s="26">
        <f>O61-O60</f>
        <v>0</v>
      </c>
      <c r="V36" s="65"/>
    </row>
    <row r="37" spans="2:23" ht="15.5">
      <c r="B37" s="1"/>
      <c r="C37" s="1"/>
      <c r="D37" s="1"/>
      <c r="E37" s="1"/>
      <c r="F37" s="1"/>
      <c r="G37" s="1"/>
      <c r="H37" s="1"/>
      <c r="I37" s="1"/>
      <c r="J37" s="1"/>
      <c r="K37" s="1"/>
      <c r="L37" s="56" t="s">
        <v>60</v>
      </c>
      <c r="M37" s="57">
        <v>86</v>
      </c>
      <c r="N37" s="57">
        <v>115.3</v>
      </c>
      <c r="O37" s="57">
        <v>255.2</v>
      </c>
      <c r="P37" s="57">
        <v>166.8</v>
      </c>
      <c r="Q37" s="65">
        <v>3221.8</v>
      </c>
      <c r="R37" s="57">
        <v>918.9</v>
      </c>
      <c r="S37" s="35">
        <v>209.2</v>
      </c>
      <c r="T37" s="151"/>
      <c r="U37" s="1"/>
      <c r="V37" s="1"/>
    </row>
    <row r="38" spans="2:23" ht="16" thickBot="1">
      <c r="B38" s="1"/>
      <c r="C38" s="1"/>
      <c r="D38" s="1"/>
      <c r="E38" s="1"/>
      <c r="F38" s="1"/>
      <c r="G38" s="1"/>
      <c r="H38" s="1"/>
      <c r="I38" s="1"/>
      <c r="J38" s="1"/>
      <c r="K38" s="1"/>
      <c r="L38" s="56" t="s">
        <v>61</v>
      </c>
      <c r="M38" s="57">
        <v>2933.8</v>
      </c>
      <c r="N38" s="57">
        <v>2056.4</v>
      </c>
      <c r="O38" s="57">
        <v>1204.3</v>
      </c>
      <c r="P38" s="57">
        <v>1227.4000000000001</v>
      </c>
      <c r="Q38" s="65">
        <v>1493.7</v>
      </c>
      <c r="R38" s="65">
        <v>2223.6</v>
      </c>
      <c r="S38" s="59">
        <v>2632.1</v>
      </c>
      <c r="T38" s="1"/>
      <c r="U38" s="1"/>
      <c r="V38" s="1"/>
    </row>
    <row r="39" spans="2:23" ht="15.5">
      <c r="B39" s="2" t="s">
        <v>70</v>
      </c>
      <c r="C39" s="3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122</v>
      </c>
      <c r="I39" s="111" t="s">
        <v>127</v>
      </c>
      <c r="J39" s="139"/>
      <c r="K39" s="1"/>
      <c r="L39" s="56" t="s">
        <v>62</v>
      </c>
      <c r="M39" s="57"/>
      <c r="N39" s="57"/>
      <c r="O39" s="57"/>
      <c r="P39" s="57"/>
      <c r="Q39" s="57">
        <v>887.1</v>
      </c>
      <c r="R39" s="57"/>
      <c r="S39" s="114"/>
      <c r="T39" s="144"/>
      <c r="U39" s="1"/>
      <c r="V39" s="1"/>
    </row>
    <row r="40" spans="2:23" ht="15.5">
      <c r="B40" s="18" t="s">
        <v>72</v>
      </c>
      <c r="C40" s="65">
        <v>487.3</v>
      </c>
      <c r="D40" s="19">
        <f>C46</f>
        <v>502.29999999999927</v>
      </c>
      <c r="E40" s="84">
        <f>D46</f>
        <v>326.19999999999919</v>
      </c>
      <c r="F40" s="19">
        <f>E46</f>
        <v>969.29999999999973</v>
      </c>
      <c r="G40" s="65">
        <v>348.6</v>
      </c>
      <c r="H40" s="65">
        <v>948.7</v>
      </c>
      <c r="I40" s="59">
        <v>983.4</v>
      </c>
      <c r="J40" s="1"/>
      <c r="K40" s="1"/>
      <c r="L40" s="61" t="s">
        <v>63</v>
      </c>
      <c r="M40" s="83"/>
      <c r="N40" s="83"/>
      <c r="O40" s="83"/>
      <c r="P40" s="83"/>
      <c r="Q40" s="83"/>
      <c r="R40" s="83"/>
      <c r="S40" s="122"/>
      <c r="T40" s="151"/>
      <c r="U40" s="1"/>
      <c r="V40" s="1"/>
    </row>
    <row r="41" spans="2:23" ht="15.5">
      <c r="B41" s="18" t="s">
        <v>74</v>
      </c>
      <c r="C41" s="65">
        <v>5411.4</v>
      </c>
      <c r="D41" s="65">
        <v>11765.6</v>
      </c>
      <c r="E41" s="65">
        <v>8022.1</v>
      </c>
      <c r="F41" s="20">
        <v>6332.6</v>
      </c>
      <c r="G41" s="65">
        <v>9446.6</v>
      </c>
      <c r="H41" s="80">
        <v>12660.2</v>
      </c>
      <c r="I41" s="71">
        <v>13513.1</v>
      </c>
      <c r="J41" s="140"/>
      <c r="K41" s="1"/>
      <c r="L41" s="61" t="s">
        <v>64</v>
      </c>
      <c r="M41" s="62">
        <f>SUM(M43:M51)+M11</f>
        <v>9025.1</v>
      </c>
      <c r="N41" s="62">
        <f>SUM(N43:N51)+N11</f>
        <v>11020.5</v>
      </c>
      <c r="O41" s="62">
        <f>SUM(O43:O51)</f>
        <v>13295.1</v>
      </c>
      <c r="P41" s="62">
        <f>SUM(P43:P51)</f>
        <v>15264.699999999999</v>
      </c>
      <c r="Q41" s="69">
        <f>SUM(Q43:Q51)</f>
        <v>14782.400000000001</v>
      </c>
      <c r="R41" s="69">
        <f>SUM(R43:R51)</f>
        <v>17250.599999999999</v>
      </c>
      <c r="S41" s="63">
        <f>SUM(S43:S51)</f>
        <v>23133.299999999996</v>
      </c>
      <c r="T41" s="142"/>
      <c r="U41" s="1"/>
      <c r="V41" s="1"/>
    </row>
    <row r="42" spans="2:23" ht="15.5">
      <c r="B42" s="18" t="s">
        <v>77</v>
      </c>
      <c r="C42" s="65">
        <v>-4628.6000000000004</v>
      </c>
      <c r="D42" s="65">
        <v>-8493.6</v>
      </c>
      <c r="E42" s="65">
        <v>-6349.7</v>
      </c>
      <c r="F42" s="20">
        <v>-4818.8999999999996</v>
      </c>
      <c r="G42" s="65">
        <v>-7729.2</v>
      </c>
      <c r="H42" s="80">
        <v>-10201.200000000001</v>
      </c>
      <c r="I42" s="71">
        <v>-11316.3</v>
      </c>
      <c r="J42" s="140"/>
      <c r="K42" s="1"/>
      <c r="L42" s="56" t="s">
        <v>65</v>
      </c>
      <c r="M42" s="68"/>
      <c r="N42" s="68"/>
      <c r="O42" s="68"/>
      <c r="P42" s="68"/>
      <c r="Q42" s="68"/>
      <c r="R42" s="68"/>
      <c r="S42" s="123"/>
      <c r="T42" s="152"/>
      <c r="U42" s="1"/>
      <c r="V42" s="1"/>
    </row>
    <row r="43" spans="2:23" ht="15.5">
      <c r="B43" s="18" t="s">
        <v>79</v>
      </c>
      <c r="C43" s="65">
        <v>-916.2</v>
      </c>
      <c r="D43" s="65">
        <v>-3637.9</v>
      </c>
      <c r="E43" s="65">
        <v>-1215</v>
      </c>
      <c r="F43" s="20">
        <v>-2134.8000000000002</v>
      </c>
      <c r="G43" s="65">
        <v>-1119.2</v>
      </c>
      <c r="H43" s="65">
        <v>-2424.9</v>
      </c>
      <c r="I43" s="59">
        <v>-1595.6</v>
      </c>
      <c r="J43" s="1"/>
      <c r="K43" s="1"/>
      <c r="L43" s="66" t="s">
        <v>66</v>
      </c>
      <c r="M43" s="57"/>
      <c r="N43" s="57"/>
      <c r="O43" s="57">
        <v>109.5</v>
      </c>
      <c r="P43" s="57">
        <v>68.7</v>
      </c>
      <c r="Q43" s="65">
        <v>310.5</v>
      </c>
      <c r="R43" s="65">
        <v>273.39999999999998</v>
      </c>
      <c r="S43" s="59">
        <v>1445.7</v>
      </c>
      <c r="T43" s="1"/>
      <c r="U43" s="1"/>
      <c r="V43" s="1"/>
    </row>
    <row r="44" spans="2:23" ht="15.5">
      <c r="B44" s="18" t="s">
        <v>81</v>
      </c>
      <c r="C44" s="65">
        <v>148.4</v>
      </c>
      <c r="D44" s="65">
        <v>189.8</v>
      </c>
      <c r="E44" s="65">
        <v>185.7</v>
      </c>
      <c r="F44" s="20"/>
      <c r="G44" s="84">
        <v>1.9</v>
      </c>
      <c r="H44" s="84">
        <v>0.6</v>
      </c>
      <c r="I44" s="85">
        <f>1.5-7.8</f>
        <v>-6.3</v>
      </c>
      <c r="J44" s="26"/>
      <c r="K44" s="1"/>
      <c r="L44" s="56" t="s">
        <v>67</v>
      </c>
      <c r="M44" s="57"/>
      <c r="N44" s="57">
        <v>154.30000000000001</v>
      </c>
      <c r="O44" s="57">
        <v>193.9</v>
      </c>
      <c r="P44" s="57">
        <v>252.2</v>
      </c>
      <c r="Q44" s="57">
        <v>267.89999999999998</v>
      </c>
      <c r="R44" s="65">
        <v>282.89999999999998</v>
      </c>
      <c r="S44" s="59">
        <v>348.7</v>
      </c>
      <c r="T44" s="1"/>
      <c r="U44" s="1"/>
      <c r="V44" s="1"/>
    </row>
    <row r="45" spans="2:23" ht="15.5">
      <c r="B45" s="18" t="s">
        <v>83</v>
      </c>
      <c r="C45" s="65">
        <f t="shared" ref="C45:H45" si="14">C41+C42+C43+C44</f>
        <v>14.999999999999233</v>
      </c>
      <c r="D45" s="65">
        <f t="shared" si="14"/>
        <v>-176.10000000000008</v>
      </c>
      <c r="E45" s="20">
        <f t="shared" si="14"/>
        <v>643.10000000000059</v>
      </c>
      <c r="F45" s="20">
        <f t="shared" si="14"/>
        <v>-621.09999999999945</v>
      </c>
      <c r="G45" s="84">
        <f t="shared" si="14"/>
        <v>600.10000000000048</v>
      </c>
      <c r="H45" s="84">
        <f t="shared" si="14"/>
        <v>34.69999999999991</v>
      </c>
      <c r="I45" s="85">
        <f>I41+I42+I43</f>
        <v>601.20000000000118</v>
      </c>
      <c r="J45" s="26"/>
      <c r="K45" s="1"/>
      <c r="L45" s="56" t="s">
        <v>68</v>
      </c>
      <c r="M45" s="57"/>
      <c r="N45" s="57"/>
      <c r="O45" s="57"/>
      <c r="P45" s="57"/>
      <c r="Q45" s="57"/>
      <c r="R45" s="57"/>
      <c r="S45" s="35"/>
      <c r="T45" s="151"/>
      <c r="U45" s="1"/>
      <c r="V45" s="1"/>
    </row>
    <row r="46" spans="2:23" ht="16" thickBot="1">
      <c r="B46" s="21" t="s">
        <v>85</v>
      </c>
      <c r="C46" s="22">
        <f t="shared" ref="C46:H46" si="15">C40+C45</f>
        <v>502.29999999999927</v>
      </c>
      <c r="D46" s="22">
        <f t="shared" si="15"/>
        <v>326.19999999999919</v>
      </c>
      <c r="E46" s="22">
        <f t="shared" si="15"/>
        <v>969.29999999999973</v>
      </c>
      <c r="F46" s="22">
        <f t="shared" si="15"/>
        <v>348.20000000000027</v>
      </c>
      <c r="G46" s="22">
        <f t="shared" si="15"/>
        <v>948.7000000000005</v>
      </c>
      <c r="H46" s="37">
        <f t="shared" si="15"/>
        <v>983.4</v>
      </c>
      <c r="I46" s="112">
        <f>I40+I45+I44</f>
        <v>1578.3000000000013</v>
      </c>
      <c r="J46" s="141"/>
      <c r="K46" s="1"/>
      <c r="L46" s="56" t="s">
        <v>69</v>
      </c>
      <c r="M46" s="57">
        <v>596</v>
      </c>
      <c r="N46" s="57">
        <v>739.1</v>
      </c>
      <c r="O46" s="57">
        <v>441.4</v>
      </c>
      <c r="P46" s="57">
        <v>230.5</v>
      </c>
      <c r="Q46" s="65">
        <v>214.3</v>
      </c>
      <c r="R46" s="65">
        <v>319.60000000000002</v>
      </c>
      <c r="S46" s="59">
        <v>739</v>
      </c>
      <c r="T46" s="1"/>
      <c r="U46" s="1"/>
      <c r="V46" s="1"/>
    </row>
    <row r="47" spans="2:23" ht="15.5">
      <c r="B47" s="17"/>
      <c r="C47" s="23"/>
      <c r="D47" s="23"/>
      <c r="E47" s="23"/>
      <c r="F47" s="23"/>
      <c r="G47" s="23"/>
      <c r="H47" s="23"/>
      <c r="I47" s="23"/>
      <c r="J47" s="141"/>
      <c r="K47" s="1"/>
      <c r="L47" s="56" t="s">
        <v>71</v>
      </c>
      <c r="M47" s="57">
        <v>4508.5</v>
      </c>
      <c r="N47" s="57">
        <v>5410.4</v>
      </c>
      <c r="O47" s="57">
        <v>7023.6</v>
      </c>
      <c r="P47" s="57">
        <v>7824.5</v>
      </c>
      <c r="Q47" s="65">
        <v>7362.4</v>
      </c>
      <c r="R47" s="65">
        <v>8244.9</v>
      </c>
      <c r="S47" s="59">
        <v>10127.299999999999</v>
      </c>
      <c r="T47" s="1"/>
      <c r="U47" s="26"/>
      <c r="V47" s="26"/>
      <c r="W47" s="10"/>
    </row>
    <row r="48" spans="2:23" ht="15.5">
      <c r="B48" s="17"/>
      <c r="C48" s="23"/>
      <c r="D48" s="23"/>
      <c r="E48" s="23"/>
      <c r="F48" s="23"/>
      <c r="G48" s="23"/>
      <c r="H48" s="23"/>
      <c r="I48" s="23"/>
      <c r="J48" s="141"/>
      <c r="K48" s="1"/>
      <c r="L48" s="56" t="s">
        <v>73</v>
      </c>
      <c r="M48" s="57">
        <v>1705.5</v>
      </c>
      <c r="N48" s="57">
        <v>2049.1999999999998</v>
      </c>
      <c r="O48" s="57">
        <v>2053.3000000000002</v>
      </c>
      <c r="P48" s="57">
        <v>2987.9</v>
      </c>
      <c r="Q48" s="65">
        <v>2537.1999999999998</v>
      </c>
      <c r="R48" s="81">
        <v>3614</v>
      </c>
      <c r="S48" s="82">
        <v>5106.1000000000004</v>
      </c>
      <c r="T48" s="153"/>
      <c r="U48" s="1"/>
      <c r="V48" s="1"/>
    </row>
    <row r="49" spans="2:22" ht="15.5">
      <c r="B49" s="17"/>
      <c r="C49" s="23"/>
      <c r="D49" s="23"/>
      <c r="E49" s="23"/>
      <c r="F49" s="23"/>
      <c r="G49" s="23"/>
      <c r="H49" s="23"/>
      <c r="I49" s="26"/>
      <c r="J49" s="26"/>
      <c r="K49" s="1"/>
      <c r="L49" s="56" t="s">
        <v>75</v>
      </c>
      <c r="M49" s="57">
        <v>618.9</v>
      </c>
      <c r="N49" s="57">
        <v>994.1</v>
      </c>
      <c r="O49" s="57">
        <v>1186</v>
      </c>
      <c r="P49" s="57">
        <v>1372.9</v>
      </c>
      <c r="Q49" s="65">
        <v>1416.6</v>
      </c>
      <c r="R49" s="65">
        <v>1327.7</v>
      </c>
      <c r="S49" s="59">
        <v>1766.6</v>
      </c>
      <c r="T49" s="1"/>
      <c r="U49" s="1"/>
      <c r="V49" s="1"/>
    </row>
    <row r="50" spans="2:22" ht="16" thickBot="1">
      <c r="B50" s="1"/>
      <c r="C50" s="1"/>
      <c r="D50" s="1"/>
      <c r="E50" s="1"/>
      <c r="F50" s="1"/>
      <c r="G50" s="1"/>
      <c r="H50" s="1"/>
      <c r="I50" s="1"/>
      <c r="J50" s="1"/>
      <c r="K50" s="1"/>
      <c r="L50" s="56" t="s">
        <v>76</v>
      </c>
      <c r="M50" s="57"/>
      <c r="N50" s="57"/>
      <c r="O50" s="57">
        <v>41.8</v>
      </c>
      <c r="P50" s="57"/>
      <c r="Q50" s="57">
        <v>3.2</v>
      </c>
      <c r="R50" s="57"/>
      <c r="S50" s="35">
        <v>0.8</v>
      </c>
      <c r="T50" s="151"/>
      <c r="U50" s="1"/>
      <c r="V50" s="1"/>
    </row>
    <row r="51" spans="2:22" ht="15.5">
      <c r="B51" s="24" t="s">
        <v>89</v>
      </c>
      <c r="C51" s="3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tr">
        <f>H39</f>
        <v>FY24</v>
      </c>
      <c r="I51" s="111" t="s">
        <v>127</v>
      </c>
      <c r="J51" s="139"/>
      <c r="K51" s="1"/>
      <c r="L51" s="56" t="s">
        <v>78</v>
      </c>
      <c r="M51" s="57">
        <v>1596.2</v>
      </c>
      <c r="N51" s="57">
        <v>1673.4</v>
      </c>
      <c r="O51" s="57">
        <v>2245.6</v>
      </c>
      <c r="P51" s="57">
        <v>2528</v>
      </c>
      <c r="Q51" s="57">
        <v>2670.3</v>
      </c>
      <c r="R51" s="65">
        <v>3188.1</v>
      </c>
      <c r="S51" s="59">
        <v>3599.1</v>
      </c>
      <c r="T51" s="1"/>
      <c r="U51" s="1"/>
      <c r="V51" s="1"/>
    </row>
    <row r="52" spans="2:22" ht="15.5">
      <c r="B52" s="40" t="s">
        <v>91</v>
      </c>
      <c r="C52" s="38">
        <f t="shared" ref="C52:I52" si="16">C41</f>
        <v>5411.4</v>
      </c>
      <c r="D52" s="38">
        <f t="shared" si="16"/>
        <v>11765.6</v>
      </c>
      <c r="E52" s="38">
        <f t="shared" si="16"/>
        <v>8022.1</v>
      </c>
      <c r="F52" s="38">
        <f t="shared" si="16"/>
        <v>6332.6</v>
      </c>
      <c r="G52" s="38">
        <f t="shared" si="16"/>
        <v>9446.6</v>
      </c>
      <c r="H52" s="38">
        <f t="shared" si="16"/>
        <v>12660.2</v>
      </c>
      <c r="I52" s="115">
        <f t="shared" si="16"/>
        <v>13513.1</v>
      </c>
      <c r="J52" s="142"/>
      <c r="K52" s="1"/>
      <c r="L52" s="61" t="s">
        <v>80</v>
      </c>
      <c r="M52" s="62">
        <f t="shared" ref="M52:R52" si="17">M29-M41</f>
        <v>13015.999999999998</v>
      </c>
      <c r="N52" s="62">
        <f t="shared" si="17"/>
        <v>11212</v>
      </c>
      <c r="O52" s="62">
        <f t="shared" si="17"/>
        <v>14917.299999999997</v>
      </c>
      <c r="P52" s="62">
        <f t="shared" si="17"/>
        <v>12983.599999999997</v>
      </c>
      <c r="Q52" s="69">
        <f t="shared" si="17"/>
        <v>19730.999999999993</v>
      </c>
      <c r="R52" s="69">
        <f t="shared" si="17"/>
        <v>21443.600000000006</v>
      </c>
      <c r="S52" s="63">
        <f>S29-S41</f>
        <v>19333.200000000004</v>
      </c>
      <c r="T52" s="142"/>
      <c r="U52" s="1"/>
      <c r="V52" s="1"/>
    </row>
    <row r="53" spans="2:22" ht="15.5">
      <c r="B53" s="116" t="s">
        <v>93</v>
      </c>
      <c r="C53" s="39">
        <f>-5282.2</f>
        <v>-5282.2</v>
      </c>
      <c r="D53" s="39">
        <v>-7012.29</v>
      </c>
      <c r="E53" s="39">
        <v>-4963.8</v>
      </c>
      <c r="F53" s="39">
        <v>-7597.5</v>
      </c>
      <c r="G53" s="65">
        <v>-5107.7</v>
      </c>
      <c r="H53" s="65">
        <v>-8711.8799999999992</v>
      </c>
      <c r="I53" s="117">
        <f>12001.3-80.4</f>
        <v>11920.9</v>
      </c>
      <c r="J53" s="143"/>
      <c r="K53" s="1"/>
      <c r="L53" s="61" t="s">
        <v>82</v>
      </c>
      <c r="M53" s="62">
        <f>SUM(M54:M59)</f>
        <v>2581.5</v>
      </c>
      <c r="N53" s="62">
        <f>SUM(N54:N59)</f>
        <v>2430.3999999999996</v>
      </c>
      <c r="O53" s="62">
        <f>SUM(O55:O59)</f>
        <v>2573.9</v>
      </c>
      <c r="P53" s="62">
        <f>SUM(P55:P59)</f>
        <v>2971.5</v>
      </c>
      <c r="Q53" s="69">
        <f>SUM(Q54:Q59)</f>
        <v>4768</v>
      </c>
      <c r="R53" s="69">
        <f>SUM(R54:R59)</f>
        <v>4539.7</v>
      </c>
      <c r="S53" s="63">
        <f>SUM(S54:S59)</f>
        <v>4658.2999999999993</v>
      </c>
      <c r="T53" s="142"/>
      <c r="U53" s="1"/>
      <c r="V53" s="1"/>
    </row>
    <row r="54" spans="2:22" ht="16" thickBot="1">
      <c r="B54" s="41" t="s">
        <v>94</v>
      </c>
      <c r="C54" s="118">
        <f>C52+C53</f>
        <v>129.19999999999982</v>
      </c>
      <c r="D54" s="118">
        <f t="shared" ref="D54:I54" si="18">D52+D53</f>
        <v>4753.3100000000004</v>
      </c>
      <c r="E54" s="118">
        <f t="shared" si="18"/>
        <v>3058.3</v>
      </c>
      <c r="F54" s="118">
        <f t="shared" si="18"/>
        <v>-1264.8999999999996</v>
      </c>
      <c r="G54" s="118">
        <f t="shared" si="18"/>
        <v>4338.9000000000005</v>
      </c>
      <c r="H54" s="118">
        <f t="shared" si="18"/>
        <v>3948.3200000000015</v>
      </c>
      <c r="I54" s="119">
        <f t="shared" si="18"/>
        <v>25434</v>
      </c>
      <c r="J54" s="142"/>
      <c r="K54" s="1"/>
      <c r="L54" s="56" t="s">
        <v>84</v>
      </c>
      <c r="M54" s="57"/>
      <c r="N54" s="57"/>
      <c r="O54" s="57"/>
      <c r="P54" s="57"/>
      <c r="Q54" s="57"/>
      <c r="R54" s="57"/>
      <c r="S54" s="35"/>
      <c r="T54" s="151"/>
      <c r="U54" s="1"/>
      <c r="V54" s="1"/>
    </row>
    <row r="55" spans="2:22" ht="16" thickBot="1">
      <c r="B55" s="1"/>
      <c r="C55" s="1"/>
      <c r="D55" s="1"/>
      <c r="E55" s="1"/>
      <c r="F55" s="1"/>
      <c r="G55" s="1"/>
      <c r="H55" s="1"/>
      <c r="I55" s="125"/>
      <c r="J55" s="1"/>
      <c r="K55" s="1"/>
      <c r="L55" s="56" t="s">
        <v>66</v>
      </c>
      <c r="M55" s="57">
        <v>468</v>
      </c>
      <c r="N55" s="57">
        <v>343.4</v>
      </c>
      <c r="O55" s="57">
        <v>233.9</v>
      </c>
      <c r="P55" s="57">
        <v>165.2</v>
      </c>
      <c r="Q55" s="57">
        <v>800.1</v>
      </c>
      <c r="R55" s="57">
        <v>259.89999999999998</v>
      </c>
      <c r="S55" s="35">
        <v>0</v>
      </c>
      <c r="T55" s="151"/>
      <c r="U55" s="1"/>
      <c r="V55" s="1"/>
    </row>
    <row r="56" spans="2:22" ht="15.5">
      <c r="B56" s="24" t="s">
        <v>89</v>
      </c>
      <c r="C56" s="3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33" t="str">
        <f>R64</f>
        <v>FY24</v>
      </c>
      <c r="I56" s="27" t="s">
        <v>127</v>
      </c>
      <c r="J56" s="27" t="s">
        <v>129</v>
      </c>
      <c r="K56" s="1"/>
      <c r="L56" s="56" t="s">
        <v>86</v>
      </c>
      <c r="M56" s="57"/>
      <c r="N56" s="57">
        <v>216.7</v>
      </c>
      <c r="O56" s="57">
        <v>385.9</v>
      </c>
      <c r="P56" s="57">
        <v>772.8</v>
      </c>
      <c r="Q56" s="57">
        <v>635</v>
      </c>
      <c r="R56" s="57">
        <v>750.7</v>
      </c>
      <c r="S56" s="35">
        <v>813.6</v>
      </c>
      <c r="T56" s="151"/>
      <c r="U56" s="1"/>
      <c r="V56" s="1"/>
    </row>
    <row r="57" spans="2:22" ht="15.5">
      <c r="B57" s="9" t="s">
        <v>97</v>
      </c>
      <c r="C57" s="28">
        <v>170812500</v>
      </c>
      <c r="D57" s="29">
        <v>170812500</v>
      </c>
      <c r="E57" s="28">
        <v>170812500</v>
      </c>
      <c r="F57" s="28">
        <v>170812500</v>
      </c>
      <c r="G57" s="28">
        <v>170812500</v>
      </c>
      <c r="H57" s="28">
        <v>183025364</v>
      </c>
      <c r="I57" s="113">
        <v>183025364</v>
      </c>
      <c r="J57" s="169">
        <v>183025364</v>
      </c>
      <c r="K57" s="1"/>
      <c r="L57" s="56" t="s">
        <v>75</v>
      </c>
      <c r="M57" s="57">
        <v>694.6</v>
      </c>
      <c r="N57" s="57">
        <v>837.7</v>
      </c>
      <c r="O57" s="57">
        <v>954.1</v>
      </c>
      <c r="P57" s="57">
        <v>1082.9000000000001</v>
      </c>
      <c r="Q57" s="57">
        <v>1463</v>
      </c>
      <c r="R57" s="65">
        <v>1838.4</v>
      </c>
      <c r="S57" s="59">
        <v>2106.1999999999998</v>
      </c>
      <c r="T57" s="1"/>
      <c r="U57" s="1"/>
      <c r="V57" s="1"/>
    </row>
    <row r="58" spans="2:22" ht="15.5">
      <c r="B58" s="9" t="s">
        <v>100</v>
      </c>
      <c r="C58" s="30">
        <f t="shared" ref="C58:H58" si="19">(M65*C57)/1000000</f>
        <v>122805.64687500002</v>
      </c>
      <c r="D58" s="30">
        <f t="shared" si="19"/>
        <v>81665.456250000003</v>
      </c>
      <c r="E58" s="30">
        <f t="shared" si="19"/>
        <v>145788.46875</v>
      </c>
      <c r="F58" s="30">
        <f t="shared" si="19"/>
        <v>91581.121874999997</v>
      </c>
      <c r="G58" s="30">
        <f t="shared" si="19"/>
        <v>98934.60000000002</v>
      </c>
      <c r="H58" s="30">
        <f t="shared" si="19"/>
        <v>139209.0918584</v>
      </c>
      <c r="I58" s="114">
        <f t="shared" ref="I58:J58" si="20">(S65*I57)/1000000</f>
        <v>183574.440092</v>
      </c>
      <c r="J58" s="114">
        <f t="shared" si="20"/>
        <v>176738.44274660002</v>
      </c>
      <c r="K58" s="1"/>
      <c r="L58" s="56" t="s">
        <v>87</v>
      </c>
      <c r="M58" s="57">
        <v>959.1</v>
      </c>
      <c r="N58" s="57">
        <v>441.3</v>
      </c>
      <c r="O58" s="57">
        <v>407.4</v>
      </c>
      <c r="P58" s="57">
        <v>313.7</v>
      </c>
      <c r="Q58" s="65">
        <v>1039.8</v>
      </c>
      <c r="R58" s="65">
        <v>906.2</v>
      </c>
      <c r="S58" s="59">
        <v>742.6</v>
      </c>
      <c r="T58" s="1"/>
      <c r="U58" s="1"/>
      <c r="V58" s="1"/>
    </row>
    <row r="59" spans="2:22" ht="15.5">
      <c r="B59" s="9" t="s">
        <v>102</v>
      </c>
      <c r="C59" s="31">
        <f t="shared" ref="C59:H59" si="21">M12</f>
        <v>468</v>
      </c>
      <c r="D59" s="31">
        <f t="shared" si="21"/>
        <v>343.4</v>
      </c>
      <c r="E59" s="31">
        <f t="shared" si="21"/>
        <v>343.4</v>
      </c>
      <c r="F59" s="31">
        <f t="shared" si="21"/>
        <v>233.89999999999998</v>
      </c>
      <c r="G59" s="31">
        <f t="shared" si="21"/>
        <v>1110.5999999999999</v>
      </c>
      <c r="H59" s="31">
        <f t="shared" si="21"/>
        <v>533.29999999999995</v>
      </c>
      <c r="I59" s="42">
        <f t="shared" ref="I59" si="22">S12</f>
        <v>1445.7</v>
      </c>
      <c r="J59" s="145"/>
      <c r="K59" s="1"/>
      <c r="L59" s="56" t="s">
        <v>88</v>
      </c>
      <c r="M59" s="57">
        <v>459.8</v>
      </c>
      <c r="N59" s="57">
        <v>591.29999999999995</v>
      </c>
      <c r="O59" s="57">
        <v>592.6</v>
      </c>
      <c r="P59" s="57">
        <v>636.9</v>
      </c>
      <c r="Q59" s="57">
        <v>830.1</v>
      </c>
      <c r="R59" s="65">
        <v>784.5</v>
      </c>
      <c r="S59" s="59">
        <v>995.9</v>
      </c>
      <c r="T59" s="1"/>
      <c r="U59" s="1"/>
      <c r="V59" s="1"/>
    </row>
    <row r="60" spans="2:22" ht="15.5">
      <c r="B60" s="9" t="s">
        <v>128</v>
      </c>
      <c r="C60" s="32">
        <f t="shared" ref="C60:H60" si="23">M35+M36</f>
        <v>718.3</v>
      </c>
      <c r="D60" s="32">
        <f t="shared" si="23"/>
        <v>845.3</v>
      </c>
      <c r="E60" s="32">
        <f t="shared" si="23"/>
        <v>1760.1</v>
      </c>
      <c r="F60" s="32">
        <f t="shared" si="23"/>
        <v>541.20000000000005</v>
      </c>
      <c r="G60" s="32">
        <f t="shared" si="23"/>
        <v>1052.6000000000001</v>
      </c>
      <c r="H60" s="32">
        <f t="shared" si="23"/>
        <v>1178</v>
      </c>
      <c r="I60" s="32">
        <f t="shared" ref="I60" si="24">S35+S36</f>
        <v>1746.1</v>
      </c>
      <c r="J60" s="146"/>
      <c r="K60" s="1"/>
      <c r="L60" s="61" t="s">
        <v>90</v>
      </c>
      <c r="M60" s="62">
        <f t="shared" ref="M60:S60" si="25">M29+M16+M40</f>
        <v>44956.999999999993</v>
      </c>
      <c r="N60" s="62">
        <f t="shared" si="25"/>
        <v>50004</v>
      </c>
      <c r="O60" s="62">
        <f t="shared" si="25"/>
        <v>57968.899999999994</v>
      </c>
      <c r="P60" s="62">
        <f t="shared" si="25"/>
        <v>63761.000000000007</v>
      </c>
      <c r="Q60" s="62">
        <f t="shared" si="25"/>
        <v>79620.799999999988</v>
      </c>
      <c r="R60" s="62">
        <f t="shared" si="25"/>
        <v>89777.600000000006</v>
      </c>
      <c r="S60" s="67">
        <f t="shared" si="25"/>
        <v>101682.90000000001</v>
      </c>
      <c r="T60" s="142"/>
      <c r="U60" s="1"/>
      <c r="V60" s="1"/>
    </row>
    <row r="61" spans="2:22" ht="16" thickBot="1">
      <c r="B61" s="21" t="s">
        <v>105</v>
      </c>
      <c r="C61" s="25">
        <f t="shared" ref="C61:I61" si="26">C58+C59-C60</f>
        <v>122555.34687500002</v>
      </c>
      <c r="D61" s="25">
        <f t="shared" si="26"/>
        <v>81163.556249999994</v>
      </c>
      <c r="E61" s="25">
        <f t="shared" si="26"/>
        <v>144371.76874999999</v>
      </c>
      <c r="F61" s="25">
        <f t="shared" si="26"/>
        <v>91273.821874999994</v>
      </c>
      <c r="G61" s="25">
        <f t="shared" si="26"/>
        <v>98992.60000000002</v>
      </c>
      <c r="H61" s="25">
        <f t="shared" si="26"/>
        <v>138564.39185839999</v>
      </c>
      <c r="I61" s="43">
        <f t="shared" si="26"/>
        <v>183274.04009200001</v>
      </c>
      <c r="J61" s="147"/>
      <c r="K61" s="1"/>
      <c r="L61" s="41" t="s">
        <v>92</v>
      </c>
      <c r="M61" s="118">
        <f>M9+M41+M53</f>
        <v>44957</v>
      </c>
      <c r="N61" s="118">
        <f>N9+N41+N53</f>
        <v>50004</v>
      </c>
      <c r="O61" s="118">
        <f>O9+O41+O53</f>
        <v>57968.9</v>
      </c>
      <c r="P61" s="118">
        <f>P9+P41+P53</f>
        <v>63761</v>
      </c>
      <c r="Q61" s="118">
        <f>Q53+Q41+Q9</f>
        <v>79620.800000000003</v>
      </c>
      <c r="R61" s="118">
        <f>R53+R41+R9</f>
        <v>89777.600000000006</v>
      </c>
      <c r="S61" s="119">
        <f>S53+S41+S9</f>
        <v>101682.9</v>
      </c>
      <c r="T61" s="142"/>
      <c r="U61" s="1"/>
      <c r="V61" s="1"/>
    </row>
    <row r="62" spans="2:22" ht="15.5"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6" thickBot="1">
      <c r="K63" s="1"/>
      <c r="L63" s="163" t="s">
        <v>95</v>
      </c>
      <c r="M63" s="163"/>
      <c r="N63" s="163"/>
      <c r="O63" s="163"/>
      <c r="P63" s="163"/>
      <c r="Q63" s="163"/>
      <c r="R63" s="163"/>
      <c r="S63" s="163"/>
      <c r="T63" s="133"/>
      <c r="U63" s="1"/>
      <c r="V63" s="1"/>
    </row>
    <row r="64" spans="2:22" ht="15.5">
      <c r="K64" s="1"/>
      <c r="L64" s="127"/>
      <c r="M64" s="128" t="s">
        <v>4</v>
      </c>
      <c r="N64" s="129" t="s">
        <v>5</v>
      </c>
      <c r="O64" s="129" t="s">
        <v>6</v>
      </c>
      <c r="P64" s="129" t="s">
        <v>7</v>
      </c>
      <c r="Q64" s="129" t="s">
        <v>8</v>
      </c>
      <c r="R64" s="130" t="s">
        <v>122</v>
      </c>
      <c r="S64" s="130" t="s">
        <v>127</v>
      </c>
      <c r="T64" s="157" t="s">
        <v>129</v>
      </c>
      <c r="U64" s="1"/>
      <c r="V64" s="1"/>
    </row>
    <row r="65" spans="2:28" ht="15.5">
      <c r="K65" s="1"/>
      <c r="L65" s="56" t="s">
        <v>96</v>
      </c>
      <c r="M65" s="87">
        <v>718.95</v>
      </c>
      <c r="N65" s="87">
        <v>478.1</v>
      </c>
      <c r="O65" s="87">
        <v>853.5</v>
      </c>
      <c r="P65" s="87">
        <v>536.15</v>
      </c>
      <c r="Q65" s="87">
        <v>579.20000000000005</v>
      </c>
      <c r="R65" s="87">
        <v>760.6</v>
      </c>
      <c r="S65" s="154">
        <v>1003</v>
      </c>
      <c r="T65" s="89">
        <v>965.65</v>
      </c>
      <c r="U65" s="1"/>
      <c r="V65" s="1"/>
      <c r="Y65" s="36" t="s">
        <v>130</v>
      </c>
      <c r="Z65" s="36" t="s">
        <v>132</v>
      </c>
      <c r="AA65" s="36" t="s">
        <v>131</v>
      </c>
      <c r="AB65" s="36" t="s">
        <v>123</v>
      </c>
    </row>
    <row r="66" spans="2:28" ht="15.5">
      <c r="K66" s="1"/>
      <c r="L66" s="56" t="s">
        <v>98</v>
      </c>
      <c r="M66" s="88">
        <f t="shared" ref="M66:R66" si="27">C34</f>
        <v>28.29</v>
      </c>
      <c r="N66" s="88">
        <f t="shared" si="27"/>
        <v>38.69</v>
      </c>
      <c r="O66" s="88">
        <f t="shared" si="27"/>
        <v>37.869999999999997</v>
      </c>
      <c r="P66" s="88">
        <f t="shared" si="27"/>
        <v>30.01</v>
      </c>
      <c r="Q66" s="88">
        <f t="shared" si="27"/>
        <v>39.93</v>
      </c>
      <c r="R66" s="88">
        <f t="shared" si="27"/>
        <v>51.05</v>
      </c>
      <c r="S66" s="88">
        <f t="shared" ref="S66" si="28">I34</f>
        <v>51.62</v>
      </c>
      <c r="T66" s="89">
        <f>47.01</f>
        <v>47.01</v>
      </c>
      <c r="U66" s="1" t="s">
        <v>99</v>
      </c>
      <c r="V66" s="64">
        <f>SUM(Y66:AB66)</f>
        <v>46.999999999999993</v>
      </c>
      <c r="Y66">
        <v>9</v>
      </c>
      <c r="Z66">
        <v>8.83</v>
      </c>
      <c r="AA66">
        <v>16.3</v>
      </c>
      <c r="AB66">
        <v>12.87</v>
      </c>
    </row>
    <row r="67" spans="2:28" ht="15.5">
      <c r="K67" s="1"/>
      <c r="L67" s="86" t="s">
        <v>101</v>
      </c>
      <c r="M67" s="90">
        <f t="shared" ref="M67:S67" si="29">M9*1000000/C57</f>
        <v>195.24566410537869</v>
      </c>
      <c r="N67" s="90">
        <f t="shared" si="29"/>
        <v>213.99546286132454</v>
      </c>
      <c r="O67" s="90">
        <f t="shared" si="29"/>
        <v>246.46849615806806</v>
      </c>
      <c r="P67" s="90">
        <f t="shared" si="29"/>
        <v>266.51913648005853</v>
      </c>
      <c r="Q67" s="90">
        <f t="shared" si="29"/>
        <v>351.6744968898646</v>
      </c>
      <c r="R67" s="90">
        <f t="shared" si="29"/>
        <v>371.46381525568228</v>
      </c>
      <c r="S67" s="90">
        <f t="shared" si="29"/>
        <v>403.72163936797307</v>
      </c>
      <c r="T67" s="91" t="s">
        <v>114</v>
      </c>
      <c r="U67" s="1"/>
      <c r="V67" s="1"/>
    </row>
    <row r="68" spans="2:28" ht="15.5">
      <c r="K68" s="1"/>
      <c r="L68" s="86" t="s">
        <v>103</v>
      </c>
      <c r="M68" s="92">
        <v>7.0774999999999997</v>
      </c>
      <c r="N68" s="92">
        <v>10.8332</v>
      </c>
      <c r="O68" s="92">
        <v>10.9823</v>
      </c>
      <c r="P68" s="92">
        <v>4.4894999999999996</v>
      </c>
      <c r="Q68" s="92">
        <v>6.0975000000000001</v>
      </c>
      <c r="R68" s="92">
        <v>9.9</v>
      </c>
      <c r="S68" s="92">
        <v>5.2</v>
      </c>
      <c r="T68" s="91" t="s">
        <v>114</v>
      </c>
      <c r="U68" s="1"/>
      <c r="V68" s="1"/>
    </row>
    <row r="69" spans="2:28" ht="15.5">
      <c r="K69" s="1"/>
      <c r="L69" s="86" t="s">
        <v>104</v>
      </c>
      <c r="M69" s="92">
        <f t="shared" ref="M69:Q69" si="30">M65/M66</f>
        <v>25.413573700954402</v>
      </c>
      <c r="N69" s="92">
        <f t="shared" si="30"/>
        <v>12.357198242439908</v>
      </c>
      <c r="O69" s="92">
        <f t="shared" si="30"/>
        <v>22.537628729865329</v>
      </c>
      <c r="P69" s="92">
        <f t="shared" si="30"/>
        <v>17.86571142952349</v>
      </c>
      <c r="Q69" s="92">
        <f t="shared" si="30"/>
        <v>14.505384422739796</v>
      </c>
      <c r="R69" s="92">
        <f t="shared" ref="R69" si="31">R65/R66</f>
        <v>14.899118511263469</v>
      </c>
      <c r="S69" s="155">
        <f>S65/S66</f>
        <v>19.43045331266951</v>
      </c>
      <c r="T69" s="91">
        <f>T65/T66</f>
        <v>20.541374175707297</v>
      </c>
      <c r="U69" s="1"/>
      <c r="V69" s="1"/>
    </row>
    <row r="70" spans="2:28" ht="15.5">
      <c r="B70" s="1"/>
      <c r="C70" s="1"/>
      <c r="D70" s="1"/>
      <c r="E70" s="1"/>
      <c r="F70" s="1"/>
      <c r="G70" s="1"/>
      <c r="H70" s="1"/>
      <c r="I70" s="1"/>
      <c r="J70" s="1"/>
      <c r="K70" s="1"/>
      <c r="L70" s="86" t="s">
        <v>106</v>
      </c>
      <c r="M70" s="93">
        <f t="shared" ref="M70:Q70" si="32">M65/M67</f>
        <v>3.6822840768026777</v>
      </c>
      <c r="N70" s="93">
        <f t="shared" si="32"/>
        <v>2.2341595172502471</v>
      </c>
      <c r="O70" s="93">
        <f t="shared" si="32"/>
        <v>3.4629172218936386</v>
      </c>
      <c r="P70" s="93">
        <f t="shared" si="32"/>
        <v>2.0116754356965871</v>
      </c>
      <c r="Q70" s="93">
        <f t="shared" si="32"/>
        <v>1.6469775463456213</v>
      </c>
      <c r="R70" s="93">
        <f t="shared" ref="R70" si="33">R65/R67</f>
        <v>2.0475749420612379</v>
      </c>
      <c r="S70" s="93">
        <f>S65/S67</f>
        <v>2.4843850371017968</v>
      </c>
      <c r="T70" s="91" t="s">
        <v>114</v>
      </c>
      <c r="U70" s="1"/>
      <c r="V70" s="1"/>
      <c r="Y70">
        <f>51.62+9-13.61</f>
        <v>47.01</v>
      </c>
    </row>
    <row r="71" spans="2:28" ht="15.5">
      <c r="B71" s="1"/>
      <c r="C71" s="1"/>
      <c r="D71" s="1"/>
      <c r="E71" s="26"/>
      <c r="F71" s="26"/>
      <c r="G71" s="1"/>
      <c r="H71" s="1"/>
      <c r="I71" s="1"/>
      <c r="J71" s="1"/>
      <c r="K71" s="1"/>
      <c r="L71" s="86" t="s">
        <v>107</v>
      </c>
      <c r="M71" s="92">
        <f t="shared" ref="M71:S71" si="34">C61/C15</f>
        <v>12.880360999590106</v>
      </c>
      <c r="N71" s="92">
        <f t="shared" si="34"/>
        <v>7.3863615163400951</v>
      </c>
      <c r="O71" s="92">
        <f t="shared" si="34"/>
        <v>12.940248884088623</v>
      </c>
      <c r="P71" s="92">
        <f t="shared" si="34"/>
        <v>8.913807363080597</v>
      </c>
      <c r="Q71" s="92">
        <f t="shared" si="34"/>
        <v>6.9132289986242341</v>
      </c>
      <c r="R71" s="92">
        <f t="shared" si="34"/>
        <v>8.3547516661581742</v>
      </c>
      <c r="S71" s="92">
        <f t="shared" si="34"/>
        <v>11.337917814249561</v>
      </c>
      <c r="T71" s="91" t="s">
        <v>114</v>
      </c>
      <c r="U71" s="1"/>
      <c r="V71" s="1"/>
    </row>
    <row r="72" spans="2:28" ht="15.5">
      <c r="B72" s="1"/>
      <c r="C72" s="1"/>
      <c r="D72" s="1"/>
      <c r="E72" s="1"/>
      <c r="F72" s="1"/>
      <c r="G72" s="1"/>
      <c r="H72" s="1"/>
      <c r="I72" s="1"/>
      <c r="J72" s="1"/>
      <c r="K72" s="1"/>
      <c r="L72" s="86" t="s">
        <v>108</v>
      </c>
      <c r="M72" s="94">
        <f t="shared" ref="M72:S72" si="35">C27/M9</f>
        <v>0.14489481385530634</v>
      </c>
      <c r="N72" s="94">
        <f t="shared" si="35"/>
        <v>0.18085743753607814</v>
      </c>
      <c r="O72" s="94">
        <f t="shared" si="35"/>
        <v>0.1536416951109148</v>
      </c>
      <c r="P72" s="94">
        <f t="shared" si="35"/>
        <v>0.11259137876498065</v>
      </c>
      <c r="Q72" s="94">
        <f t="shared" si="35"/>
        <v>0.12166224962710426</v>
      </c>
      <c r="R72" s="94">
        <f t="shared" si="35"/>
        <v>0.13743449144178407</v>
      </c>
      <c r="S72" s="94">
        <f t="shared" si="35"/>
        <v>0.12784590337428103</v>
      </c>
      <c r="T72" s="91" t="s">
        <v>114</v>
      </c>
      <c r="U72" s="1"/>
      <c r="V72" s="1"/>
    </row>
    <row r="73" spans="2:28" ht="15.5">
      <c r="B73" s="1"/>
      <c r="C73" s="1"/>
      <c r="D73" s="1"/>
      <c r="E73" s="1"/>
      <c r="F73" s="1"/>
      <c r="G73" s="1"/>
      <c r="H73" s="1"/>
      <c r="I73" s="1"/>
      <c r="J73" s="1"/>
      <c r="K73" s="1"/>
      <c r="L73" s="86" t="s">
        <v>109</v>
      </c>
      <c r="M73" s="94">
        <f t="shared" ref="M73:S73" si="36">(C15-C20)/M13</f>
        <v>0.19211063150014357</v>
      </c>
      <c r="N73" s="94">
        <f t="shared" si="36"/>
        <v>0.20358400081628533</v>
      </c>
      <c r="O73" s="94">
        <f t="shared" si="36"/>
        <v>0.17829689885346672</v>
      </c>
      <c r="P73" s="94">
        <f t="shared" si="36"/>
        <v>0.1295439033493275</v>
      </c>
      <c r="Q73" s="94">
        <f t="shared" si="36"/>
        <v>0.15138097176981546</v>
      </c>
      <c r="R73" s="94">
        <f t="shared" si="36"/>
        <v>0.16189556992568294</v>
      </c>
      <c r="S73" s="94">
        <f t="shared" si="36"/>
        <v>0.13886894395388405</v>
      </c>
      <c r="T73" s="91" t="s">
        <v>114</v>
      </c>
      <c r="U73" s="1"/>
      <c r="V73" s="1"/>
    </row>
    <row r="74" spans="2:28" ht="15.5">
      <c r="B74" s="1"/>
      <c r="C74" s="1"/>
      <c r="D74" s="1"/>
      <c r="E74" s="1"/>
      <c r="F74" s="1"/>
      <c r="G74" s="1"/>
      <c r="H74" s="1"/>
      <c r="I74" s="1"/>
      <c r="J74" s="1"/>
      <c r="K74" s="1"/>
      <c r="L74" s="86" t="s">
        <v>110</v>
      </c>
      <c r="M74" s="95">
        <f t="shared" ref="M74:Q74" si="37">M12/M9</f>
        <v>1.4032815198618306E-2</v>
      </c>
      <c r="N74" s="95">
        <f t="shared" si="37"/>
        <v>9.394552035258295E-3</v>
      </c>
      <c r="O74" s="95">
        <f t="shared" si="37"/>
        <v>8.15678897099518E-3</v>
      </c>
      <c r="P74" s="95">
        <f t="shared" si="37"/>
        <v>5.1378589252451404E-3</v>
      </c>
      <c r="Q74" s="95">
        <f t="shared" si="37"/>
        <v>1.8488307053057745E-2</v>
      </c>
      <c r="R74" s="95">
        <f t="shared" ref="R74" si="38">R12/R9</f>
        <v>7.844112062105715E-3</v>
      </c>
      <c r="S74" s="95">
        <f>S12/S9</f>
        <v>1.9565226217430197E-2</v>
      </c>
      <c r="T74" s="91" t="s">
        <v>114</v>
      </c>
      <c r="U74" s="1"/>
      <c r="V74" s="1"/>
    </row>
    <row r="75" spans="2:28" ht="15.5">
      <c r="B75" s="1"/>
      <c r="C75" s="1"/>
      <c r="D75" s="1"/>
      <c r="E75" s="1"/>
      <c r="F75" s="1"/>
      <c r="G75" s="1"/>
      <c r="H75" s="1"/>
      <c r="I75" s="1"/>
      <c r="J75" s="1"/>
      <c r="K75" s="1"/>
      <c r="L75" s="86" t="s">
        <v>111</v>
      </c>
      <c r="M75" s="95">
        <f t="shared" ref="M75:Q75" si="39">+(M12-M35-M36)/M9</f>
        <v>-7.5051573594319704E-3</v>
      </c>
      <c r="N75" s="95">
        <f t="shared" si="39"/>
        <v>-1.3730709570460509E-2</v>
      </c>
      <c r="O75" s="95">
        <f t="shared" si="39"/>
        <v>-3.3650911284824898E-2</v>
      </c>
      <c r="P75" s="95">
        <f t="shared" si="39"/>
        <v>-6.7501669419744855E-3</v>
      </c>
      <c r="Q75" s="95">
        <f t="shared" si="39"/>
        <v>9.6553377370551651E-4</v>
      </c>
      <c r="R75" s="95">
        <f t="shared" ref="R75" si="40">+(R12-R35-R36)/R9</f>
        <v>-9.482653377910287E-3</v>
      </c>
      <c r="S75" s="156">
        <f>+(S12-S35-S36)/S9</f>
        <v>-4.0654312483336995E-3</v>
      </c>
      <c r="T75" s="91" t="s">
        <v>114</v>
      </c>
      <c r="U75" s="1"/>
      <c r="V75" s="1"/>
    </row>
    <row r="76" spans="2:28" ht="15.5">
      <c r="B76" s="1"/>
      <c r="C76" s="1"/>
      <c r="D76" s="1"/>
      <c r="E76" s="1"/>
      <c r="F76" s="1"/>
      <c r="G76" s="1"/>
      <c r="H76" s="1"/>
      <c r="I76" s="1"/>
      <c r="J76" s="1"/>
      <c r="K76" s="1"/>
      <c r="L76" s="86" t="s">
        <v>112</v>
      </c>
      <c r="M76" s="96">
        <f t="shared" ref="M76:Q76" si="41">M68/M65</f>
        <v>9.8442172612838164E-3</v>
      </c>
      <c r="N76" s="96">
        <f t="shared" si="41"/>
        <v>2.2658857979502196E-2</v>
      </c>
      <c r="O76" s="96">
        <f t="shared" si="41"/>
        <v>1.2867369654364382E-2</v>
      </c>
      <c r="P76" s="96">
        <f t="shared" si="41"/>
        <v>8.3735894805558146E-3</v>
      </c>
      <c r="Q76" s="96">
        <f t="shared" si="41"/>
        <v>1.0527451657458563E-2</v>
      </c>
      <c r="R76" s="96">
        <f t="shared" ref="R76" si="42">R68/R65</f>
        <v>1.3016039968445964E-2</v>
      </c>
      <c r="S76" s="96">
        <f>S68/S65</f>
        <v>5.1844466600199403E-3</v>
      </c>
      <c r="T76" s="91" t="s">
        <v>114</v>
      </c>
      <c r="U76" s="1"/>
      <c r="V76" s="1"/>
    </row>
    <row r="77" spans="2:28" ht="15.5">
      <c r="B77" s="1"/>
      <c r="C77" s="1"/>
      <c r="D77" s="1"/>
      <c r="E77" s="1"/>
      <c r="F77" s="1"/>
      <c r="G77" s="1"/>
      <c r="H77" s="1"/>
      <c r="I77" s="1"/>
      <c r="J77" s="1"/>
      <c r="K77" s="1"/>
      <c r="L77" s="86" t="s">
        <v>113</v>
      </c>
      <c r="M77" s="97" t="s">
        <v>114</v>
      </c>
      <c r="N77" s="98">
        <f t="shared" ref="N77:S77" si="43">(AVERAGE(M34:N34)/D6*365)</f>
        <v>37.486965345217307</v>
      </c>
      <c r="O77" s="98">
        <f t="shared" si="43"/>
        <v>36.328317095071455</v>
      </c>
      <c r="P77" s="98">
        <f t="shared" si="43"/>
        <v>33.132086373122227</v>
      </c>
      <c r="Q77" s="98">
        <f t="shared" si="43"/>
        <v>29.478175519630479</v>
      </c>
      <c r="R77" s="98">
        <f t="shared" si="43"/>
        <v>31.523243062269611</v>
      </c>
      <c r="S77" s="98">
        <f t="shared" si="43"/>
        <v>34.080166537965738</v>
      </c>
      <c r="T77" s="91" t="s">
        <v>114</v>
      </c>
      <c r="U77" s="1"/>
      <c r="V77" s="1"/>
    </row>
    <row r="78" spans="2:28" ht="15.5">
      <c r="B78" s="1"/>
      <c r="C78" s="1"/>
      <c r="D78" s="1"/>
      <c r="E78" s="1"/>
      <c r="F78" s="1"/>
      <c r="G78" s="1"/>
      <c r="H78" s="1"/>
      <c r="I78" s="1"/>
      <c r="J78" s="1"/>
      <c r="K78" s="1"/>
      <c r="L78" s="99" t="s">
        <v>115</v>
      </c>
      <c r="M78" s="132" t="s">
        <v>114</v>
      </c>
      <c r="N78" s="132">
        <f>AVERAGE(SUM(N46:N47),SUM(O46:O47))/(D10+D11+D12)*365</f>
        <v>55.874298660849824</v>
      </c>
      <c r="O78" s="132">
        <f>AVERAGE(SUM(O46:O47),SUM(P46:P47))/(E10+E11+E12)*365</f>
        <v>59.70010833870812</v>
      </c>
      <c r="P78" s="132">
        <f>AVERAGE(SUM(P46:P47),SUM(Q46:Q47))/(F10+F11+F12)*365</f>
        <v>46.603857809143406</v>
      </c>
      <c r="Q78" s="132">
        <f>AVERAGE(SUM(Q46:Q47),SUM(R46:R47))/(G10+G11+G12)*365</f>
        <v>42.092997667985095</v>
      </c>
      <c r="R78" s="132">
        <f>AVERAGE(SUM(R46:R47),SUM(S46:S47))/(H10+H11+H12)*365</f>
        <v>45.118281950376677</v>
      </c>
      <c r="S78" s="132">
        <f>AVERAGE(SUM(R46:R47),SUM(S46:S47))/(I10+I11+I12)*365</f>
        <v>40.856093756120714</v>
      </c>
      <c r="T78" s="91" t="s">
        <v>114</v>
      </c>
      <c r="U78" s="1"/>
      <c r="V78" s="1"/>
    </row>
    <row r="79" spans="2:28" ht="15.5">
      <c r="B79" s="1"/>
      <c r="C79" s="1"/>
      <c r="D79" s="1"/>
      <c r="E79" s="1"/>
      <c r="F79" s="1"/>
      <c r="G79" s="1"/>
      <c r="H79" s="1"/>
      <c r="I79" s="1"/>
      <c r="J79" s="1"/>
      <c r="K79" s="1"/>
      <c r="L79" s="99" t="s">
        <v>116</v>
      </c>
      <c r="M79" s="97" t="s">
        <v>114</v>
      </c>
      <c r="N79" s="98">
        <f t="shared" ref="N79:S79" si="44">(AVERAGE(M31:N31)/SUM(D10:D12)*365)</f>
        <v>90.470029346616158</v>
      </c>
      <c r="O79" s="98">
        <f t="shared" si="44"/>
        <v>99.317977269948884</v>
      </c>
      <c r="P79" s="98">
        <f t="shared" si="44"/>
        <v>96.700388803123488</v>
      </c>
      <c r="Q79" s="98">
        <f t="shared" si="44"/>
        <v>92.277472621687735</v>
      </c>
      <c r="R79" s="98">
        <f t="shared" si="44"/>
        <v>85.50526043913122</v>
      </c>
      <c r="S79" s="98">
        <f t="shared" si="44"/>
        <v>87.13049597098464</v>
      </c>
      <c r="T79" s="91" t="s">
        <v>114</v>
      </c>
      <c r="U79" s="1"/>
      <c r="V79" s="1"/>
    </row>
    <row r="80" spans="2:28" ht="15.5">
      <c r="B80" s="1"/>
      <c r="C80" s="1"/>
      <c r="D80" s="1"/>
      <c r="E80" s="1"/>
      <c r="F80" s="1"/>
      <c r="G80" s="1"/>
      <c r="H80" s="1"/>
      <c r="I80" s="1"/>
      <c r="J80" s="1"/>
      <c r="K80" s="1"/>
      <c r="L80" s="99" t="s">
        <v>117</v>
      </c>
      <c r="M80" s="97" t="s">
        <v>114</v>
      </c>
      <c r="N80" s="98">
        <f t="shared" ref="N80:Q80" si="45">(N77+N79-N78)</f>
        <v>72.082696030983641</v>
      </c>
      <c r="O80" s="98">
        <f t="shared" si="45"/>
        <v>75.946186026312219</v>
      </c>
      <c r="P80" s="98">
        <f t="shared" si="45"/>
        <v>83.228617367102302</v>
      </c>
      <c r="Q80" s="98">
        <f t="shared" si="45"/>
        <v>79.662650473333116</v>
      </c>
      <c r="R80" s="98">
        <f>(R77+R79-R78)</f>
        <v>71.910221551024165</v>
      </c>
      <c r="S80" s="98">
        <f t="shared" ref="S80" si="46">(S77+S79-S78)</f>
        <v>80.354568752829664</v>
      </c>
      <c r="T80" s="91" t="s">
        <v>114</v>
      </c>
      <c r="U80" s="1"/>
      <c r="V80" s="1"/>
    </row>
    <row r="81" spans="2:22" ht="15.5">
      <c r="B81" s="1"/>
      <c r="C81" s="1"/>
      <c r="D81" s="1"/>
      <c r="E81" s="1"/>
      <c r="F81" s="1"/>
      <c r="G81" s="1"/>
      <c r="H81" s="1"/>
      <c r="I81" s="1"/>
      <c r="J81" s="1"/>
      <c r="K81" s="1"/>
      <c r="L81" s="99" t="s">
        <v>118</v>
      </c>
      <c r="M81" s="97" t="s">
        <v>114</v>
      </c>
      <c r="N81" s="98">
        <f t="shared" ref="N81:S81" si="47">((AVERAGE(M52,N52))/D6)*365</f>
        <v>64.648524883543431</v>
      </c>
      <c r="O81" s="98">
        <f t="shared" si="47"/>
        <v>66.695720008168067</v>
      </c>
      <c r="P81" s="98">
        <f t="shared" si="47"/>
        <v>58.546929166451065</v>
      </c>
      <c r="Q81" s="98">
        <f t="shared" si="47"/>
        <v>57.452025596612756</v>
      </c>
      <c r="R81" s="98">
        <f t="shared" si="47"/>
        <v>64.17904093115736</v>
      </c>
      <c r="S81" s="98">
        <f t="shared" si="47"/>
        <v>57.929165706599264</v>
      </c>
      <c r="T81" s="91" t="s">
        <v>114</v>
      </c>
      <c r="U81" s="1"/>
      <c r="V81" s="1"/>
    </row>
    <row r="82" spans="2:22" ht="15.5">
      <c r="B82" s="1"/>
      <c r="C82" s="1"/>
      <c r="D82" s="1"/>
      <c r="E82" s="1"/>
      <c r="F82" s="1"/>
      <c r="G82" s="1"/>
      <c r="H82" s="1"/>
      <c r="I82" s="1"/>
      <c r="J82" s="1"/>
      <c r="K82" s="1"/>
      <c r="L82" s="86" t="s">
        <v>119</v>
      </c>
      <c r="M82" s="100">
        <f>C6/(AVERAGE(M17:M17))</f>
        <v>3.7550703407866011</v>
      </c>
      <c r="N82" s="100">
        <f t="shared" ref="N82:S82" si="48">D6/(AVERAGE(M17:N17))</f>
        <v>3.9572651056221906</v>
      </c>
      <c r="O82" s="100">
        <f t="shared" si="48"/>
        <v>3.7993963290856732</v>
      </c>
      <c r="P82" s="100">
        <f t="shared" si="48"/>
        <v>4.09892968738954</v>
      </c>
      <c r="Q82" s="100">
        <f t="shared" si="48"/>
        <v>4.1709478551245827</v>
      </c>
      <c r="R82" s="100">
        <f t="shared" si="48"/>
        <v>4.0619750559419936</v>
      </c>
      <c r="S82" s="100">
        <f t="shared" si="48"/>
        <v>4.2637724451525107</v>
      </c>
      <c r="T82" s="91" t="s">
        <v>114</v>
      </c>
      <c r="U82" s="1"/>
      <c r="V82" s="1"/>
    </row>
    <row r="83" spans="2:22" ht="15.5">
      <c r="B83" s="1"/>
      <c r="C83" s="1"/>
      <c r="D83" s="1"/>
      <c r="E83" s="1"/>
      <c r="F83" s="1"/>
      <c r="G83" s="1"/>
      <c r="H83" s="1"/>
      <c r="I83" s="1"/>
      <c r="J83" s="1"/>
      <c r="K83" s="1"/>
      <c r="L83" s="86" t="s">
        <v>120</v>
      </c>
      <c r="M83" s="94">
        <f t="shared" ref="M83:S83" si="49">C21/M12</f>
        <v>0.1485042735042735</v>
      </c>
      <c r="N83" s="94">
        <f t="shared" si="49"/>
        <v>0.35497961560861974</v>
      </c>
      <c r="O83" s="94">
        <f t="shared" si="49"/>
        <v>0.30663948747815961</v>
      </c>
      <c r="P83" s="94">
        <f t="shared" si="49"/>
        <v>0.64557503206498512</v>
      </c>
      <c r="Q83" s="94">
        <f t="shared" si="49"/>
        <v>0.26652260039618225</v>
      </c>
      <c r="R83" s="94">
        <f t="shared" si="49"/>
        <v>0.64447777986124133</v>
      </c>
      <c r="S83" s="94">
        <f t="shared" si="49"/>
        <v>0.3064259528256208</v>
      </c>
      <c r="T83" s="91" t="s">
        <v>114</v>
      </c>
      <c r="U83" s="1"/>
      <c r="V83" s="1"/>
    </row>
    <row r="84" spans="2:22" ht="16" thickBot="1">
      <c r="B84" s="1"/>
      <c r="C84" s="1"/>
      <c r="D84" s="1"/>
      <c r="E84" s="1"/>
      <c r="F84" s="1"/>
      <c r="G84" s="1"/>
      <c r="H84" s="1"/>
      <c r="I84" s="1"/>
      <c r="J84" s="1"/>
      <c r="K84" s="1"/>
      <c r="L84" s="158" t="s">
        <v>121</v>
      </c>
      <c r="M84" s="159">
        <f t="shared" ref="M84:R84" si="50">(C15-C20)/C21</f>
        <v>99.322302158273502</v>
      </c>
      <c r="N84" s="159">
        <f t="shared" si="50"/>
        <v>65.470877768662987</v>
      </c>
      <c r="O84" s="159">
        <f t="shared" si="50"/>
        <v>75.642924976258342</v>
      </c>
      <c r="P84" s="159">
        <f t="shared" si="50"/>
        <v>41.605298013244976</v>
      </c>
      <c r="Q84" s="159">
        <f t="shared" si="50"/>
        <v>33.15979729729731</v>
      </c>
      <c r="R84" s="159">
        <f t="shared" si="50"/>
        <v>34.162932790224055</v>
      </c>
      <c r="S84" s="159">
        <f>(I15-I20)/I21</f>
        <v>24.623250564334111</v>
      </c>
      <c r="T84" s="91" t="s">
        <v>114</v>
      </c>
      <c r="U84" s="1"/>
      <c r="V84" s="1"/>
    </row>
  </sheetData>
  <mergeCells count="4">
    <mergeCell ref="B4:I4"/>
    <mergeCell ref="L63:S63"/>
    <mergeCell ref="L4:S4"/>
    <mergeCell ref="B2:S2"/>
  </mergeCells>
  <phoneticPr fontId="11" type="noConversion"/>
  <pageMargins left="0.7" right="0.7" top="0.75" bottom="0.75" header="0.511811023622047" footer="0.511811023622047"/>
  <pageSetup paperSize="9" scale="27" orientation="portrait" horizontalDpi="300" verticalDpi="300" r:id="rId1"/>
  <ignoredErrors>
    <ignoredError sqref="N77:Q77 N80:Q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Dell</cp:lastModifiedBy>
  <cp:revision>9</cp:revision>
  <cp:lastPrinted>2024-01-02T06:03:43Z</cp:lastPrinted>
  <dcterms:created xsi:type="dcterms:W3CDTF">2022-10-27T15:35:00Z</dcterms:created>
  <dcterms:modified xsi:type="dcterms:W3CDTF">2025-08-20T08:30:15Z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