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ummary Q2\"/>
    </mc:Choice>
  </mc:AlternateContent>
  <xr:revisionPtr revIDLastSave="0" documentId="8_{BAD2BD58-DBC1-4677-8C24-39492BA0F3B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9" i="1" l="1"/>
  <c r="Y68" i="1"/>
  <c r="Y66" i="1"/>
  <c r="Y74" i="1"/>
  <c r="Y73" i="1"/>
  <c r="Y65" i="1"/>
  <c r="L56" i="1"/>
  <c r="L55" i="1"/>
  <c r="L54" i="1"/>
  <c r="L53" i="1"/>
  <c r="L47" i="1"/>
  <c r="L46" i="1"/>
  <c r="Y38" i="1"/>
  <c r="Y36" i="1" s="1"/>
  <c r="Y22" i="1"/>
  <c r="Y15" i="1" s="1"/>
  <c r="Y45" i="1"/>
  <c r="Y25" i="1"/>
  <c r="Y10" i="1"/>
  <c r="Y6" i="1"/>
  <c r="Y11" i="1" s="1"/>
  <c r="L13" i="1"/>
  <c r="L7" i="1" s="1"/>
  <c r="L14" i="1" s="1"/>
  <c r="L17" i="1" s="1"/>
  <c r="L52" i="1"/>
  <c r="W80" i="1"/>
  <c r="X80" i="1"/>
  <c r="X76" i="1"/>
  <c r="X75" i="1"/>
  <c r="W10" i="1"/>
  <c r="X10" i="1"/>
  <c r="K53" i="1" s="1"/>
  <c r="K55" i="1"/>
  <c r="K54" i="1"/>
  <c r="K52" i="1"/>
  <c r="K35" i="1"/>
  <c r="K34" i="1"/>
  <c r="K6" i="1"/>
  <c r="K5" i="1"/>
  <c r="L48" i="1" l="1"/>
  <c r="Y53" i="1"/>
  <c r="Y51" i="1"/>
  <c r="Y52" i="1"/>
  <c r="L22" i="1"/>
  <c r="L24" i="1" s="1"/>
  <c r="L29" i="1" s="1"/>
  <c r="K56" i="1"/>
  <c r="X22" i="1"/>
  <c r="K47" i="1"/>
  <c r="K13" i="1"/>
  <c r="Y54" i="1" l="1"/>
  <c r="Y12" i="1"/>
  <c r="L27" i="1"/>
  <c r="X36" i="1"/>
  <c r="K46" i="1"/>
  <c r="X45" i="1" l="1"/>
  <c r="X25" i="1"/>
  <c r="X15" i="1"/>
  <c r="X6" i="1"/>
  <c r="K48" i="1"/>
  <c r="K42" i="1"/>
  <c r="K7" i="1"/>
  <c r="K14" i="1" l="1"/>
  <c r="K17" i="1" s="1"/>
  <c r="X78" i="1"/>
  <c r="X77" i="1"/>
  <c r="X11" i="1"/>
  <c r="X66" i="1"/>
  <c r="X69" i="1" s="1"/>
  <c r="X74" i="1"/>
  <c r="X73" i="1"/>
  <c r="X52" i="1"/>
  <c r="X12" i="1" s="1"/>
  <c r="X51" i="1"/>
  <c r="X53" i="1"/>
  <c r="X79" i="1" l="1"/>
  <c r="K22" i="1"/>
  <c r="X70" i="1"/>
  <c r="X54" i="1"/>
  <c r="W65" i="1"/>
  <c r="X65" i="1" s="1"/>
  <c r="X68" i="1" l="1"/>
  <c r="X72" i="1"/>
  <c r="K24" i="1"/>
  <c r="AB72" i="1"/>
  <c r="AA65" i="1"/>
  <c r="W76" i="1"/>
  <c r="J35" i="1"/>
  <c r="J34" i="1"/>
  <c r="J6" i="1"/>
  <c r="J5" i="1"/>
  <c r="T15" i="1"/>
  <c r="W68" i="1"/>
  <c r="J54" i="1"/>
  <c r="J42" i="1"/>
  <c r="J46" i="1"/>
  <c r="J48" i="1" s="1"/>
  <c r="W45" i="1"/>
  <c r="W36" i="1"/>
  <c r="W15" i="1"/>
  <c r="J53" i="1"/>
  <c r="W6" i="1"/>
  <c r="W25" i="1"/>
  <c r="J55" i="1"/>
  <c r="J7" i="1"/>
  <c r="J14" i="1" s="1"/>
  <c r="D5" i="1"/>
  <c r="H6" i="1"/>
  <c r="G6" i="1"/>
  <c r="F6" i="1"/>
  <c r="E5" i="1"/>
  <c r="J22" i="1" l="1"/>
  <c r="J24" i="1" s="1"/>
  <c r="K25" i="1" s="1"/>
  <c r="K15" i="1"/>
  <c r="K27" i="1"/>
  <c r="W66" i="1"/>
  <c r="W69" i="1" s="1"/>
  <c r="K29" i="1"/>
  <c r="W77" i="1"/>
  <c r="W78" i="1"/>
  <c r="W52" i="1"/>
  <c r="W12" i="1" s="1"/>
  <c r="W51" i="1"/>
  <c r="J56" i="1"/>
  <c r="W70" i="1" s="1"/>
  <c r="W73" i="1"/>
  <c r="W11" i="1"/>
  <c r="W53" i="1"/>
  <c r="W74" i="1"/>
  <c r="J17" i="1"/>
  <c r="V65" i="1"/>
  <c r="V68" i="1" s="1"/>
  <c r="V80" i="1"/>
  <c r="V76" i="1"/>
  <c r="V75" i="1"/>
  <c r="V45" i="1"/>
  <c r="V25" i="1"/>
  <c r="V15" i="1"/>
  <c r="I55" i="1"/>
  <c r="I54" i="1"/>
  <c r="I52" i="1"/>
  <c r="I46" i="1"/>
  <c r="I48" i="1" s="1"/>
  <c r="I42" i="1"/>
  <c r="I43" i="1" s="1"/>
  <c r="J38" i="1" s="1"/>
  <c r="J43" i="1" s="1"/>
  <c r="K38" i="1" s="1"/>
  <c r="K43" i="1" s="1"/>
  <c r="L38" i="1" s="1"/>
  <c r="L43" i="1" s="1"/>
  <c r="I35" i="1"/>
  <c r="I34" i="1"/>
  <c r="I7" i="1"/>
  <c r="I14" i="1" s="1"/>
  <c r="I22" i="1" s="1"/>
  <c r="I24" i="1" s="1"/>
  <c r="I6" i="1"/>
  <c r="I5" i="1"/>
  <c r="S15" i="1"/>
  <c r="S45" i="1"/>
  <c r="T45" i="1"/>
  <c r="U45" i="1"/>
  <c r="S36" i="1"/>
  <c r="T36" i="1"/>
  <c r="U36" i="1"/>
  <c r="V36" i="1"/>
  <c r="S25" i="1"/>
  <c r="T25" i="1"/>
  <c r="T52" i="1" s="1"/>
  <c r="U25" i="1"/>
  <c r="U15" i="1"/>
  <c r="S10" i="1"/>
  <c r="T10" i="1"/>
  <c r="U10" i="1"/>
  <c r="V10" i="1"/>
  <c r="I53" i="1" s="1"/>
  <c r="S6" i="1"/>
  <c r="S11" i="1" s="1"/>
  <c r="T6" i="1"/>
  <c r="T11" i="1" s="1"/>
  <c r="U6" i="1"/>
  <c r="U11" i="1" s="1"/>
  <c r="R45" i="1"/>
  <c r="R36" i="1"/>
  <c r="F42" i="1"/>
  <c r="G42" i="1"/>
  <c r="H42" i="1"/>
  <c r="E42" i="1"/>
  <c r="E43" i="1" s="1"/>
  <c r="F7" i="1"/>
  <c r="F14" i="1" s="1"/>
  <c r="G7" i="1"/>
  <c r="G14" i="1" s="1"/>
  <c r="J16" i="1" s="1"/>
  <c r="H7" i="1"/>
  <c r="H14" i="1" s="1"/>
  <c r="E7" i="1"/>
  <c r="E14" i="1" s="1"/>
  <c r="W72" i="1" l="1"/>
  <c r="H22" i="1"/>
  <c r="K16" i="1"/>
  <c r="T12" i="1"/>
  <c r="W79" i="1"/>
  <c r="I27" i="1"/>
  <c r="U52" i="1"/>
  <c r="U12" i="1" s="1"/>
  <c r="J15" i="1"/>
  <c r="W54" i="1"/>
  <c r="J25" i="1"/>
  <c r="J29" i="1"/>
  <c r="K30" i="1" s="1"/>
  <c r="J27" i="1"/>
  <c r="S52" i="1"/>
  <c r="S12" i="1" s="1"/>
  <c r="V77" i="1"/>
  <c r="U53" i="1"/>
  <c r="U51" i="1"/>
  <c r="V78" i="1"/>
  <c r="T53" i="1"/>
  <c r="T54" i="1" s="1"/>
  <c r="V52" i="1"/>
  <c r="V12" i="1" s="1"/>
  <c r="V51" i="1"/>
  <c r="I56" i="1"/>
  <c r="V70" i="1" s="1"/>
  <c r="I29" i="1"/>
  <c r="I15" i="1"/>
  <c r="I17" i="1"/>
  <c r="I16" i="1"/>
  <c r="T51" i="1"/>
  <c r="S53" i="1"/>
  <c r="S51" i="1"/>
  <c r="V79" i="1" l="1"/>
  <c r="U54" i="1"/>
  <c r="J30" i="1"/>
  <c r="S54" i="1"/>
  <c r="V6" i="1"/>
  <c r="V11" i="1" s="1"/>
  <c r="V66" i="1" l="1"/>
  <c r="V69" i="1" s="1"/>
  <c r="V74" i="1"/>
  <c r="V72" i="1"/>
  <c r="V73" i="1"/>
  <c r="V71" i="1"/>
  <c r="V53" i="1"/>
  <c r="V54" i="1" s="1"/>
  <c r="C52" i="1"/>
  <c r="D52" i="1"/>
  <c r="E52" i="1"/>
  <c r="F52" i="1"/>
  <c r="G52" i="1"/>
  <c r="H52" i="1"/>
  <c r="C46" i="1"/>
  <c r="D46" i="1"/>
  <c r="E46" i="1"/>
  <c r="F46" i="1"/>
  <c r="G46" i="1"/>
  <c r="H46" i="1"/>
  <c r="H48" i="1" s="1"/>
  <c r="U80" i="1" l="1"/>
  <c r="U76" i="1"/>
  <c r="U75" i="1"/>
  <c r="H55" i="1"/>
  <c r="H54" i="1"/>
  <c r="U65" i="1"/>
  <c r="U68" i="1" s="1"/>
  <c r="H34" i="1"/>
  <c r="H5" i="1"/>
  <c r="H43" i="1"/>
  <c r="H35" i="1"/>
  <c r="Q75" i="1" l="1"/>
  <c r="R75" i="1"/>
  <c r="S75" i="1"/>
  <c r="T75" i="1"/>
  <c r="P75" i="1"/>
  <c r="P80" i="1"/>
  <c r="P76" i="1"/>
  <c r="H71" i="1" l="1"/>
  <c r="U74" i="1"/>
  <c r="U66" i="1"/>
  <c r="U69" i="1" s="1"/>
  <c r="H24" i="1"/>
  <c r="K26" i="1" s="1"/>
  <c r="U78" i="1"/>
  <c r="H53" i="1"/>
  <c r="H56" i="1" s="1"/>
  <c r="U73" i="1"/>
  <c r="P25" i="1"/>
  <c r="I25" i="1" l="1"/>
  <c r="H17" i="1"/>
  <c r="U70" i="1"/>
  <c r="U72" i="1"/>
  <c r="H27" i="1"/>
  <c r="R80" i="1"/>
  <c r="S80" i="1"/>
  <c r="T80" i="1"/>
  <c r="Q80" i="1"/>
  <c r="H29" i="1" l="1"/>
  <c r="U71" i="1"/>
  <c r="I30" i="1" l="1"/>
  <c r="K31" i="1"/>
  <c r="R76" i="1"/>
  <c r="S76" i="1"/>
  <c r="T76" i="1"/>
  <c r="Q76" i="1"/>
  <c r="Q65" i="1"/>
  <c r="Q68" i="1" s="1"/>
  <c r="R65" i="1"/>
  <c r="R68" i="1" s="1"/>
  <c r="S65" i="1"/>
  <c r="S68" i="1" s="1"/>
  <c r="T65" i="1"/>
  <c r="T68" i="1" s="1"/>
  <c r="P65" i="1"/>
  <c r="P68" i="1" s="1"/>
  <c r="C55" i="1" l="1"/>
  <c r="D55" i="1"/>
  <c r="E55" i="1"/>
  <c r="F55" i="1"/>
  <c r="G55" i="1"/>
  <c r="C54" i="1"/>
  <c r="D54" i="1"/>
  <c r="E54" i="1"/>
  <c r="F54" i="1"/>
  <c r="G54" i="1"/>
  <c r="C43" i="1"/>
  <c r="D43" i="1"/>
  <c r="F43" i="1"/>
  <c r="G43" i="1"/>
  <c r="U77" i="1" l="1"/>
  <c r="U79" i="1" s="1"/>
  <c r="Q36" i="1"/>
  <c r="P36" i="1"/>
  <c r="R25" i="1"/>
  <c r="R51" i="1" s="1"/>
  <c r="Q25" i="1"/>
  <c r="R15" i="1"/>
  <c r="Q15" i="1"/>
  <c r="P15" i="1"/>
  <c r="P52" i="1" s="1"/>
  <c r="R10" i="1"/>
  <c r="Q10" i="1"/>
  <c r="P10" i="1"/>
  <c r="R6" i="1"/>
  <c r="Q6" i="1"/>
  <c r="P6" i="1"/>
  <c r="P11" i="1" s="1"/>
  <c r="P12" i="1" l="1"/>
  <c r="R53" i="1"/>
  <c r="R11" i="1"/>
  <c r="R74" i="1"/>
  <c r="S74" i="1"/>
  <c r="T74" i="1"/>
  <c r="P74" i="1"/>
  <c r="Q74" i="1"/>
  <c r="Q53" i="1"/>
  <c r="R52" i="1"/>
  <c r="R12" i="1" s="1"/>
  <c r="P53" i="1"/>
  <c r="P51" i="1"/>
  <c r="R66" i="1"/>
  <c r="R69" i="1" s="1"/>
  <c r="T66" i="1"/>
  <c r="T69" i="1" s="1"/>
  <c r="R73" i="1"/>
  <c r="E53" i="1"/>
  <c r="E56" i="1" s="1"/>
  <c r="F71" i="1"/>
  <c r="Q11" i="1"/>
  <c r="Q66" i="1"/>
  <c r="Q69" i="1" s="1"/>
  <c r="S73" i="1"/>
  <c r="F53" i="1"/>
  <c r="F56" i="1" s="1"/>
  <c r="T73" i="1"/>
  <c r="G53" i="1"/>
  <c r="G56" i="1" s="1"/>
  <c r="Q51" i="1"/>
  <c r="D71" i="1"/>
  <c r="S66" i="1"/>
  <c r="S69" i="1" s="1"/>
  <c r="Q52" i="1"/>
  <c r="Q12" i="1" s="1"/>
  <c r="P73" i="1"/>
  <c r="C53" i="1"/>
  <c r="C56" i="1" s="1"/>
  <c r="E71" i="1"/>
  <c r="P66" i="1"/>
  <c r="P69" i="1" s="1"/>
  <c r="Q73" i="1"/>
  <c r="D53" i="1"/>
  <c r="D56" i="1" s="1"/>
  <c r="C71" i="1"/>
  <c r="R54" i="1" l="1"/>
  <c r="G71" i="1"/>
  <c r="F5" i="1"/>
  <c r="G5" i="1"/>
  <c r="C7" i="1"/>
  <c r="D7" i="1"/>
  <c r="D34" i="1"/>
  <c r="F34" i="1"/>
  <c r="G34" i="1"/>
  <c r="C14" i="1" l="1"/>
  <c r="P70" i="1" s="1"/>
  <c r="P77" i="1"/>
  <c r="P78" i="1"/>
  <c r="D14" i="1"/>
  <c r="Q70" i="1" s="1"/>
  <c r="Q78" i="1"/>
  <c r="Q77" i="1"/>
  <c r="E22" i="1"/>
  <c r="R78" i="1"/>
  <c r="R77" i="1"/>
  <c r="F22" i="1"/>
  <c r="S78" i="1"/>
  <c r="S77" i="1"/>
  <c r="G22" i="1"/>
  <c r="T78" i="1"/>
  <c r="T77" i="1"/>
  <c r="C17" i="1" l="1"/>
  <c r="S70" i="1"/>
  <c r="T70" i="1"/>
  <c r="H15" i="1"/>
  <c r="R70" i="1"/>
  <c r="H16" i="1"/>
  <c r="G16" i="1"/>
  <c r="D15" i="1"/>
  <c r="D17" i="1"/>
  <c r="G15" i="1"/>
  <c r="D24" i="1"/>
  <c r="Q71" i="1" s="1"/>
  <c r="G24" i="1"/>
  <c r="E15" i="1"/>
  <c r="S72" i="1"/>
  <c r="S79" i="1"/>
  <c r="P79" i="1"/>
  <c r="T79" i="1"/>
  <c r="E48" i="1"/>
  <c r="F15" i="1"/>
  <c r="E17" i="1"/>
  <c r="G17" i="1"/>
  <c r="C24" i="1"/>
  <c r="P71" i="1" s="1"/>
  <c r="C48" i="1"/>
  <c r="P72" i="1"/>
  <c r="R79" i="1"/>
  <c r="F16" i="1"/>
  <c r="Q79" i="1"/>
  <c r="F17" i="1"/>
  <c r="H25" i="1" l="1"/>
  <c r="J26" i="1"/>
  <c r="D48" i="1"/>
  <c r="Q72" i="1"/>
  <c r="F24" i="1"/>
  <c r="E24" i="1"/>
  <c r="R71" i="1" s="1"/>
  <c r="T71" i="1"/>
  <c r="H26" i="1"/>
  <c r="G29" i="1"/>
  <c r="G27" i="1"/>
  <c r="T72" i="1"/>
  <c r="F48" i="1"/>
  <c r="G48" i="1"/>
  <c r="R72" i="1"/>
  <c r="C29" i="1"/>
  <c r="D25" i="1"/>
  <c r="D29" i="1"/>
  <c r="D27" i="1"/>
  <c r="C27" i="1"/>
  <c r="S71" i="1" l="1"/>
  <c r="I26" i="1"/>
  <c r="H30" i="1"/>
  <c r="J31" i="1"/>
  <c r="F27" i="1"/>
  <c r="F29" i="1"/>
  <c r="F25" i="1"/>
  <c r="G25" i="1"/>
  <c r="E29" i="1"/>
  <c r="D30" i="1"/>
  <c r="E27" i="1"/>
  <c r="G30" i="1" l="1"/>
  <c r="I31" i="1"/>
  <c r="H31" i="1"/>
  <c r="F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masalia</author>
  </authors>
  <commentList>
    <comment ref="E4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shreya masalia:</t>
        </r>
        <r>
          <rPr>
            <sz val="9"/>
            <color indexed="81"/>
            <rFont val="Tahoma"/>
            <family val="2"/>
          </rPr>
          <t xml:space="preserve">
`</t>
        </r>
      </text>
    </comment>
  </commentList>
</comments>
</file>

<file path=xl/sharedStrings.xml><?xml version="1.0" encoding="utf-8"?>
<sst xmlns="http://schemas.openxmlformats.org/spreadsheetml/2006/main" count="212" uniqueCount="129">
  <si>
    <t>INCOME STATEMENT</t>
  </si>
  <si>
    <t>Y/E, Mar (Rs. mn)</t>
  </si>
  <si>
    <t>FY17</t>
  </si>
  <si>
    <t>FY18</t>
  </si>
  <si>
    <t>FY19</t>
  </si>
  <si>
    <t>FY20</t>
  </si>
  <si>
    <t>FY21</t>
  </si>
  <si>
    <t>Revenue from Operations</t>
  </si>
  <si>
    <t>Growth (%)</t>
  </si>
  <si>
    <t>CAGR (%) - 3 years</t>
  </si>
  <si>
    <t>Total Expenses</t>
  </si>
  <si>
    <t>Cost of Materials Consumed</t>
  </si>
  <si>
    <t>Changes in Inventories</t>
  </si>
  <si>
    <t>Employee benefits expenses</t>
  </si>
  <si>
    <t>Other expenses</t>
  </si>
  <si>
    <t>EBITDA</t>
  </si>
  <si>
    <t>EBITDA Margin (%)</t>
  </si>
  <si>
    <t>Depreciation and amortisation expenses</t>
  </si>
  <si>
    <t>Finance costs</t>
  </si>
  <si>
    <t>Other Income</t>
  </si>
  <si>
    <t>PBT</t>
  </si>
  <si>
    <t>Tax Expense</t>
  </si>
  <si>
    <t>PAT</t>
  </si>
  <si>
    <t>PAT Margin (%)</t>
  </si>
  <si>
    <t>Other Comprehensive Income</t>
  </si>
  <si>
    <t>Total Comprehensive Income</t>
  </si>
  <si>
    <t>CAGR (%) - 3 Years</t>
  </si>
  <si>
    <t>EPS</t>
  </si>
  <si>
    <t>Purchases of stock-in-trade</t>
  </si>
  <si>
    <t>Excise Duty on sale of goods</t>
  </si>
  <si>
    <t>BALANCE SHEET</t>
  </si>
  <si>
    <t>Share Capital</t>
  </si>
  <si>
    <t>Other Equity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</si>
  <si>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</si>
  <si>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</si>
  <si>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</si>
  <si>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</si>
  <si>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</si>
  <si>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</si>
  <si>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NON-CURRENT ASSETS</t>
  </si>
  <si>
    <t>Property, plant &amp; equipment</t>
  </si>
  <si>
    <t>Intangible Assets</t>
  </si>
  <si>
    <t>Capital Work-in-progress</t>
  </si>
  <si>
    <t>Financial assets</t>
  </si>
  <si>
    <t>Other non-current assets</t>
  </si>
  <si>
    <t>CURRENT ASSETS, LOANS &amp; ADVANCES</t>
  </si>
  <si>
    <t>Inventories</t>
  </si>
  <si>
    <t>CURRENT LIABILITIES &amp; PROVISIONS</t>
  </si>
  <si>
    <t>Other Current liabilities</t>
  </si>
  <si>
    <t>Provisions</t>
  </si>
  <si>
    <t>NET CURRENT ASSETS</t>
  </si>
  <si>
    <t>Long term provision</t>
  </si>
  <si>
    <t>TOTAL ASSETS</t>
  </si>
  <si>
    <t>TOTAL LIABILITIES</t>
  </si>
  <si>
    <t>(i) Loans</t>
  </si>
  <si>
    <t>(ii)Trade Receivable</t>
  </si>
  <si>
    <t>(iii)Cash and cash equivalents</t>
  </si>
  <si>
    <t>(iv)Other bank balances</t>
  </si>
  <si>
    <t>(v)Loans</t>
  </si>
  <si>
    <t>(vi) Other financial assets</t>
  </si>
  <si>
    <t>Current tax assets (net)</t>
  </si>
  <si>
    <t>Other current assets</t>
  </si>
  <si>
    <t>Deferred tax liability (net)</t>
  </si>
  <si>
    <t>Other non-current liabilities</t>
  </si>
  <si>
    <t>Financial liabilities</t>
  </si>
  <si>
    <t>(i)Trade Payables</t>
  </si>
  <si>
    <t>(ii)Other Financial liabilities</t>
  </si>
  <si>
    <t>Cuurent Tax Liabilities (net)</t>
  </si>
  <si>
    <t>Right to use assets</t>
  </si>
  <si>
    <t>Lease Liabilities</t>
  </si>
  <si>
    <t>(iii)Lease Liabilities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</si>
  <si>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</si>
  <si>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</si>
  <si>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</si>
  <si>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</si>
  <si>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</si>
  <si>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</si>
  <si>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</si>
  <si>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</si>
  <si>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</si>
  <si>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</si>
  <si>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</si>
  <si>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 of Shares</t>
  </si>
  <si>
    <t>Market Cap</t>
  </si>
  <si>
    <t>Total Debt</t>
  </si>
  <si>
    <t>Cash</t>
  </si>
  <si>
    <t>Bank</t>
  </si>
  <si>
    <t>EV</t>
  </si>
  <si>
    <t>P/BV (x)</t>
  </si>
  <si>
    <t>EV/EBIDTA (x)</t>
  </si>
  <si>
    <t>Net D/E (x)</t>
  </si>
  <si>
    <t>Debtor Days</t>
  </si>
  <si>
    <t>Creditor Days</t>
  </si>
  <si>
    <t>Inventory Days</t>
  </si>
  <si>
    <t>Cash Conversion cycle</t>
  </si>
  <si>
    <t>KEY RATIOS</t>
  </si>
  <si>
    <t>CMP(INR)</t>
  </si>
  <si>
    <t>EPS (INR)</t>
  </si>
  <si>
    <t>BVPS (INR)</t>
  </si>
  <si>
    <t>ROE (%)</t>
  </si>
  <si>
    <t>ROCE (%)</t>
  </si>
  <si>
    <t>Gross D/E (x)</t>
  </si>
  <si>
    <t>Fixed Asset Turnover</t>
  </si>
  <si>
    <t>P/E (x)</t>
  </si>
  <si>
    <t>FY16</t>
  </si>
  <si>
    <t>DPS (INR)</t>
  </si>
  <si>
    <t>Dividend Yield (%)</t>
  </si>
  <si>
    <t>FY22</t>
  </si>
  <si>
    <t>-</t>
  </si>
  <si>
    <t xml:space="preserve"> </t>
  </si>
  <si>
    <t>FY23</t>
  </si>
  <si>
    <t>Exceptional Item</t>
  </si>
  <si>
    <t>(ii) Other financial assets + Investments</t>
  </si>
  <si>
    <t>Other financial libilities</t>
  </si>
  <si>
    <t>Income tax assets (net)</t>
  </si>
  <si>
    <t>Check</t>
  </si>
  <si>
    <t>Q1-FY24</t>
  </si>
  <si>
    <t>EPS TTM</t>
  </si>
  <si>
    <t>Q4-FY23</t>
  </si>
  <si>
    <t>Q3-FY23</t>
  </si>
  <si>
    <t>Q2-FY23</t>
  </si>
  <si>
    <t>(i) Investments</t>
  </si>
  <si>
    <t>NON-CURRENT LIABILITIES</t>
  </si>
  <si>
    <t>FY24</t>
  </si>
  <si>
    <t>TTM EPS</t>
  </si>
  <si>
    <t>PE Based on TTM</t>
  </si>
  <si>
    <t>FY25</t>
  </si>
  <si>
    <t>H1-FY26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</si>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</sst>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10" fontId="2" fillId="2" borderId="1" xfId="1" applyNumberFormat="1" applyFont="1" applyFill="1" applyBorder="1"/>
    <xf numFmtId="2" fontId="2" fillId="2" borderId="1" xfId="0" applyNumberFormat="1" applyFont="1" applyFill="1" applyBorder="1"/>
    <xf numFmtId="2" fontId="2" fillId="2" borderId="1" xfId="1" applyNumberFormat="1" applyFont="1" applyFill="1" applyBorder="1"/>
    <xf numFmtId="43" fontId="2" fillId="0" borderId="1" xfId="0" applyNumberFormat="1" applyFont="1" applyBorder="1"/>
    <xf numFmtId="43" fontId="2" fillId="2" borderId="1" xfId="0" applyNumberFormat="1" applyFont="1" applyFill="1" applyBorder="1"/>
    <xf numFmtId="43" fontId="4" fillId="0" borderId="1" xfId="0" applyNumberFormat="1" applyFont="1" applyBorder="1"/>
    <xf numFmtId="43" fontId="4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3" fillId="2" borderId="1" xfId="0" applyFont="1" applyFill="1" applyBorder="1"/>
    <xf numFmtId="165" fontId="2" fillId="2" borderId="1" xfId="2" applyNumberFormat="1" applyFont="1" applyFill="1" applyBorder="1"/>
    <xf numFmtId="43" fontId="4" fillId="0" borderId="1" xfId="2" applyFont="1" applyFill="1" applyBorder="1"/>
    <xf numFmtId="43" fontId="3" fillId="0" borderId="1" xfId="2" applyFont="1" applyFill="1" applyBorder="1"/>
    <xf numFmtId="43" fontId="3" fillId="2" borderId="1" xfId="2" applyFont="1" applyFill="1" applyBorder="1"/>
    <xf numFmtId="2" fontId="4" fillId="0" borderId="1" xfId="0" applyNumberFormat="1" applyFont="1" applyBorder="1"/>
    <xf numFmtId="10" fontId="4" fillId="0" borderId="1" xfId="1" applyNumberFormat="1" applyFont="1" applyBorder="1"/>
    <xf numFmtId="2" fontId="4" fillId="0" borderId="1" xfId="0" applyNumberFormat="1" applyFont="1" applyBorder="1" applyAlignment="1">
      <alignment horizontal="right"/>
    </xf>
    <xf numFmtId="2" fontId="4" fillId="0" borderId="1" xfId="1" applyNumberFormat="1" applyFont="1" applyBorder="1"/>
    <xf numFmtId="0" fontId="3" fillId="0" borderId="1" xfId="0" applyFont="1" applyBorder="1" applyAlignment="1">
      <alignment horizontal="center"/>
    </xf>
    <xf numFmtId="43" fontId="4" fillId="0" borderId="0" xfId="2" applyFont="1" applyFill="1" applyBorder="1"/>
    <xf numFmtId="165" fontId="2" fillId="0" borderId="0" xfId="2" applyNumberFormat="1" applyFont="1" applyFill="1" applyBorder="1"/>
    <xf numFmtId="0" fontId="4" fillId="0" borderId="0" xfId="0" applyFont="1"/>
    <xf numFmtId="43" fontId="4" fillId="0" borderId="1" xfId="2" applyFont="1" applyFill="1" applyBorder="1" applyAlignment="1">
      <alignment horizontal="right"/>
    </xf>
    <xf numFmtId="0" fontId="0" fillId="0" borderId="1" xfId="0" applyBorder="1"/>
    <xf numFmtId="43" fontId="0" fillId="0" borderId="1" xfId="0" applyNumberFormat="1" applyBorder="1"/>
    <xf numFmtId="0" fontId="0" fillId="2" borderId="1" xfId="0" applyFill="1" applyBorder="1"/>
    <xf numFmtId="10" fontId="1" fillId="2" borderId="1" xfId="1" applyNumberFormat="1" applyFont="1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0" fontId="0" fillId="0" borderId="2" xfId="0" applyBorder="1"/>
    <xf numFmtId="43" fontId="0" fillId="0" borderId="2" xfId="0" applyNumberFormat="1" applyBorder="1"/>
    <xf numFmtId="0" fontId="0" fillId="0" borderId="1" xfId="0" applyBorder="1" applyAlignment="1">
      <alignment horizontal="left" indent="1"/>
    </xf>
    <xf numFmtId="2" fontId="0" fillId="0" borderId="1" xfId="0" applyNumberFormat="1" applyBorder="1"/>
    <xf numFmtId="2" fontId="1" fillId="0" borderId="1" xfId="1" applyNumberFormat="1" applyFont="1" applyFill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7" fillId="2" borderId="1" xfId="0" applyFont="1" applyFill="1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43" fontId="1" fillId="0" borderId="1" xfId="2" applyFont="1" applyBorder="1"/>
    <xf numFmtId="165" fontId="1" fillId="0" borderId="1" xfId="2" applyNumberFormat="1" applyFont="1" applyBorder="1"/>
    <xf numFmtId="43" fontId="0" fillId="0" borderId="0" xfId="0" applyNumberFormat="1"/>
    <xf numFmtId="2" fontId="0" fillId="0" borderId="0" xfId="0" applyNumberFormat="1"/>
    <xf numFmtId="2" fontId="0" fillId="0" borderId="2" xfId="0" applyNumberFormat="1" applyBorder="1" applyAlignment="1">
      <alignment horizontal="right"/>
    </xf>
    <xf numFmtId="10" fontId="1" fillId="0" borderId="1" xfId="1" applyNumberFormat="1" applyFont="1" applyBorder="1"/>
    <xf numFmtId="1" fontId="0" fillId="0" borderId="1" xfId="0" applyNumberFormat="1" applyBorder="1"/>
    <xf numFmtId="43" fontId="0" fillId="2" borderId="1" xfId="0" applyNumberFormat="1" applyFill="1" applyBorder="1"/>
    <xf numFmtId="166" fontId="0" fillId="0" borderId="0" xfId="0" applyNumberFormat="1"/>
    <xf numFmtId="43" fontId="1" fillId="0" borderId="1" xfId="2" applyFont="1" applyFill="1" applyBorder="1"/>
    <xf numFmtId="165" fontId="1" fillId="0" borderId="1" xfId="2" applyNumberFormat="1" applyFont="1" applyFill="1" applyBorder="1"/>
    <xf numFmtId="2" fontId="0" fillId="0" borderId="1" xfId="0" applyNumberForma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43" fontId="4" fillId="4" borderId="1" xfId="2" applyFont="1" applyFill="1" applyBorder="1" applyAlignment="1">
      <alignment horizontal="right"/>
    </xf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right"/>
    </xf>
    <xf numFmtId="43" fontId="2" fillId="4" borderId="1" xfId="0" applyNumberFormat="1" applyFont="1" applyFill="1" applyBorder="1"/>
    <xf numFmtId="43" fontId="4" fillId="4" borderId="0" xfId="2" applyFont="1" applyFill="1" applyBorder="1"/>
    <xf numFmtId="3" fontId="0" fillId="4" borderId="1" xfId="0" applyNumberFormat="1" applyFill="1" applyBorder="1"/>
    <xf numFmtId="43" fontId="1" fillId="4" borderId="1" xfId="2" applyFont="1" applyFill="1" applyBorder="1"/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2" fillId="0" borderId="6" xfId="0" applyNumberFormat="1" applyFont="1" applyBorder="1"/>
    <xf numFmtId="10" fontId="1" fillId="2" borderId="6" xfId="1" applyNumberFormat="1" applyFont="1" applyFill="1" applyBorder="1"/>
    <xf numFmtId="43" fontId="2" fillId="2" borderId="6" xfId="0" applyNumberFormat="1" applyFont="1" applyFill="1" applyBorder="1"/>
    <xf numFmtId="43" fontId="0" fillId="0" borderId="6" xfId="0" applyNumberFormat="1" applyBorder="1"/>
    <xf numFmtId="10" fontId="2" fillId="2" borderId="6" xfId="1" applyNumberFormat="1" applyFont="1" applyFill="1" applyBorder="1"/>
    <xf numFmtId="43" fontId="0" fillId="0" borderId="3" xfId="0" applyNumberFormat="1" applyBorder="1"/>
    <xf numFmtId="2" fontId="0" fillId="0" borderId="6" xfId="0" applyNumberFormat="1" applyBorder="1"/>
    <xf numFmtId="0" fontId="0" fillId="0" borderId="6" xfId="0" applyBorder="1"/>
    <xf numFmtId="2" fontId="2" fillId="2" borderId="6" xfId="1" applyNumberFormat="1" applyFont="1" applyFill="1" applyBorder="1"/>
    <xf numFmtId="0" fontId="2" fillId="0" borderId="6" xfId="0" applyFont="1" applyBorder="1" applyAlignment="1">
      <alignment horizontal="center"/>
    </xf>
    <xf numFmtId="43" fontId="3" fillId="0" borderId="6" xfId="2" applyFont="1" applyFill="1" applyBorder="1"/>
    <xf numFmtId="43" fontId="4" fillId="4" borderId="6" xfId="2" applyFont="1" applyFill="1" applyBorder="1" applyAlignment="1">
      <alignment horizontal="right"/>
    </xf>
    <xf numFmtId="43" fontId="3" fillId="2" borderId="6" xfId="2" applyFont="1" applyFill="1" applyBorder="1"/>
    <xf numFmtId="43" fontId="0" fillId="4" borderId="1" xfId="0" applyNumberFormat="1" applyFill="1" applyBorder="1"/>
    <xf numFmtId="2" fontId="0" fillId="4" borderId="1" xfId="0" applyNumberFormat="1" applyFill="1" applyBorder="1"/>
    <xf numFmtId="0" fontId="0" fillId="4" borderId="1" xfId="0" applyFill="1" applyBorder="1"/>
    <xf numFmtId="43" fontId="2" fillId="2" borderId="9" xfId="0" applyNumberFormat="1" applyFont="1" applyFill="1" applyBorder="1"/>
    <xf numFmtId="0" fontId="2" fillId="4" borderId="10" xfId="0" applyFont="1" applyFill="1" applyBorder="1" applyAlignment="1">
      <alignment horizontal="center"/>
    </xf>
    <xf numFmtId="0" fontId="0" fillId="4" borderId="8" xfId="0" applyFill="1" applyBorder="1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3" fontId="4" fillId="0" borderId="1" xfId="2" applyFont="1" applyBorder="1"/>
    <xf numFmtId="43" fontId="0" fillId="0" borderId="1" xfId="2" applyFont="1" applyBorder="1"/>
    <xf numFmtId="10" fontId="4" fillId="0" borderId="0" xfId="1" applyNumberFormat="1" applyFont="1" applyBorder="1" applyAlignment="1">
      <alignment horizontal="right"/>
    </xf>
    <xf numFmtId="43" fontId="4" fillId="0" borderId="0" xfId="0" applyNumberFormat="1" applyFont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80"/>
  <sheetViews>
    <sheetView tabSelected="1" topLeftCell="K1" zoomScale="80" zoomScaleNormal="80" workbookViewId="0">
      <selection activeCell="Z75" sqref="Z75"/>
    </sheetView>
  </sheetViews>
  <sheetFormatPr defaultRowHeight="14.5" x14ac:dyDescent="0.35"/>
  <cols>
    <col min="2" max="2" width="59.26953125" bestFit="1" customWidth="1"/>
    <col min="3" max="4" width="13.81640625" hidden="1" customWidth="1"/>
    <col min="5" max="7" width="14.26953125" bestFit="1" customWidth="1"/>
    <col min="8" max="9" width="14.54296875" bestFit="1" customWidth="1"/>
    <col min="10" max="12" width="13.54296875" customWidth="1"/>
    <col min="14" max="14" width="55.7265625" bestFit="1" customWidth="1"/>
    <col min="15" max="15" width="10.81640625" hidden="1" customWidth="1"/>
    <col min="16" max="17" width="8.7265625" hidden="1" customWidth="1"/>
    <col min="18" max="21" width="14.26953125" bestFit="1" customWidth="1"/>
    <col min="22" max="22" width="14.54296875" bestFit="1" customWidth="1"/>
    <col min="23" max="23" width="13.453125" customWidth="1"/>
    <col min="24" max="25" width="12.1796875" customWidth="1"/>
    <col min="26" max="26" width="15.26953125" customWidth="1"/>
    <col min="27" max="27" width="10.54296875" bestFit="1" customWidth="1"/>
    <col min="28" max="28" width="12.7265625" customWidth="1"/>
  </cols>
  <sheetData>
    <row r="2" spans="2:25" x14ac:dyDescent="0.35">
      <c r="B2" s="90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2"/>
      <c r="N2" s="88" t="s">
        <v>30</v>
      </c>
      <c r="O2" s="89"/>
      <c r="P2" s="89"/>
      <c r="Q2" s="89"/>
      <c r="R2" s="89"/>
      <c r="S2" s="89"/>
      <c r="T2" s="89"/>
      <c r="U2" s="89"/>
      <c r="V2" s="89"/>
      <c r="W2" s="89"/>
      <c r="X2" s="89"/>
      <c r="Y2" s="57"/>
    </row>
    <row r="3" spans="2:25" x14ac:dyDescent="0.35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107</v>
      </c>
      <c r="I3" s="2" t="s">
        <v>110</v>
      </c>
      <c r="J3" s="2" t="s">
        <v>123</v>
      </c>
      <c r="K3" s="66" t="s">
        <v>126</v>
      </c>
      <c r="L3" s="2" t="s">
        <v>127</v>
      </c>
      <c r="N3" s="1" t="s">
        <v>1</v>
      </c>
      <c r="O3" s="2" t="s">
        <v>104</v>
      </c>
      <c r="P3" s="2" t="s">
        <v>2</v>
      </c>
      <c r="Q3" s="22" t="s">
        <v>3</v>
      </c>
      <c r="R3" s="22" t="s">
        <v>4</v>
      </c>
      <c r="S3" s="22" t="s">
        <v>5</v>
      </c>
      <c r="T3" s="22" t="s">
        <v>6</v>
      </c>
      <c r="U3" s="22" t="s">
        <v>107</v>
      </c>
      <c r="V3" s="2" t="s">
        <v>110</v>
      </c>
      <c r="W3" s="2" t="s">
        <v>123</v>
      </c>
      <c r="X3" s="2" t="s">
        <v>126</v>
      </c>
      <c r="Y3" s="2" t="s">
        <v>127</v>
      </c>
    </row>
    <row r="4" spans="2:25" x14ac:dyDescent="0.35">
      <c r="B4" s="1" t="s">
        <v>7</v>
      </c>
      <c r="C4" s="7">
        <v>13049.145</v>
      </c>
      <c r="D4" s="7">
        <v>12134.073</v>
      </c>
      <c r="E4" s="7">
        <v>13528.02</v>
      </c>
      <c r="F4" s="7">
        <v>12772.768</v>
      </c>
      <c r="G4" s="7">
        <v>14642.617</v>
      </c>
      <c r="H4" s="7">
        <v>24547.35</v>
      </c>
      <c r="I4" s="7">
        <v>26337.957999999999</v>
      </c>
      <c r="J4" s="7">
        <v>18715.898000000001</v>
      </c>
      <c r="K4" s="67">
        <v>20003.433000000001</v>
      </c>
      <c r="L4" s="61">
        <v>10147.081</v>
      </c>
      <c r="N4" s="27" t="s">
        <v>31</v>
      </c>
      <c r="O4" s="27"/>
      <c r="P4" s="28"/>
      <c r="Q4" s="28"/>
      <c r="R4" s="28">
        <v>441.97500000000002</v>
      </c>
      <c r="S4" s="28">
        <v>522.06100000000004</v>
      </c>
      <c r="T4" s="28">
        <v>522.06100000000004</v>
      </c>
      <c r="U4" s="28">
        <v>522.06100000000004</v>
      </c>
      <c r="V4" s="28">
        <v>590.30999999999995</v>
      </c>
      <c r="W4" s="28">
        <v>590.30999999999995</v>
      </c>
      <c r="X4" s="28">
        <v>590.30999999999995</v>
      </c>
      <c r="Y4" s="28">
        <v>590.30999999999995</v>
      </c>
    </row>
    <row r="5" spans="2:25" x14ac:dyDescent="0.35">
      <c r="B5" s="29" t="s">
        <v>8</v>
      </c>
      <c r="C5" s="30"/>
      <c r="D5" s="30">
        <f>D4/C4-1</f>
        <v>-7.012505417021575E-2</v>
      </c>
      <c r="E5" s="30">
        <f>E4/D4-1</f>
        <v>0.11487873857360187</v>
      </c>
      <c r="F5" s="30">
        <f t="shared" ref="F5:J5" si="0">F4/E4-1</f>
        <v>-5.5828716988886806E-2</v>
      </c>
      <c r="G5" s="30">
        <f t="shared" si="0"/>
        <v>0.14639340509433829</v>
      </c>
      <c r="H5" s="30">
        <f t="shared" si="0"/>
        <v>0.67643188372679552</v>
      </c>
      <c r="I5" s="30">
        <f t="shared" si="0"/>
        <v>7.2945063316406822E-2</v>
      </c>
      <c r="J5" s="30">
        <f t="shared" si="0"/>
        <v>-0.28939449292158481</v>
      </c>
      <c r="K5" s="68">
        <f>K4/J4-1</f>
        <v>6.8793653395631926E-2</v>
      </c>
      <c r="L5" s="30"/>
      <c r="N5" s="27" t="s">
        <v>32</v>
      </c>
      <c r="O5" s="27"/>
      <c r="P5" s="9"/>
      <c r="Q5" s="9"/>
      <c r="R5" s="93">
        <v>5873.3119999999999</v>
      </c>
      <c r="S5" s="93">
        <v>6256.0429999999997</v>
      </c>
      <c r="T5" s="93">
        <v>6349.8940000000002</v>
      </c>
      <c r="U5" s="94">
        <v>7496.1130000000003</v>
      </c>
      <c r="V5" s="93">
        <v>9660.65</v>
      </c>
      <c r="W5" s="94">
        <v>9726.8729999999996</v>
      </c>
      <c r="X5" s="94">
        <v>9736.6049999999996</v>
      </c>
      <c r="Y5" s="94">
        <v>9988.5669999999991</v>
      </c>
    </row>
    <row r="6" spans="2:25" x14ac:dyDescent="0.35">
      <c r="B6" s="29" t="s">
        <v>9</v>
      </c>
      <c r="C6" s="31"/>
      <c r="D6" s="31"/>
      <c r="E6" s="30"/>
      <c r="F6" s="30">
        <f t="shared" ref="F6:J6" si="1">(F4/C4)^(1/3)-1</f>
        <v>-7.1103376803406393E-3</v>
      </c>
      <c r="G6" s="30">
        <f t="shared" si="1"/>
        <v>6.4643074042345594E-2</v>
      </c>
      <c r="H6" s="30">
        <f t="shared" si="1"/>
        <v>0.21971058493967566</v>
      </c>
      <c r="I6" s="30">
        <f t="shared" si="1"/>
        <v>0.27281619433024185</v>
      </c>
      <c r="J6" s="30">
        <f t="shared" si="1"/>
        <v>8.5252151736460391E-2</v>
      </c>
      <c r="K6" s="68">
        <f>(K4/H4)^(1/3)-1</f>
        <v>-6.5957494049308729E-2</v>
      </c>
      <c r="L6" s="30"/>
      <c r="N6" s="3" t="s">
        <v>33</v>
      </c>
      <c r="O6" s="3"/>
      <c r="P6" s="8">
        <f t="shared" ref="P6:V6" si="2">P4+P5</f>
        <v>0</v>
      </c>
      <c r="Q6" s="8">
        <f t="shared" si="2"/>
        <v>0</v>
      </c>
      <c r="R6" s="8">
        <f t="shared" si="2"/>
        <v>6315.2870000000003</v>
      </c>
      <c r="S6" s="8">
        <f t="shared" si="2"/>
        <v>6778.1039999999994</v>
      </c>
      <c r="T6" s="8">
        <f t="shared" si="2"/>
        <v>6871.9549999999999</v>
      </c>
      <c r="U6" s="8">
        <f t="shared" si="2"/>
        <v>8018.174</v>
      </c>
      <c r="V6" s="8">
        <f t="shared" si="2"/>
        <v>10250.959999999999</v>
      </c>
      <c r="W6" s="8">
        <f>W4+W5</f>
        <v>10317.182999999999</v>
      </c>
      <c r="X6" s="8">
        <f>X4+X5</f>
        <v>10326.914999999999</v>
      </c>
      <c r="Y6" s="8">
        <f>Y4+Y5</f>
        <v>10578.876999999999</v>
      </c>
    </row>
    <row r="7" spans="2:25" x14ac:dyDescent="0.35">
      <c r="B7" s="3" t="s">
        <v>10</v>
      </c>
      <c r="C7" s="8">
        <f t="shared" ref="C7:D7" si="3">SUM(C8:C13)</f>
        <v>0</v>
      </c>
      <c r="D7" s="8">
        <f t="shared" si="3"/>
        <v>0</v>
      </c>
      <c r="E7" s="8">
        <f>SUM(E8:E13)+SUM(E18:E19)</f>
        <v>13782.736000000001</v>
      </c>
      <c r="F7" s="8">
        <f>SUM(F8:F13)+SUM(F18:F19)</f>
        <v>13254.739000000001</v>
      </c>
      <c r="G7" s="8">
        <f t="shared" ref="G7:I7" si="4">SUM(G8:G13)+SUM(G18:G19)</f>
        <v>14619.184999999999</v>
      </c>
      <c r="H7" s="8">
        <f t="shared" si="4"/>
        <v>23314.953999999998</v>
      </c>
      <c r="I7" s="8">
        <f t="shared" si="4"/>
        <v>24215.799000000003</v>
      </c>
      <c r="J7" s="8">
        <f t="shared" ref="J7:K7" si="5">SUM(J8:J13)+SUM(J18:J19)</f>
        <v>18633.487999999998</v>
      </c>
      <c r="K7" s="69">
        <f t="shared" si="5"/>
        <v>19740.667000000001</v>
      </c>
      <c r="L7" s="8">
        <f>SUM(L8:L13)+SUM(L18:L19)</f>
        <v>9846.4030000000002</v>
      </c>
      <c r="N7" s="27" t="s">
        <v>34</v>
      </c>
      <c r="O7" s="27"/>
      <c r="P7" s="28"/>
      <c r="Q7" s="28"/>
      <c r="R7" s="28"/>
      <c r="S7" s="28"/>
      <c r="T7" s="28"/>
      <c r="U7" s="27"/>
      <c r="V7" s="27"/>
      <c r="W7" s="27"/>
      <c r="X7" s="27"/>
      <c r="Y7" s="27"/>
    </row>
    <row r="8" spans="2:25" x14ac:dyDescent="0.35">
      <c r="B8" s="27" t="s">
        <v>11</v>
      </c>
      <c r="C8" s="28"/>
      <c r="D8" s="28"/>
      <c r="E8" s="28">
        <v>6762.8639999999996</v>
      </c>
      <c r="F8" s="28">
        <v>6505.83</v>
      </c>
      <c r="G8" s="28">
        <v>7811.8130000000001</v>
      </c>
      <c r="H8" s="28">
        <v>13765.708000000001</v>
      </c>
      <c r="I8" s="28">
        <v>13625.53</v>
      </c>
      <c r="J8" s="28">
        <v>10380.373</v>
      </c>
      <c r="K8" s="70">
        <v>11086.898999999999</v>
      </c>
      <c r="L8" s="80">
        <v>5288.3119999999999</v>
      </c>
      <c r="N8" s="27" t="s">
        <v>35</v>
      </c>
      <c r="O8" s="27"/>
      <c r="P8" s="9"/>
      <c r="Q8" s="9"/>
      <c r="R8" s="9">
        <v>3835.6770000000001</v>
      </c>
      <c r="S8" s="9">
        <v>4673.1099999999997</v>
      </c>
      <c r="T8" s="9">
        <v>5227.37</v>
      </c>
      <c r="U8" s="94">
        <v>4409.1180000000004</v>
      </c>
      <c r="V8" s="93">
        <v>3806.6060000000002</v>
      </c>
      <c r="W8" s="94">
        <v>2817.076</v>
      </c>
      <c r="X8" s="94">
        <v>2176.4859999999999</v>
      </c>
      <c r="Y8" s="94">
        <v>1416.8240000000001</v>
      </c>
    </row>
    <row r="9" spans="2:25" x14ac:dyDescent="0.35">
      <c r="B9" s="27" t="s">
        <v>28</v>
      </c>
      <c r="C9" s="28"/>
      <c r="D9" s="28"/>
      <c r="E9" s="28">
        <v>4.55</v>
      </c>
      <c r="F9" s="28">
        <v>7.02</v>
      </c>
      <c r="G9" s="28">
        <v>15.003</v>
      </c>
      <c r="H9" s="28">
        <v>269.92</v>
      </c>
      <c r="I9" s="28">
        <v>324.52</v>
      </c>
      <c r="J9" s="28">
        <v>25.038</v>
      </c>
      <c r="K9" s="70">
        <v>182.065</v>
      </c>
      <c r="L9" s="80">
        <v>5.2220000000000004</v>
      </c>
      <c r="N9" s="27" t="s">
        <v>36</v>
      </c>
      <c r="O9" s="27"/>
      <c r="P9" s="10"/>
      <c r="Q9" s="10"/>
      <c r="R9" s="93">
        <v>1541.9459999999999</v>
      </c>
      <c r="S9" s="93">
        <v>636.13499999999999</v>
      </c>
      <c r="T9" s="93">
        <v>1003.248</v>
      </c>
      <c r="U9" s="94">
        <v>1106.222</v>
      </c>
      <c r="V9" s="94">
        <v>1241.95</v>
      </c>
      <c r="W9" s="94">
        <v>1546.588</v>
      </c>
      <c r="X9" s="94">
        <v>2081.067</v>
      </c>
      <c r="Y9" s="94">
        <v>2230.3290000000002</v>
      </c>
    </row>
    <row r="10" spans="2:25" x14ac:dyDescent="0.35">
      <c r="B10" s="27" t="s">
        <v>29</v>
      </c>
      <c r="C10" s="28"/>
      <c r="D10" s="28"/>
      <c r="E10" s="28"/>
      <c r="F10" s="28"/>
      <c r="G10" s="28"/>
      <c r="H10" s="28"/>
      <c r="I10" s="28"/>
      <c r="J10" s="28"/>
      <c r="K10" s="70"/>
      <c r="L10" s="80"/>
      <c r="N10" s="3" t="s">
        <v>37</v>
      </c>
      <c r="O10" s="3"/>
      <c r="P10" s="8">
        <f t="shared" ref="P10:V10" si="6">P8+P9</f>
        <v>0</v>
      </c>
      <c r="Q10" s="8">
        <f t="shared" si="6"/>
        <v>0</v>
      </c>
      <c r="R10" s="8">
        <f t="shared" si="6"/>
        <v>5377.6229999999996</v>
      </c>
      <c r="S10" s="8">
        <f t="shared" si="6"/>
        <v>5309.2449999999999</v>
      </c>
      <c r="T10" s="8">
        <f t="shared" si="6"/>
        <v>6230.6180000000004</v>
      </c>
      <c r="U10" s="8">
        <f t="shared" si="6"/>
        <v>5515.34</v>
      </c>
      <c r="V10" s="8">
        <f t="shared" si="6"/>
        <v>5048.5560000000005</v>
      </c>
      <c r="W10" s="8">
        <f>W8+W9</f>
        <v>4363.6639999999998</v>
      </c>
      <c r="X10" s="8">
        <f>X8+X9</f>
        <v>4257.5529999999999</v>
      </c>
      <c r="Y10" s="8">
        <f>Y8+Y9</f>
        <v>3647.1530000000002</v>
      </c>
    </row>
    <row r="11" spans="2:25" x14ac:dyDescent="0.35">
      <c r="B11" s="32" t="s">
        <v>12</v>
      </c>
      <c r="C11" s="28"/>
      <c r="D11" s="28"/>
      <c r="E11" s="28">
        <v>46.911000000000001</v>
      </c>
      <c r="F11" s="28">
        <v>-153.196</v>
      </c>
      <c r="G11" s="28">
        <v>-265.892</v>
      </c>
      <c r="H11" s="28">
        <v>177.97</v>
      </c>
      <c r="I11" s="28">
        <v>-1011.07</v>
      </c>
      <c r="J11" s="28">
        <v>-549.78800000000001</v>
      </c>
      <c r="K11" s="70">
        <v>-390.09100000000001</v>
      </c>
      <c r="L11" s="80">
        <v>52.4</v>
      </c>
      <c r="N11" s="3" t="s">
        <v>38</v>
      </c>
      <c r="O11" s="3"/>
      <c r="P11" s="8">
        <f t="shared" ref="P11:Q11" si="7">P6+P7+P8+SUM(P46:P50)</f>
        <v>0</v>
      </c>
      <c r="Q11" s="8">
        <f t="shared" si="7"/>
        <v>0</v>
      </c>
      <c r="R11" s="8">
        <f>R6+R7+R8+SUM(R46:R50)</f>
        <v>11189.45</v>
      </c>
      <c r="S11" s="8">
        <f t="shared" ref="S11:W11" si="8">S6+S7+S8+SUM(S46:S50)</f>
        <v>12333.904</v>
      </c>
      <c r="T11" s="8">
        <f t="shared" si="8"/>
        <v>13339.810000000001</v>
      </c>
      <c r="U11" s="8">
        <f t="shared" si="8"/>
        <v>13866.651000000002</v>
      </c>
      <c r="V11" s="8">
        <f t="shared" si="8"/>
        <v>15638.025999999998</v>
      </c>
      <c r="W11" s="8">
        <f t="shared" si="8"/>
        <v>14749.691999999999</v>
      </c>
      <c r="X11" s="8">
        <f>X6+X7+X8+SUM(X46:X50)</f>
        <v>14430.584999999999</v>
      </c>
      <c r="Y11" s="8">
        <f>Y6+Y7+Y8+SUM(Y46:Y50)</f>
        <v>14099.409</v>
      </c>
    </row>
    <row r="12" spans="2:25" x14ac:dyDescent="0.35">
      <c r="B12" s="27" t="s">
        <v>13</v>
      </c>
      <c r="C12" s="28"/>
      <c r="D12" s="28"/>
      <c r="E12" s="28">
        <v>1144.8689999999999</v>
      </c>
      <c r="F12" s="28">
        <v>1225.193</v>
      </c>
      <c r="G12" s="28">
        <v>1331.297</v>
      </c>
      <c r="H12" s="28">
        <v>1563.788</v>
      </c>
      <c r="I12" s="28">
        <v>1821.71</v>
      </c>
      <c r="J12" s="28">
        <v>1517.2380000000001</v>
      </c>
      <c r="K12" s="70">
        <v>1611.2180000000001</v>
      </c>
      <c r="L12" s="80">
        <v>887.47699999999998</v>
      </c>
      <c r="N12" s="3" t="s">
        <v>38</v>
      </c>
      <c r="O12" s="3"/>
      <c r="P12" s="8">
        <f t="shared" ref="P12:Q12" si="9">P52-P36-P9</f>
        <v>0</v>
      </c>
      <c r="Q12" s="8">
        <f t="shared" si="9"/>
        <v>0</v>
      </c>
      <c r="R12" s="8">
        <f>R52-R36</f>
        <v>11189.448999999999</v>
      </c>
      <c r="S12" s="8">
        <f t="shared" ref="S12:W12" si="10">S52-S36</f>
        <v>12333.945999999996</v>
      </c>
      <c r="T12" s="8">
        <f t="shared" si="10"/>
        <v>13339.805000000002</v>
      </c>
      <c r="U12" s="8">
        <f t="shared" si="10"/>
        <v>13866.650999999998</v>
      </c>
      <c r="V12" s="8">
        <f t="shared" si="10"/>
        <v>15638.027000000002</v>
      </c>
      <c r="W12" s="8">
        <f t="shared" si="10"/>
        <v>14749.702000000001</v>
      </c>
      <c r="X12" s="8">
        <f>X52-X36</f>
        <v>14430.584999999999</v>
      </c>
      <c r="Y12" s="8">
        <f>Y52-Y36</f>
        <v>14099.409</v>
      </c>
    </row>
    <row r="13" spans="2:25" x14ac:dyDescent="0.35">
      <c r="B13" s="27" t="s">
        <v>14</v>
      </c>
      <c r="C13" s="28"/>
      <c r="D13" s="28"/>
      <c r="E13" s="28">
        <v>3949.7170000000001</v>
      </c>
      <c r="F13" s="28">
        <v>3723.2860000000001</v>
      </c>
      <c r="G13" s="28">
        <v>3656.5079999999998</v>
      </c>
      <c r="H13" s="28">
        <v>5521.5940000000001</v>
      </c>
      <c r="I13" s="28">
        <v>7292.3990000000003</v>
      </c>
      <c r="J13" s="28">
        <v>5587.63</v>
      </c>
      <c r="K13" s="70">
        <f>3125.282+2453.59</f>
        <v>5578.8720000000003</v>
      </c>
      <c r="L13" s="80">
        <f>1579.52+1216.594</f>
        <v>2796.114</v>
      </c>
      <c r="N13" s="27"/>
      <c r="O13" s="27"/>
      <c r="P13" s="28"/>
      <c r="Q13" s="28"/>
      <c r="R13" s="28"/>
      <c r="S13" s="28"/>
      <c r="T13" s="28"/>
      <c r="U13" s="27"/>
      <c r="V13" s="27"/>
      <c r="W13" s="27"/>
      <c r="X13" s="27"/>
      <c r="Y13" s="27"/>
    </row>
    <row r="14" spans="2:25" x14ac:dyDescent="0.35">
      <c r="B14" s="3" t="s">
        <v>15</v>
      </c>
      <c r="C14" s="8">
        <f t="shared" ref="C14:D14" si="11">C4-C7</f>
        <v>13049.145</v>
      </c>
      <c r="D14" s="8">
        <f t="shared" si="11"/>
        <v>12134.073</v>
      </c>
      <c r="E14" s="8">
        <f>E4-E7+SUM(E18:E19)</f>
        <v>1619.1089999999997</v>
      </c>
      <c r="F14" s="8">
        <f t="shared" ref="F14:I14" si="12">F4-F7+SUM(F18:F19)</f>
        <v>1464.6349999999986</v>
      </c>
      <c r="G14" s="8">
        <f t="shared" si="12"/>
        <v>2093.8880000000008</v>
      </c>
      <c r="H14" s="8">
        <f t="shared" si="12"/>
        <v>3248.3700000000008</v>
      </c>
      <c r="I14" s="8">
        <f t="shared" si="12"/>
        <v>4284.868999999996</v>
      </c>
      <c r="J14" s="8">
        <f t="shared" ref="J14" si="13">J4-J7+SUM(J18:J19)</f>
        <v>1755.4070000000033</v>
      </c>
      <c r="K14" s="69">
        <f>K4-K7+SUM(K18:K19)</f>
        <v>1934.4699999999996</v>
      </c>
      <c r="L14" s="8">
        <f>L4-L7+SUM(L18:L19)</f>
        <v>1117.5559999999998</v>
      </c>
      <c r="N14" s="27"/>
      <c r="O14" s="27"/>
      <c r="P14" s="28"/>
      <c r="Q14" s="28"/>
      <c r="R14" s="28"/>
      <c r="S14" s="28"/>
      <c r="T14" s="28"/>
      <c r="U14" s="27"/>
      <c r="V14" s="27"/>
      <c r="W14" s="27"/>
      <c r="X14" s="27"/>
      <c r="Y14" s="27"/>
    </row>
    <row r="15" spans="2:25" x14ac:dyDescent="0.35">
      <c r="B15" s="29" t="s">
        <v>8</v>
      </c>
      <c r="C15" s="30"/>
      <c r="D15" s="30">
        <f t="shared" ref="D15:J15" si="14">D14/C14-1</f>
        <v>-7.012505417021575E-2</v>
      </c>
      <c r="E15" s="30">
        <f t="shared" si="14"/>
        <v>-0.86656508494715667</v>
      </c>
      <c r="F15" s="30">
        <f t="shared" si="14"/>
        <v>-9.5406794724753663E-2</v>
      </c>
      <c r="G15" s="30">
        <f t="shared" si="14"/>
        <v>0.42963127332065865</v>
      </c>
      <c r="H15" s="30">
        <f t="shared" si="14"/>
        <v>0.55135804780389375</v>
      </c>
      <c r="I15" s="30">
        <f t="shared" si="14"/>
        <v>0.3190828015281495</v>
      </c>
      <c r="J15" s="30">
        <f t="shared" si="14"/>
        <v>-0.59032423161594783</v>
      </c>
      <c r="K15" s="68">
        <f>K14/J14-1</f>
        <v>0.10200654321191371</v>
      </c>
      <c r="L15" s="30"/>
      <c r="N15" s="3" t="s">
        <v>39</v>
      </c>
      <c r="O15" s="3"/>
      <c r="P15" s="8">
        <f t="shared" ref="P15:V15" si="15">SUM(P16:P24)</f>
        <v>0</v>
      </c>
      <c r="Q15" s="8">
        <f t="shared" si="15"/>
        <v>0</v>
      </c>
      <c r="R15" s="8">
        <f t="shared" si="15"/>
        <v>15685.525</v>
      </c>
      <c r="S15" s="8">
        <f t="shared" si="15"/>
        <v>14957.929999999998</v>
      </c>
      <c r="T15" s="8">
        <f>SUM(T16:T24)</f>
        <v>14640.6</v>
      </c>
      <c r="U15" s="8">
        <f t="shared" si="15"/>
        <v>13755.349999999999</v>
      </c>
      <c r="V15" s="8">
        <f t="shared" si="15"/>
        <v>13757.041000000001</v>
      </c>
      <c r="W15" s="8">
        <f>SUM(W16:W24)</f>
        <v>13978.824000000001</v>
      </c>
      <c r="X15" s="8">
        <f>SUM(X16:X24)</f>
        <v>13838.464</v>
      </c>
      <c r="Y15" s="8">
        <f>SUM(Y16:Y24)</f>
        <v>13963.386</v>
      </c>
    </row>
    <row r="16" spans="2:25" x14ac:dyDescent="0.35">
      <c r="B16" s="29" t="s">
        <v>9</v>
      </c>
      <c r="C16" s="30"/>
      <c r="D16" s="30"/>
      <c r="E16" s="30"/>
      <c r="F16" s="30">
        <f t="shared" ref="F16:J16" si="16">(F14/C14)^(1/3)-1</f>
        <v>-0.51762760037029598</v>
      </c>
      <c r="G16" s="30">
        <f t="shared" si="16"/>
        <v>-0.44326445717226015</v>
      </c>
      <c r="H16" s="30">
        <f t="shared" si="16"/>
        <v>0.26123631806438374</v>
      </c>
      <c r="I16" s="30">
        <f t="shared" si="16"/>
        <v>0.43021956110065962</v>
      </c>
      <c r="J16" s="30">
        <f t="shared" si="16"/>
        <v>-5.7080119206701196E-2</v>
      </c>
      <c r="K16" s="68">
        <f>(K14/H14)^(1/3)-1</f>
        <v>-0.15867169023763061</v>
      </c>
      <c r="L16" s="30"/>
      <c r="N16" s="27" t="s">
        <v>40</v>
      </c>
      <c r="O16" s="27">
        <v>3313.2420000000002</v>
      </c>
      <c r="P16" s="9"/>
      <c r="Q16" s="9"/>
      <c r="R16" s="9">
        <v>15338.843000000001</v>
      </c>
      <c r="S16" s="9">
        <v>14669.885</v>
      </c>
      <c r="T16" s="28">
        <v>13962.401</v>
      </c>
      <c r="U16" s="28">
        <v>13386.1</v>
      </c>
      <c r="V16" s="28">
        <v>12839.306</v>
      </c>
      <c r="W16" s="94">
        <v>13005.282999999999</v>
      </c>
      <c r="X16" s="94">
        <v>12608.403</v>
      </c>
      <c r="Y16" s="94">
        <v>13094.915000000001</v>
      </c>
    </row>
    <row r="17" spans="2:25" x14ac:dyDescent="0.35">
      <c r="B17" s="3" t="s">
        <v>16</v>
      </c>
      <c r="C17" s="4">
        <f t="shared" ref="C17:G17" si="17">C14/C4</f>
        <v>1</v>
      </c>
      <c r="D17" s="4">
        <f t="shared" si="17"/>
        <v>1</v>
      </c>
      <c r="E17" s="4">
        <f t="shared" si="17"/>
        <v>0.11968558591722954</v>
      </c>
      <c r="F17" s="4">
        <f t="shared" si="17"/>
        <v>0.11466856675076213</v>
      </c>
      <c r="G17" s="4">
        <f t="shared" si="17"/>
        <v>0.14299957446131389</v>
      </c>
      <c r="H17" s="4">
        <f t="shared" ref="H17" si="18">H14/H4</f>
        <v>0.13233078112301333</v>
      </c>
      <c r="I17" s="4">
        <f t="shared" ref="I17:J17" si="19">I14/I4</f>
        <v>0.1626879730007921</v>
      </c>
      <c r="J17" s="4">
        <f t="shared" si="19"/>
        <v>9.3792293589118905E-2</v>
      </c>
      <c r="K17" s="71">
        <f>K14/K4</f>
        <v>9.6706900260570244E-2</v>
      </c>
      <c r="L17" s="4">
        <f>L14/L4</f>
        <v>0.11013571292078972</v>
      </c>
      <c r="N17" s="27" t="s">
        <v>41</v>
      </c>
      <c r="O17" s="27"/>
      <c r="P17" s="9"/>
      <c r="Q17" s="9"/>
      <c r="R17" s="27"/>
      <c r="S17" s="10"/>
      <c r="T17" s="9"/>
      <c r="U17" s="28"/>
      <c r="V17" s="28"/>
      <c r="W17" s="27"/>
      <c r="X17" s="27"/>
      <c r="Y17" s="27"/>
    </row>
    <row r="18" spans="2:25" x14ac:dyDescent="0.35">
      <c r="B18" s="27" t="s">
        <v>17</v>
      </c>
      <c r="C18" s="28"/>
      <c r="D18" s="28"/>
      <c r="E18" s="28">
        <v>833.55600000000004</v>
      </c>
      <c r="F18" s="28">
        <v>872.07899999999995</v>
      </c>
      <c r="G18" s="28">
        <v>873.71299999999997</v>
      </c>
      <c r="H18" s="28">
        <v>885.25900000000001</v>
      </c>
      <c r="I18" s="28">
        <v>901.56</v>
      </c>
      <c r="J18" s="28">
        <v>937.92399999999998</v>
      </c>
      <c r="K18" s="70">
        <v>999.27099999999996</v>
      </c>
      <c r="L18" s="80">
        <v>306.12799999999999</v>
      </c>
      <c r="N18" s="27" t="s">
        <v>42</v>
      </c>
      <c r="O18" s="27"/>
      <c r="P18" s="9"/>
      <c r="Q18" s="9"/>
      <c r="R18" s="9">
        <v>70.524000000000001</v>
      </c>
      <c r="S18" s="9">
        <v>124.675</v>
      </c>
      <c r="T18" s="9">
        <v>38.11</v>
      </c>
      <c r="U18" s="28">
        <v>80.953999999999994</v>
      </c>
      <c r="V18" s="28">
        <v>596.54399999999998</v>
      </c>
      <c r="W18" s="36">
        <v>410.387</v>
      </c>
      <c r="X18" s="36">
        <v>563.41499999999996</v>
      </c>
      <c r="Y18" s="36">
        <v>102.697</v>
      </c>
    </row>
    <row r="19" spans="2:25" x14ac:dyDescent="0.35">
      <c r="B19" s="27" t="s">
        <v>18</v>
      </c>
      <c r="C19" s="28"/>
      <c r="D19" s="28"/>
      <c r="E19" s="28">
        <v>1040.269</v>
      </c>
      <c r="F19" s="28">
        <v>1074.527</v>
      </c>
      <c r="G19" s="28">
        <v>1196.7429999999999</v>
      </c>
      <c r="H19" s="28">
        <v>1130.7149999999999</v>
      </c>
      <c r="I19" s="28">
        <v>1261.1500000000001</v>
      </c>
      <c r="J19" s="28">
        <v>735.07299999999998</v>
      </c>
      <c r="K19" s="70">
        <v>672.43299999999999</v>
      </c>
      <c r="L19" s="80">
        <v>510.75</v>
      </c>
      <c r="N19" s="27" t="s">
        <v>68</v>
      </c>
      <c r="O19" s="27"/>
      <c r="P19" s="28"/>
      <c r="Q19" s="28"/>
      <c r="R19" s="28"/>
      <c r="S19" s="28"/>
      <c r="T19" s="28">
        <v>106.77500000000001</v>
      </c>
      <c r="U19" s="28">
        <v>134.57599999999999</v>
      </c>
      <c r="V19" s="28">
        <v>121.157</v>
      </c>
      <c r="W19" s="36">
        <v>109.904</v>
      </c>
      <c r="X19" s="36">
        <v>94.665999999999997</v>
      </c>
      <c r="Y19" s="36">
        <v>229.30199999999999</v>
      </c>
    </row>
    <row r="20" spans="2:25" x14ac:dyDescent="0.35">
      <c r="B20" s="27" t="s">
        <v>19</v>
      </c>
      <c r="C20" s="28"/>
      <c r="D20" s="28"/>
      <c r="E20" s="28">
        <v>36.07</v>
      </c>
      <c r="F20" s="28">
        <v>85.387</v>
      </c>
      <c r="G20" s="28">
        <v>113.319</v>
      </c>
      <c r="H20" s="28">
        <v>61.021000000000001</v>
      </c>
      <c r="I20" s="28">
        <v>153.22999999999999</v>
      </c>
      <c r="J20" s="28">
        <v>182.52799999999999</v>
      </c>
      <c r="K20" s="70">
        <v>230.864</v>
      </c>
      <c r="L20" s="80">
        <v>86.484999999999999</v>
      </c>
      <c r="N20" s="27" t="s">
        <v>43</v>
      </c>
      <c r="O20" s="27"/>
      <c r="P20" s="28"/>
      <c r="Q20" s="28"/>
      <c r="R20" s="28"/>
      <c r="S20" s="28"/>
      <c r="T20" s="28"/>
      <c r="U20" s="28"/>
      <c r="V20" s="28"/>
      <c r="W20" s="27"/>
      <c r="X20" s="27"/>
      <c r="Y20" s="27"/>
    </row>
    <row r="21" spans="2:25" x14ac:dyDescent="0.35">
      <c r="B21" s="33" t="s">
        <v>111</v>
      </c>
      <c r="H21" s="34">
        <v>139.08000000000001</v>
      </c>
      <c r="I21" s="34">
        <v>468.74599999999998</v>
      </c>
      <c r="J21" s="34">
        <v>-11.521000000000001</v>
      </c>
      <c r="K21" s="72"/>
      <c r="L21" s="80"/>
      <c r="N21" s="35" t="s">
        <v>54</v>
      </c>
      <c r="O21" s="35"/>
      <c r="P21" s="9"/>
      <c r="Q21" s="9"/>
      <c r="R21" s="9">
        <v>58.161999999999999</v>
      </c>
      <c r="S21" s="9">
        <v>73.813999999999993</v>
      </c>
      <c r="T21" s="9"/>
      <c r="U21" s="28"/>
      <c r="V21" s="28"/>
      <c r="W21" s="27"/>
      <c r="X21" s="27"/>
      <c r="Y21" s="27"/>
    </row>
    <row r="22" spans="2:25" x14ac:dyDescent="0.35">
      <c r="B22" s="1" t="s">
        <v>20</v>
      </c>
      <c r="C22" s="7"/>
      <c r="D22" s="7"/>
      <c r="E22" s="7">
        <f>E14+E20-SUM(E18:E19)</f>
        <v>-218.64600000000041</v>
      </c>
      <c r="F22" s="7">
        <f>F14+F20-SUM(F18:F19)</f>
        <v>-396.58400000000142</v>
      </c>
      <c r="G22" s="7">
        <f>G14+G20-SUM(G18:G19)</f>
        <v>136.75100000000066</v>
      </c>
      <c r="H22" s="7">
        <f>H14+H20-SUM(H18:H19)+H21</f>
        <v>1432.497000000001</v>
      </c>
      <c r="I22" s="7">
        <f>I14+I20-SUM(I18:I19)+I21</f>
        <v>2744.1349999999957</v>
      </c>
      <c r="J22" s="7">
        <f>J14+J20-SUM(J18:J19)+J21</f>
        <v>253.4170000000035</v>
      </c>
      <c r="K22" s="67">
        <f>K14+K20-SUM(K18:K19)+K21</f>
        <v>493.62999999999943</v>
      </c>
      <c r="L22" s="61">
        <f>L14+L20-SUM(L18:L19)+L21</f>
        <v>387.16299999999978</v>
      </c>
      <c r="N22" s="35" t="s">
        <v>112</v>
      </c>
      <c r="O22" s="35"/>
      <c r="P22" s="10"/>
      <c r="Q22" s="9"/>
      <c r="R22" s="9">
        <v>0.61399999999999999</v>
      </c>
      <c r="S22" s="9">
        <v>41.649000000000001</v>
      </c>
      <c r="T22" s="9">
        <v>479.53899999999999</v>
      </c>
      <c r="U22" s="28">
        <v>96.186999999999998</v>
      </c>
      <c r="V22" s="28">
        <v>112.60899999999999</v>
      </c>
      <c r="W22" s="36">
        <v>328.56599999999997</v>
      </c>
      <c r="X22" s="36">
        <f>195.436+174.961</f>
        <v>370.39700000000005</v>
      </c>
      <c r="Y22" s="36">
        <f>195.436+172.051</f>
        <v>367.48699999999997</v>
      </c>
    </row>
    <row r="23" spans="2:25" x14ac:dyDescent="0.35">
      <c r="B23" s="27" t="s">
        <v>21</v>
      </c>
      <c r="C23" s="28"/>
      <c r="D23" s="28"/>
      <c r="E23" s="28">
        <v>-175.947</v>
      </c>
      <c r="F23" s="28">
        <v>-128.96799999999999</v>
      </c>
      <c r="G23" s="28">
        <v>98.82</v>
      </c>
      <c r="H23" s="28">
        <v>357.435</v>
      </c>
      <c r="I23" s="28">
        <v>824.34</v>
      </c>
      <c r="J23" s="28">
        <v>96.820999999999998</v>
      </c>
      <c r="K23" s="70">
        <v>190.78899999999999</v>
      </c>
      <c r="L23" s="80">
        <v>135.20099999999999</v>
      </c>
      <c r="N23" s="27" t="s">
        <v>114</v>
      </c>
      <c r="O23" s="27"/>
      <c r="P23" s="27"/>
      <c r="Q23" s="27"/>
      <c r="R23" s="27"/>
      <c r="S23" s="9">
        <v>14.669</v>
      </c>
      <c r="T23" s="9">
        <v>13.785</v>
      </c>
      <c r="U23" s="27"/>
      <c r="V23" s="28">
        <v>9.7970000000000006</v>
      </c>
      <c r="W23" s="36">
        <v>93.08</v>
      </c>
      <c r="X23" s="36">
        <v>94.405000000000001</v>
      </c>
      <c r="Y23" s="36">
        <v>74.724000000000004</v>
      </c>
    </row>
    <row r="24" spans="2:25" x14ac:dyDescent="0.35">
      <c r="B24" s="3" t="s">
        <v>22</v>
      </c>
      <c r="C24" s="8">
        <f t="shared" ref="C24:H24" si="20">C22-C23</f>
        <v>0</v>
      </c>
      <c r="D24" s="8">
        <f t="shared" si="20"/>
        <v>0</v>
      </c>
      <c r="E24" s="8">
        <f t="shared" si="20"/>
        <v>-42.69900000000041</v>
      </c>
      <c r="F24" s="8">
        <f t="shared" si="20"/>
        <v>-267.61600000000146</v>
      </c>
      <c r="G24" s="8">
        <f t="shared" si="20"/>
        <v>37.931000000000665</v>
      </c>
      <c r="H24" s="8">
        <f t="shared" si="20"/>
        <v>1075.062000000001</v>
      </c>
      <c r="I24" s="8">
        <f t="shared" ref="I24:J24" si="21">I22-I23</f>
        <v>1919.7949999999955</v>
      </c>
      <c r="J24" s="8">
        <f t="shared" si="21"/>
        <v>156.5960000000035</v>
      </c>
      <c r="K24" s="69">
        <f>K22-K23</f>
        <v>302.84099999999944</v>
      </c>
      <c r="L24" s="8">
        <f>L22-L23</f>
        <v>251.96199999999979</v>
      </c>
      <c r="N24" s="27" t="s">
        <v>44</v>
      </c>
      <c r="O24" s="27"/>
      <c r="P24" s="9"/>
      <c r="Q24" s="9"/>
      <c r="R24" s="9">
        <v>217.38200000000001</v>
      </c>
      <c r="S24" s="9">
        <v>33.238</v>
      </c>
      <c r="T24" s="9">
        <v>39.99</v>
      </c>
      <c r="U24" s="28">
        <v>57.533000000000001</v>
      </c>
      <c r="V24" s="28">
        <v>77.628</v>
      </c>
      <c r="W24" s="36">
        <v>31.603999999999999</v>
      </c>
      <c r="X24" s="36">
        <v>107.178</v>
      </c>
      <c r="Y24" s="36">
        <v>94.260999999999996</v>
      </c>
    </row>
    <row r="25" spans="2:25" x14ac:dyDescent="0.35">
      <c r="B25" s="29" t="s">
        <v>8</v>
      </c>
      <c r="C25" s="30"/>
      <c r="D25" s="30" t="e">
        <f t="shared" ref="D25:J25" si="22">D24/C24-1</f>
        <v>#DIV/0!</v>
      </c>
      <c r="E25" s="30"/>
      <c r="F25" s="30">
        <f t="shared" si="22"/>
        <v>5.2675004098456375</v>
      </c>
      <c r="G25" s="30">
        <f t="shared" si="22"/>
        <v>-1.1417366674638305</v>
      </c>
      <c r="H25" s="30">
        <f t="shared" si="22"/>
        <v>27.34256940233535</v>
      </c>
      <c r="I25" s="30">
        <f t="shared" si="22"/>
        <v>0.78575282169771943</v>
      </c>
      <c r="J25" s="30">
        <f t="shared" si="22"/>
        <v>-0.91843087412978786</v>
      </c>
      <c r="K25" s="68">
        <f>K24/J24-1</f>
        <v>0.933899971902173</v>
      </c>
      <c r="L25" s="30"/>
      <c r="N25" s="3" t="s">
        <v>45</v>
      </c>
      <c r="O25" s="3"/>
      <c r="P25" s="8">
        <f>SUM(P26:P35)</f>
        <v>0</v>
      </c>
      <c r="Q25" s="8">
        <f>SUM(Q26:Q35)</f>
        <v>0</v>
      </c>
      <c r="R25" s="8">
        <f t="shared" ref="R25:W25" si="23">SUM(R26:R35)</f>
        <v>2501.2570000000001</v>
      </c>
      <c r="S25" s="8">
        <f t="shared" si="23"/>
        <v>3378.6459999999997</v>
      </c>
      <c r="T25" s="8">
        <f t="shared" si="23"/>
        <v>4111.8189999999995</v>
      </c>
      <c r="U25" s="8">
        <f t="shared" si="23"/>
        <v>5277.2110000000002</v>
      </c>
      <c r="V25" s="8">
        <f t="shared" si="23"/>
        <v>6876.2340000000013</v>
      </c>
      <c r="W25" s="8">
        <f t="shared" si="23"/>
        <v>6906.6260000000002</v>
      </c>
      <c r="X25" s="8">
        <f t="shared" ref="X25:Y25" si="24">SUM(X26:X35)</f>
        <v>7941.39</v>
      </c>
      <c r="Y25" s="8">
        <f t="shared" si="24"/>
        <v>8144.4169999999995</v>
      </c>
    </row>
    <row r="26" spans="2:25" x14ac:dyDescent="0.35">
      <c r="B26" s="29" t="s">
        <v>9</v>
      </c>
      <c r="C26" s="30"/>
      <c r="D26" s="30"/>
      <c r="E26" s="30"/>
      <c r="F26" s="30"/>
      <c r="G26" s="30"/>
      <c r="H26" s="30">
        <f>(H24/G24)^(1/3)-1</f>
        <v>2.0489226474347606</v>
      </c>
      <c r="I26" s="30">
        <f>(I24/F24)^(1/3)-1</f>
        <v>-2.9286241192266083</v>
      </c>
      <c r="J26" s="30">
        <f>(J24/G24)^(1/3)-1</f>
        <v>0.60421334212570654</v>
      </c>
      <c r="K26" s="68">
        <f>(K24/H24)^(1/3)-1</f>
        <v>-0.34446826662521279</v>
      </c>
      <c r="L26" s="30"/>
      <c r="N26" s="27" t="s">
        <v>46</v>
      </c>
      <c r="O26" s="36">
        <v>1814.442</v>
      </c>
      <c r="P26" s="10"/>
      <c r="Q26" s="10"/>
      <c r="R26" s="10">
        <v>1223.1279999999999</v>
      </c>
      <c r="S26" s="10">
        <v>1770.1590000000001</v>
      </c>
      <c r="T26" s="9">
        <v>1690.877</v>
      </c>
      <c r="U26" s="94">
        <v>2470.88</v>
      </c>
      <c r="V26" s="94">
        <v>3446.2249999999999</v>
      </c>
      <c r="W26" s="94">
        <v>3765.3760000000002</v>
      </c>
      <c r="X26" s="94">
        <v>4275.83</v>
      </c>
      <c r="Y26" s="94">
        <v>4215.0259999999998</v>
      </c>
    </row>
    <row r="27" spans="2:25" x14ac:dyDescent="0.35">
      <c r="B27" s="3" t="s">
        <v>23</v>
      </c>
      <c r="C27" s="4">
        <f t="shared" ref="C27:H27" si="25">C24/C4</f>
        <v>0</v>
      </c>
      <c r="D27" s="4">
        <f t="shared" si="25"/>
        <v>0</v>
      </c>
      <c r="E27" s="4">
        <f t="shared" si="25"/>
        <v>-3.1563377345687252E-3</v>
      </c>
      <c r="F27" s="4">
        <f t="shared" si="25"/>
        <v>-2.0952075540712982E-2</v>
      </c>
      <c r="G27" s="4">
        <f t="shared" si="25"/>
        <v>2.5904522395143346E-3</v>
      </c>
      <c r="H27" s="4">
        <f t="shared" si="25"/>
        <v>4.3795440241003659E-2</v>
      </c>
      <c r="I27" s="4">
        <f t="shared" ref="I27:J27" si="26">I24/I4</f>
        <v>7.289080649304687E-2</v>
      </c>
      <c r="J27" s="4">
        <f t="shared" si="26"/>
        <v>8.3670043510604454E-3</v>
      </c>
      <c r="K27" s="71">
        <f>K24/K4</f>
        <v>1.5139451313182064E-2</v>
      </c>
      <c r="L27" s="4">
        <f>L24/L4</f>
        <v>2.4830983412865215E-2</v>
      </c>
      <c r="N27" s="27" t="s">
        <v>43</v>
      </c>
      <c r="O27" s="27"/>
      <c r="P27" s="28"/>
      <c r="Q27" s="28"/>
      <c r="R27" s="28"/>
      <c r="S27" s="28"/>
      <c r="T27" s="28"/>
      <c r="U27" s="27"/>
      <c r="V27" s="36"/>
      <c r="W27" s="27"/>
      <c r="X27" s="27"/>
      <c r="Y27" s="27"/>
    </row>
    <row r="28" spans="2:25" x14ac:dyDescent="0.35">
      <c r="B28" s="27" t="s">
        <v>24</v>
      </c>
      <c r="C28" s="37"/>
      <c r="D28" s="37"/>
      <c r="E28" s="37">
        <v>6.923</v>
      </c>
      <c r="F28" s="37">
        <v>9.66</v>
      </c>
      <c r="G28" s="37">
        <v>3.09</v>
      </c>
      <c r="H28" s="27">
        <v>-3.8519999999999999</v>
      </c>
      <c r="I28" s="27">
        <v>-41.17</v>
      </c>
      <c r="J28" s="36">
        <v>-1.827</v>
      </c>
      <c r="K28" s="73">
        <v>-5.694</v>
      </c>
      <c r="L28" s="81">
        <v>0</v>
      </c>
      <c r="N28" s="27" t="s">
        <v>121</v>
      </c>
      <c r="O28" s="27"/>
      <c r="P28" s="28"/>
      <c r="Q28" s="28"/>
      <c r="R28" s="28"/>
      <c r="S28" s="28"/>
      <c r="T28" s="28" t="s">
        <v>108</v>
      </c>
      <c r="U28" s="27"/>
      <c r="V28" s="36"/>
      <c r="W28" s="27">
        <v>1.575</v>
      </c>
      <c r="X28" s="27">
        <v>69.88</v>
      </c>
      <c r="Y28" s="36">
        <v>29.402000000000001</v>
      </c>
    </row>
    <row r="29" spans="2:25" x14ac:dyDescent="0.35">
      <c r="B29" s="3" t="s">
        <v>25</v>
      </c>
      <c r="C29" s="8">
        <f t="shared" ref="C29:H29" si="27">SUM(C24+C28)</f>
        <v>0</v>
      </c>
      <c r="D29" s="8">
        <f t="shared" si="27"/>
        <v>0</v>
      </c>
      <c r="E29" s="8">
        <f t="shared" si="27"/>
        <v>-35.776000000000408</v>
      </c>
      <c r="F29" s="8">
        <f t="shared" si="27"/>
        <v>-257.95600000000144</v>
      </c>
      <c r="G29" s="8">
        <f t="shared" si="27"/>
        <v>41.021000000000669</v>
      </c>
      <c r="H29" s="8">
        <f t="shared" si="27"/>
        <v>1071.2100000000009</v>
      </c>
      <c r="I29" s="8">
        <f t="shared" ref="I29:K29" si="28">SUM(I24+I28)</f>
        <v>1878.6249999999955</v>
      </c>
      <c r="J29" s="8">
        <f t="shared" si="28"/>
        <v>154.7690000000035</v>
      </c>
      <c r="K29" s="69">
        <f t="shared" si="28"/>
        <v>297.14699999999942</v>
      </c>
      <c r="L29" s="8">
        <f>SUM(L24+L28)</f>
        <v>251.96199999999979</v>
      </c>
      <c r="N29" s="38" t="s">
        <v>55</v>
      </c>
      <c r="O29" s="39">
        <v>2811.6170000000002</v>
      </c>
      <c r="P29" s="9"/>
      <c r="Q29" s="9"/>
      <c r="R29" s="9">
        <v>736.92700000000002</v>
      </c>
      <c r="S29" s="9">
        <v>726.75099999999998</v>
      </c>
      <c r="T29" s="9">
        <v>951.99599999999998</v>
      </c>
      <c r="U29" s="94">
        <v>1164.69</v>
      </c>
      <c r="V29" s="94">
        <v>1328.5519999999999</v>
      </c>
      <c r="W29" s="94">
        <v>1142.029</v>
      </c>
      <c r="X29" s="94">
        <v>985.19100000000003</v>
      </c>
      <c r="Y29" s="94">
        <v>1296.3030000000001</v>
      </c>
    </row>
    <row r="30" spans="2:25" x14ac:dyDescent="0.35">
      <c r="B30" s="40" t="s">
        <v>8</v>
      </c>
      <c r="C30" s="29"/>
      <c r="D30" s="30" t="e">
        <f t="shared" ref="D30:J30" si="29">D29/C29-1</f>
        <v>#DIV/0!</v>
      </c>
      <c r="E30" s="30"/>
      <c r="F30" s="30">
        <f t="shared" si="29"/>
        <v>6.2103085867620331</v>
      </c>
      <c r="G30" s="30">
        <f t="shared" si="29"/>
        <v>-1.159023244274219</v>
      </c>
      <c r="H30" s="30">
        <f t="shared" si="29"/>
        <v>25.113697862070243</v>
      </c>
      <c r="I30" s="30">
        <f t="shared" si="29"/>
        <v>0.75374109651701704</v>
      </c>
      <c r="J30" s="30">
        <f t="shared" si="29"/>
        <v>-0.91761580943509014</v>
      </c>
      <c r="K30" s="68">
        <f>K29/J29-1</f>
        <v>0.91993874742353254</v>
      </c>
      <c r="L30" s="30"/>
      <c r="N30" s="38" t="s">
        <v>56</v>
      </c>
      <c r="O30" s="38"/>
      <c r="P30" s="9"/>
      <c r="Q30" s="9"/>
      <c r="R30" s="9">
        <v>11.536</v>
      </c>
      <c r="S30" s="9">
        <v>87.001000000000005</v>
      </c>
      <c r="T30" s="9">
        <v>500.05</v>
      </c>
      <c r="U30" s="27">
        <v>876.69</v>
      </c>
      <c r="V30" s="18">
        <v>99.144000000000005</v>
      </c>
      <c r="W30" s="36">
        <v>107.21599999999999</v>
      </c>
      <c r="X30" s="36">
        <v>113.08199999999999</v>
      </c>
      <c r="Y30" s="36">
        <v>156.548</v>
      </c>
    </row>
    <row r="31" spans="2:25" x14ac:dyDescent="0.35">
      <c r="B31" s="40" t="s">
        <v>26</v>
      </c>
      <c r="C31" s="29"/>
      <c r="D31" s="29"/>
      <c r="E31" s="29"/>
      <c r="F31" s="30"/>
      <c r="G31" s="30"/>
      <c r="H31" s="30">
        <f t="shared" ref="H31:J31" si="30">(H29/E29)^(1/3)-1</f>
        <v>-4.1052336144661314</v>
      </c>
      <c r="I31" s="30">
        <f t="shared" si="30"/>
        <v>-2.9383468278016216</v>
      </c>
      <c r="J31" s="30">
        <f t="shared" si="30"/>
        <v>0.55677522354633013</v>
      </c>
      <c r="K31" s="68">
        <f>(K29/H29)^(1/3)-1</f>
        <v>-0.34782285201956231</v>
      </c>
      <c r="L31" s="30"/>
      <c r="N31" s="38" t="s">
        <v>57</v>
      </c>
      <c r="O31" s="38"/>
      <c r="P31" s="10"/>
      <c r="Q31" s="9"/>
      <c r="R31" s="9">
        <v>157.22800000000001</v>
      </c>
      <c r="S31" s="9">
        <v>414.69799999999998</v>
      </c>
      <c r="T31" s="9">
        <v>724.48800000000006</v>
      </c>
      <c r="U31" s="27">
        <v>247.73500000000001</v>
      </c>
      <c r="V31" s="93">
        <v>1584.8150000000001</v>
      </c>
      <c r="W31" s="94">
        <v>1587.3610000000001</v>
      </c>
      <c r="X31" s="94">
        <v>2037.836</v>
      </c>
      <c r="Y31" s="94">
        <v>1936.6379999999999</v>
      </c>
    </row>
    <row r="32" spans="2:25" x14ac:dyDescent="0.35">
      <c r="B32" s="27"/>
      <c r="C32" s="27"/>
      <c r="D32" s="27"/>
      <c r="E32" s="27"/>
      <c r="F32" s="27"/>
      <c r="G32" s="27"/>
      <c r="H32" s="27"/>
      <c r="I32" s="27"/>
      <c r="J32" s="27"/>
      <c r="K32" s="74"/>
      <c r="L32" s="82"/>
      <c r="N32" s="27" t="s">
        <v>58</v>
      </c>
      <c r="O32" s="27"/>
      <c r="P32" s="10"/>
      <c r="Q32" s="9"/>
      <c r="R32" s="9">
        <v>156.35</v>
      </c>
      <c r="S32" s="9">
        <v>16.431000000000001</v>
      </c>
      <c r="T32" s="9">
        <v>11.986000000000001</v>
      </c>
      <c r="U32" s="27">
        <v>11.058</v>
      </c>
      <c r="V32" s="36">
        <v>12.234</v>
      </c>
      <c r="W32" s="36">
        <v>13.371</v>
      </c>
      <c r="X32" s="36">
        <v>7.7759999999999998</v>
      </c>
      <c r="Y32" s="36">
        <v>16.233000000000001</v>
      </c>
    </row>
    <row r="33" spans="2:27" x14ac:dyDescent="0.35">
      <c r="B33" s="3" t="s">
        <v>27</v>
      </c>
      <c r="C33" s="5"/>
      <c r="D33" s="5"/>
      <c r="E33" s="5">
        <v>-0.19</v>
      </c>
      <c r="F33" s="5">
        <v>-1.1200000000000001</v>
      </c>
      <c r="G33" s="6">
        <v>0.15</v>
      </c>
      <c r="H33" s="6">
        <v>3.78</v>
      </c>
      <c r="I33" s="6">
        <v>6.5</v>
      </c>
      <c r="J33" s="6">
        <v>0.53</v>
      </c>
      <c r="K33" s="75">
        <v>1.03</v>
      </c>
      <c r="L33" s="6">
        <v>0.85</v>
      </c>
      <c r="N33" s="38" t="s">
        <v>59</v>
      </c>
      <c r="O33" s="38"/>
      <c r="P33" s="9"/>
      <c r="Q33" s="9"/>
      <c r="R33" s="9"/>
      <c r="S33" s="9" t="s">
        <v>108</v>
      </c>
      <c r="T33" s="9" t="s">
        <v>108</v>
      </c>
      <c r="U33" s="27"/>
      <c r="V33" s="36"/>
      <c r="W33" s="27"/>
      <c r="X33" s="27"/>
      <c r="Y33" s="27"/>
      <c r="AA33" s="51"/>
    </row>
    <row r="34" spans="2:27" x14ac:dyDescent="0.35">
      <c r="B34" s="29" t="s">
        <v>8</v>
      </c>
      <c r="C34" s="30"/>
      <c r="D34" s="30" t="e">
        <f t="shared" ref="D34:J34" si="31">D33/C33-1</f>
        <v>#DIV/0!</v>
      </c>
      <c r="E34" s="30"/>
      <c r="F34" s="30">
        <f t="shared" si="31"/>
        <v>4.8947368421052637</v>
      </c>
      <c r="G34" s="30">
        <f t="shared" si="31"/>
        <v>-1.1339285714285714</v>
      </c>
      <c r="H34" s="30">
        <f t="shared" si="31"/>
        <v>24.2</v>
      </c>
      <c r="I34" s="30">
        <f t="shared" si="31"/>
        <v>0.71957671957671976</v>
      </c>
      <c r="J34" s="30">
        <f t="shared" si="31"/>
        <v>-0.91846153846153844</v>
      </c>
      <c r="K34" s="68">
        <f>K33/J33-1</f>
        <v>0.94339622641509435</v>
      </c>
      <c r="L34" s="30"/>
      <c r="N34" s="27" t="s">
        <v>60</v>
      </c>
      <c r="O34" s="27"/>
      <c r="P34" s="28"/>
      <c r="Q34" s="28"/>
      <c r="R34" s="28" t="s">
        <v>108</v>
      </c>
      <c r="S34" s="28" t="s">
        <v>108</v>
      </c>
      <c r="T34" s="28" t="s">
        <v>108</v>
      </c>
      <c r="U34" s="27"/>
      <c r="V34" s="36"/>
      <c r="W34" s="27"/>
      <c r="X34" s="27"/>
      <c r="Y34" s="27"/>
    </row>
    <row r="35" spans="2:27" x14ac:dyDescent="0.35">
      <c r="B35" s="29" t="s">
        <v>9</v>
      </c>
      <c r="C35" s="30"/>
      <c r="D35" s="30"/>
      <c r="E35" s="30"/>
      <c r="F35" s="30"/>
      <c r="G35" s="30"/>
      <c r="H35" s="30">
        <f t="shared" ref="H35:J35" si="32">(H33/E33)^(1/3)-1</f>
        <v>-3.7096471012858085</v>
      </c>
      <c r="I35" s="30">
        <f t="shared" si="32"/>
        <v>-2.7970704846282937</v>
      </c>
      <c r="J35" s="30">
        <f t="shared" si="32"/>
        <v>0.52309924735115598</v>
      </c>
      <c r="K35" s="68">
        <f>(K33/H33)^(1/3)-1</f>
        <v>-0.35169136177420979</v>
      </c>
      <c r="L35" s="30"/>
      <c r="N35" s="27" t="s">
        <v>61</v>
      </c>
      <c r="O35" s="27"/>
      <c r="P35" s="28"/>
      <c r="Q35" s="28"/>
      <c r="R35" s="28">
        <v>216.08799999999999</v>
      </c>
      <c r="S35" s="28">
        <v>363.60599999999999</v>
      </c>
      <c r="T35" s="28">
        <v>232.422</v>
      </c>
      <c r="U35" s="27">
        <v>506.15800000000002</v>
      </c>
      <c r="V35" s="36">
        <v>405.26400000000001</v>
      </c>
      <c r="W35" s="36">
        <v>289.69799999999998</v>
      </c>
      <c r="X35" s="36">
        <v>451.79500000000002</v>
      </c>
      <c r="Y35" s="36">
        <v>494.267</v>
      </c>
    </row>
    <row r="36" spans="2:27" x14ac:dyDescent="0.35">
      <c r="L36" s="82"/>
      <c r="N36" s="3" t="s">
        <v>47</v>
      </c>
      <c r="O36" s="3"/>
      <c r="P36" s="8">
        <f>SUM(P38:P44)</f>
        <v>0</v>
      </c>
      <c r="Q36" s="8">
        <f>SUM(Q38:Q44)</f>
        <v>0</v>
      </c>
      <c r="R36" s="8">
        <f t="shared" ref="R36:V36" si="33">SUM(R38:R44)+R9</f>
        <v>6997.3330000000005</v>
      </c>
      <c r="S36" s="8">
        <f t="shared" si="33"/>
        <v>6002.63</v>
      </c>
      <c r="T36" s="8">
        <f t="shared" si="33"/>
        <v>5412.6139999999996</v>
      </c>
      <c r="U36" s="8">
        <f t="shared" si="33"/>
        <v>5165.91</v>
      </c>
      <c r="V36" s="8">
        <f t="shared" si="33"/>
        <v>4995.2479999999996</v>
      </c>
      <c r="W36" s="8">
        <f>SUM(W38:W44)+W9</f>
        <v>6135.7479999999996</v>
      </c>
      <c r="X36" s="8">
        <f>SUM(X38:X44)+X9</f>
        <v>7349.2689999999993</v>
      </c>
      <c r="Y36" s="8">
        <f>SUM(Y38:Y44)+Y9</f>
        <v>8008.3940000000002</v>
      </c>
    </row>
    <row r="37" spans="2:27" ht="14.15" customHeight="1" x14ac:dyDescent="0.35">
      <c r="B37" s="1" t="s">
        <v>71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107</v>
      </c>
      <c r="I37" s="2" t="s">
        <v>110</v>
      </c>
      <c r="J37" s="2" t="s">
        <v>123</v>
      </c>
      <c r="K37" s="76" t="s">
        <v>126</v>
      </c>
      <c r="L37" s="65" t="s">
        <v>127</v>
      </c>
      <c r="N37" s="27" t="s">
        <v>64</v>
      </c>
      <c r="O37" s="27"/>
      <c r="P37" s="28"/>
      <c r="Q37" s="28"/>
      <c r="R37" s="28"/>
      <c r="S37" s="28"/>
      <c r="T37" s="28"/>
      <c r="U37" s="27"/>
      <c r="V37" s="27"/>
      <c r="W37" s="27"/>
      <c r="X37" s="27"/>
      <c r="Y37" s="27"/>
    </row>
    <row r="38" spans="2:27" ht="14.25" customHeight="1" x14ac:dyDescent="0.35">
      <c r="B38" s="41" t="s">
        <v>72</v>
      </c>
      <c r="C38" s="36"/>
      <c r="D38" s="27"/>
      <c r="E38" s="28">
        <v>11.536</v>
      </c>
      <c r="F38" s="28">
        <v>11.536</v>
      </c>
      <c r="G38" s="28">
        <v>87.001000000000005</v>
      </c>
      <c r="H38" s="36">
        <v>500.05</v>
      </c>
      <c r="I38" s="36">
        <v>876.69</v>
      </c>
      <c r="J38" s="36">
        <f>I43</f>
        <v>99.144999999999982</v>
      </c>
      <c r="K38" s="73">
        <f>J43</f>
        <v>107.2170000000001</v>
      </c>
      <c r="L38" s="36">
        <f>K43</f>
        <v>113.08300000000008</v>
      </c>
      <c r="N38" s="27" t="s">
        <v>65</v>
      </c>
      <c r="O38" s="27">
        <v>4127.42</v>
      </c>
      <c r="P38" s="9"/>
      <c r="Q38" s="9"/>
      <c r="R38" s="9">
        <v>2776.43</v>
      </c>
      <c r="S38" s="9">
        <v>3232.15</v>
      </c>
      <c r="T38" s="9">
        <v>2979.837</v>
      </c>
      <c r="U38" s="94">
        <v>2957.9659999999999</v>
      </c>
      <c r="V38" s="94">
        <v>2749.9290000000001</v>
      </c>
      <c r="W38" s="94">
        <v>3365.89</v>
      </c>
      <c r="X38" s="94">
        <v>3843.0259999999998</v>
      </c>
      <c r="Y38" s="94">
        <f>173.666+3926.778</f>
        <v>4100.4439999999995</v>
      </c>
    </row>
    <row r="39" spans="2:27" x14ac:dyDescent="0.35">
      <c r="B39" s="27" t="s">
        <v>73</v>
      </c>
      <c r="C39" s="28"/>
      <c r="D39" s="28"/>
      <c r="E39" s="28">
        <v>2853.6439999999998</v>
      </c>
      <c r="F39" s="28">
        <v>1695.248</v>
      </c>
      <c r="G39" s="28">
        <v>2176.8939999999998</v>
      </c>
      <c r="H39" s="36">
        <v>1779.596</v>
      </c>
      <c r="I39" s="36">
        <v>2259.06</v>
      </c>
      <c r="J39" s="36">
        <v>2520.9140000000002</v>
      </c>
      <c r="K39" s="73">
        <v>1907.5329999999999</v>
      </c>
      <c r="L39" s="81">
        <v>1300.818</v>
      </c>
      <c r="N39" s="27" t="s">
        <v>66</v>
      </c>
      <c r="O39" s="27"/>
      <c r="P39" s="10"/>
      <c r="Q39" s="9"/>
      <c r="R39" s="9">
        <v>2068.8229999999999</v>
      </c>
      <c r="S39" s="9">
        <v>1262.751</v>
      </c>
      <c r="T39" s="9">
        <v>535.88900000000001</v>
      </c>
      <c r="U39" s="27">
        <v>458.065</v>
      </c>
      <c r="V39" s="36">
        <v>748.76499999999999</v>
      </c>
      <c r="W39" s="36">
        <v>502.72300000000001</v>
      </c>
      <c r="X39" s="36">
        <v>628.73500000000001</v>
      </c>
      <c r="Y39" s="36">
        <v>728.71500000000003</v>
      </c>
    </row>
    <row r="40" spans="2:27" x14ac:dyDescent="0.35">
      <c r="B40" s="27" t="s">
        <v>74</v>
      </c>
      <c r="C40" s="28"/>
      <c r="D40" s="28"/>
      <c r="E40" s="28">
        <v>-449.40800000000002</v>
      </c>
      <c r="F40" s="28">
        <v>-429.82799999999997</v>
      </c>
      <c r="G40" s="28">
        <v>-778.50199999999995</v>
      </c>
      <c r="H40" s="27">
        <v>515.56399999999996</v>
      </c>
      <c r="I40" s="36">
        <v>-1645.5650000000001</v>
      </c>
      <c r="J40" s="36">
        <v>-986.28200000000004</v>
      </c>
      <c r="K40" s="73">
        <v>-1122.0999999999999</v>
      </c>
      <c r="L40" s="81">
        <v>-325.61399999999998</v>
      </c>
      <c r="N40" s="27" t="s">
        <v>70</v>
      </c>
      <c r="O40" s="27"/>
      <c r="P40" s="28"/>
      <c r="Q40" s="28"/>
      <c r="R40" s="28"/>
      <c r="S40" s="28"/>
      <c r="T40" s="28">
        <v>1.3069999999999999</v>
      </c>
      <c r="U40" s="27">
        <v>13.656000000000001</v>
      </c>
      <c r="V40" s="36">
        <v>17.047999999999998</v>
      </c>
      <c r="W40" s="36">
        <v>13.458</v>
      </c>
      <c r="X40" s="36">
        <v>8.4550000000000001</v>
      </c>
      <c r="Y40" s="36">
        <v>26.803000000000001</v>
      </c>
    </row>
    <row r="41" spans="2:27" x14ac:dyDescent="0.35">
      <c r="B41" s="27" t="s">
        <v>75</v>
      </c>
      <c r="C41" s="28"/>
      <c r="D41" s="28"/>
      <c r="E41" s="28">
        <v>-2439.2449999999999</v>
      </c>
      <c r="F41" s="28">
        <v>-1189.9549999999999</v>
      </c>
      <c r="G41" s="28">
        <v>-985.34299999999996</v>
      </c>
      <c r="H41" s="27">
        <v>-1918.52</v>
      </c>
      <c r="I41" s="27">
        <v>-1391.04</v>
      </c>
      <c r="J41" s="36">
        <v>-1526.56</v>
      </c>
      <c r="K41" s="73">
        <v>-779.56700000000001</v>
      </c>
      <c r="L41" s="81">
        <v>-931.73800000000006</v>
      </c>
      <c r="N41" s="27" t="s">
        <v>48</v>
      </c>
      <c r="O41" s="27"/>
      <c r="P41" s="9"/>
      <c r="Q41" s="9"/>
      <c r="R41" s="9">
        <v>543.346</v>
      </c>
      <c r="S41" s="9">
        <v>824.44799999999998</v>
      </c>
      <c r="T41" s="9">
        <v>836.39300000000003</v>
      </c>
      <c r="U41" s="27">
        <v>559.774</v>
      </c>
      <c r="V41" s="36">
        <v>166.21600000000001</v>
      </c>
      <c r="W41" s="36">
        <v>591.73800000000006</v>
      </c>
      <c r="X41" s="36">
        <v>686.35299999999995</v>
      </c>
      <c r="Y41" s="36">
        <v>820.47</v>
      </c>
    </row>
    <row r="42" spans="2:27" x14ac:dyDescent="0.35">
      <c r="B42" s="1" t="s">
        <v>76</v>
      </c>
      <c r="C42" s="28"/>
      <c r="D42" s="28"/>
      <c r="E42" s="28">
        <f>SUM(E39:E41)</f>
        <v>-35.009000000000015</v>
      </c>
      <c r="F42" s="28">
        <f>SUM(F39:F41)</f>
        <v>75.465000000000146</v>
      </c>
      <c r="G42" s="28">
        <f t="shared" ref="G42:I42" si="34">SUM(G39:G41)</f>
        <v>413.04899999999986</v>
      </c>
      <c r="H42" s="28">
        <f t="shared" si="34"/>
        <v>376.63999999999987</v>
      </c>
      <c r="I42" s="28">
        <f t="shared" si="34"/>
        <v>-777.54500000000007</v>
      </c>
      <c r="J42" s="28">
        <f>SUM(J39:J41)</f>
        <v>8.0720000000001164</v>
      </c>
      <c r="K42" s="70">
        <f>SUM(K39:K41)</f>
        <v>5.8659999999999854</v>
      </c>
      <c r="L42" s="80">
        <v>43.466000000000001</v>
      </c>
      <c r="N42" s="27" t="s">
        <v>49</v>
      </c>
      <c r="O42" s="27"/>
      <c r="P42" s="10"/>
      <c r="Q42" s="9"/>
      <c r="R42" s="9">
        <v>60.515000000000001</v>
      </c>
      <c r="S42" s="9">
        <v>47.146000000000001</v>
      </c>
      <c r="T42" s="9">
        <v>55.94</v>
      </c>
      <c r="U42" s="27">
        <v>68.64</v>
      </c>
      <c r="V42" s="36">
        <v>71.34</v>
      </c>
      <c r="W42" s="36">
        <v>115.351</v>
      </c>
      <c r="X42" s="36">
        <v>101.633</v>
      </c>
      <c r="Y42" s="36">
        <v>101.633</v>
      </c>
    </row>
    <row r="43" spans="2:27" x14ac:dyDescent="0.35">
      <c r="B43" s="3" t="s">
        <v>77</v>
      </c>
      <c r="C43" s="8">
        <f>C38+C42</f>
        <v>0</v>
      </c>
      <c r="D43" s="8">
        <f>D38+D42</f>
        <v>0</v>
      </c>
      <c r="E43" s="8">
        <f>E38-E42</f>
        <v>46.545000000000016</v>
      </c>
      <c r="F43" s="8">
        <f t="shared" ref="F43:L43" si="35">F38+F42</f>
        <v>87.001000000000147</v>
      </c>
      <c r="G43" s="8">
        <f t="shared" si="35"/>
        <v>500.04999999999984</v>
      </c>
      <c r="H43" s="8">
        <f t="shared" si="35"/>
        <v>876.68999999999983</v>
      </c>
      <c r="I43" s="8">
        <f t="shared" si="35"/>
        <v>99.144999999999982</v>
      </c>
      <c r="J43" s="8">
        <f t="shared" si="35"/>
        <v>107.2170000000001</v>
      </c>
      <c r="K43" s="69">
        <f t="shared" si="35"/>
        <v>113.08300000000008</v>
      </c>
      <c r="L43" s="83">
        <f t="shared" si="35"/>
        <v>156.54900000000009</v>
      </c>
      <c r="N43" s="27" t="s">
        <v>114</v>
      </c>
      <c r="O43" s="27"/>
      <c r="P43" s="27"/>
      <c r="Q43" s="27"/>
      <c r="R43" s="27"/>
      <c r="S43" s="27"/>
      <c r="T43" s="27"/>
      <c r="U43" s="27">
        <v>1.587</v>
      </c>
      <c r="V43" s="27" t="s">
        <v>108</v>
      </c>
      <c r="W43" s="27"/>
      <c r="X43" s="27"/>
      <c r="Y43" s="27"/>
    </row>
    <row r="44" spans="2:27" x14ac:dyDescent="0.35">
      <c r="L44" s="85"/>
      <c r="N44" s="27" t="s">
        <v>67</v>
      </c>
      <c r="O44" s="27"/>
      <c r="P44" s="28"/>
      <c r="Q44" s="28"/>
      <c r="R44" s="28">
        <v>6.2729999999999997</v>
      </c>
      <c r="S44" s="28" t="s">
        <v>108</v>
      </c>
      <c r="T44" s="28" t="s">
        <v>108</v>
      </c>
      <c r="U44" s="27" t="s">
        <v>108</v>
      </c>
      <c r="V44" s="36"/>
      <c r="W44" s="27"/>
      <c r="X44" s="27"/>
      <c r="Y44" s="27"/>
    </row>
    <row r="45" spans="2:27" x14ac:dyDescent="0.35">
      <c r="B45" s="11" t="s">
        <v>78</v>
      </c>
      <c r="C45" s="22" t="s">
        <v>2</v>
      </c>
      <c r="D45" s="22" t="s">
        <v>3</v>
      </c>
      <c r="E45" s="22" t="s">
        <v>4</v>
      </c>
      <c r="F45" s="22" t="s">
        <v>5</v>
      </c>
      <c r="G45" s="22" t="s">
        <v>6</v>
      </c>
      <c r="H45" s="22" t="s">
        <v>107</v>
      </c>
      <c r="I45" s="22" t="s">
        <v>110</v>
      </c>
      <c r="J45" s="2" t="s">
        <v>123</v>
      </c>
      <c r="K45" s="76" t="s">
        <v>126</v>
      </c>
      <c r="L45" s="84" t="s">
        <v>127</v>
      </c>
      <c r="N45" s="3" t="s">
        <v>122</v>
      </c>
      <c r="O45" s="3"/>
      <c r="P45" s="3"/>
      <c r="Q45" s="3"/>
      <c r="R45" s="8">
        <f t="shared" ref="R45:V45" si="36">SUM(R46:R50)+R8</f>
        <v>4874.1630000000005</v>
      </c>
      <c r="S45" s="8">
        <f t="shared" si="36"/>
        <v>5555.7999999999993</v>
      </c>
      <c r="T45" s="8">
        <f t="shared" si="36"/>
        <v>6467.8549999999996</v>
      </c>
      <c r="U45" s="8">
        <f t="shared" si="36"/>
        <v>5848.4770000000008</v>
      </c>
      <c r="V45" s="8">
        <f t="shared" si="36"/>
        <v>5387.0660000000007</v>
      </c>
      <c r="W45" s="8">
        <f>SUM(W46:W50)+W8</f>
        <v>4432.509</v>
      </c>
      <c r="X45" s="8">
        <f>SUM(X46:X50)+X8</f>
        <v>4103.67</v>
      </c>
      <c r="Y45" s="8">
        <f>SUM(Y46:Y50)+Y8</f>
        <v>3520.5320000000002</v>
      </c>
    </row>
    <row r="46" spans="2:27" x14ac:dyDescent="0.35">
      <c r="B46" s="11" t="s">
        <v>79</v>
      </c>
      <c r="C46" s="16">
        <f t="shared" ref="C46:I46" si="37">C39</f>
        <v>0</v>
      </c>
      <c r="D46" s="16">
        <f t="shared" si="37"/>
        <v>0</v>
      </c>
      <c r="E46" s="16">
        <f t="shared" si="37"/>
        <v>2853.6439999999998</v>
      </c>
      <c r="F46" s="16">
        <f t="shared" si="37"/>
        <v>1695.248</v>
      </c>
      <c r="G46" s="16">
        <f t="shared" si="37"/>
        <v>2176.8939999999998</v>
      </c>
      <c r="H46" s="16">
        <f t="shared" si="37"/>
        <v>1779.596</v>
      </c>
      <c r="I46" s="16">
        <f t="shared" si="37"/>
        <v>2259.06</v>
      </c>
      <c r="J46" s="16">
        <f>J39</f>
        <v>2520.9140000000002</v>
      </c>
      <c r="K46" s="77">
        <f>K39</f>
        <v>1907.5329999999999</v>
      </c>
      <c r="L46" s="16">
        <f>L39</f>
        <v>1300.818</v>
      </c>
      <c r="N46" s="27" t="s">
        <v>51</v>
      </c>
      <c r="O46" s="27"/>
      <c r="P46" s="9"/>
      <c r="Q46" s="9"/>
      <c r="R46" s="9">
        <v>108</v>
      </c>
      <c r="S46" s="9">
        <v>136.63999999999999</v>
      </c>
      <c r="T46" s="9">
        <v>153.23699999999999</v>
      </c>
      <c r="U46" s="27">
        <v>184.57</v>
      </c>
      <c r="V46" s="27">
        <v>234.85400000000001</v>
      </c>
      <c r="W46" s="36">
        <v>229.77600000000001</v>
      </c>
      <c r="X46" s="36">
        <v>165.99700000000001</v>
      </c>
      <c r="Y46" s="36">
        <v>156.44399999999999</v>
      </c>
    </row>
    <row r="47" spans="2:27" x14ac:dyDescent="0.35">
      <c r="B47" s="12" t="s">
        <v>80</v>
      </c>
      <c r="C47" s="15"/>
      <c r="D47" s="15"/>
      <c r="E47" s="15">
        <v>302.38</v>
      </c>
      <c r="F47" s="15">
        <v>155.46700000000001</v>
      </c>
      <c r="G47" s="15">
        <v>176.94200000000001</v>
      </c>
      <c r="H47" s="15">
        <v>371.43700000000001</v>
      </c>
      <c r="I47" s="26">
        <v>858.03899999999999</v>
      </c>
      <c r="J47" s="26">
        <v>904.69</v>
      </c>
      <c r="K47" s="78">
        <f>764.83-22.757</f>
        <v>742.07300000000009</v>
      </c>
      <c r="L47" s="56">
        <f>547.57-15.306</f>
        <v>532.26400000000001</v>
      </c>
      <c r="N47" s="27" t="s">
        <v>63</v>
      </c>
      <c r="O47" s="27"/>
      <c r="P47" s="9"/>
      <c r="Q47" s="9"/>
      <c r="R47" s="9">
        <v>112.27800000000001</v>
      </c>
      <c r="S47" s="9">
        <v>104.876</v>
      </c>
      <c r="T47" s="9">
        <v>97.948999999999998</v>
      </c>
      <c r="U47" s="27">
        <v>91.021000000000001</v>
      </c>
      <c r="V47" s="36">
        <v>84.093000000000004</v>
      </c>
      <c r="W47" s="36">
        <v>77.165999999999997</v>
      </c>
      <c r="X47" s="36">
        <v>70.238</v>
      </c>
      <c r="Y47" s="36">
        <v>66.774000000000001</v>
      </c>
    </row>
    <row r="48" spans="2:27" x14ac:dyDescent="0.35">
      <c r="B48" s="13" t="s">
        <v>81</v>
      </c>
      <c r="C48" s="17">
        <f t="shared" ref="C48:I48" si="38">C46-C47</f>
        <v>0</v>
      </c>
      <c r="D48" s="17">
        <f t="shared" si="38"/>
        <v>0</v>
      </c>
      <c r="E48" s="17">
        <f t="shared" si="38"/>
        <v>2551.2639999999997</v>
      </c>
      <c r="F48" s="17">
        <f t="shared" si="38"/>
        <v>1539.7809999999999</v>
      </c>
      <c r="G48" s="17">
        <f t="shared" si="38"/>
        <v>1999.9519999999998</v>
      </c>
      <c r="H48" s="17">
        <f t="shared" si="38"/>
        <v>1408.1590000000001</v>
      </c>
      <c r="I48" s="17">
        <f t="shared" si="38"/>
        <v>1401.021</v>
      </c>
      <c r="J48" s="17">
        <f>J46-J47</f>
        <v>1616.2240000000002</v>
      </c>
      <c r="K48" s="79">
        <f>K46-K47</f>
        <v>1165.4599999999998</v>
      </c>
      <c r="L48" s="17">
        <f>L46-L47</f>
        <v>768.55399999999997</v>
      </c>
      <c r="N48" s="27" t="s">
        <v>69</v>
      </c>
      <c r="O48" s="27"/>
      <c r="P48" s="28"/>
      <c r="Q48" s="28"/>
      <c r="R48" s="27"/>
      <c r="S48" s="28"/>
      <c r="T48" s="28">
        <v>9.5609999999999999</v>
      </c>
      <c r="U48" s="36">
        <v>29.102</v>
      </c>
      <c r="V48" s="36">
        <v>17.126000000000001</v>
      </c>
      <c r="W48" s="36">
        <v>12.566000000000001</v>
      </c>
      <c r="X48" s="36">
        <v>6.125</v>
      </c>
      <c r="Y48" s="36">
        <v>127.533</v>
      </c>
    </row>
    <row r="49" spans="2:32" x14ac:dyDescent="0.35">
      <c r="B49" s="25"/>
      <c r="C49" s="23"/>
      <c r="D49" s="23"/>
      <c r="E49" s="23"/>
      <c r="F49" s="23"/>
      <c r="G49" s="23"/>
      <c r="H49" s="23"/>
      <c r="I49" s="23"/>
      <c r="J49" s="23"/>
      <c r="K49" s="23"/>
      <c r="L49" s="62"/>
      <c r="N49" s="27" t="s">
        <v>113</v>
      </c>
      <c r="O49" s="27"/>
      <c r="P49" s="27"/>
      <c r="Q49" s="27"/>
      <c r="R49" s="27">
        <v>154.38399999999999</v>
      </c>
      <c r="S49" s="27">
        <v>101.124</v>
      </c>
      <c r="T49" s="27">
        <v>364.2</v>
      </c>
      <c r="U49" s="27">
        <v>407.5</v>
      </c>
      <c r="V49" s="27">
        <v>200</v>
      </c>
      <c r="W49" s="27">
        <v>200</v>
      </c>
      <c r="X49" s="27">
        <v>200</v>
      </c>
      <c r="Y49" s="36">
        <v>200</v>
      </c>
    </row>
    <row r="50" spans="2:32" x14ac:dyDescent="0.35">
      <c r="B50" s="11" t="s">
        <v>78</v>
      </c>
      <c r="C50" s="22" t="s">
        <v>2</v>
      </c>
      <c r="D50" s="22" t="s">
        <v>3</v>
      </c>
      <c r="E50" s="22" t="s">
        <v>4</v>
      </c>
      <c r="F50" s="22" t="s">
        <v>5</v>
      </c>
      <c r="G50" s="22" t="s">
        <v>6</v>
      </c>
      <c r="H50" s="22" t="s">
        <v>107</v>
      </c>
      <c r="I50" s="22" t="s">
        <v>110</v>
      </c>
      <c r="J50" s="2" t="s">
        <v>123</v>
      </c>
      <c r="K50" s="2" t="s">
        <v>126</v>
      </c>
      <c r="L50" s="65" t="s">
        <v>127</v>
      </c>
      <c r="N50" s="27" t="s">
        <v>62</v>
      </c>
      <c r="O50" s="27"/>
      <c r="P50" s="28"/>
      <c r="Q50" s="28"/>
      <c r="R50" s="28">
        <v>663.82399999999996</v>
      </c>
      <c r="S50" s="28">
        <v>540.04999999999995</v>
      </c>
      <c r="T50" s="28">
        <v>615.53800000000001</v>
      </c>
      <c r="U50" s="27">
        <v>727.16600000000005</v>
      </c>
      <c r="V50" s="94">
        <v>1044.3869999999999</v>
      </c>
      <c r="W50" s="94">
        <v>1095.925</v>
      </c>
      <c r="X50" s="94">
        <v>1484.8240000000001</v>
      </c>
      <c r="Y50" s="94">
        <v>1552.9570000000001</v>
      </c>
    </row>
    <row r="51" spans="2:32" x14ac:dyDescent="0.35">
      <c r="B51" s="27" t="s">
        <v>82</v>
      </c>
      <c r="C51" s="42">
        <v>96501958</v>
      </c>
      <c r="D51" s="42">
        <v>96501958</v>
      </c>
      <c r="E51" s="42">
        <v>220987407</v>
      </c>
      <c r="F51" s="42">
        <v>261030371</v>
      </c>
      <c r="G51" s="42">
        <v>261030371</v>
      </c>
      <c r="H51" s="42">
        <v>261030371</v>
      </c>
      <c r="I51" s="42">
        <v>295155017</v>
      </c>
      <c r="J51" s="42">
        <v>295155017</v>
      </c>
      <c r="K51" s="42">
        <v>295155017</v>
      </c>
      <c r="L51" s="63">
        <v>295155017</v>
      </c>
      <c r="N51" s="3" t="s">
        <v>50</v>
      </c>
      <c r="O51" s="3"/>
      <c r="P51" s="8">
        <f t="shared" ref="P51:U51" si="39">P25-P36</f>
        <v>0</v>
      </c>
      <c r="Q51" s="8">
        <f t="shared" si="39"/>
        <v>0</v>
      </c>
      <c r="R51" s="8">
        <f t="shared" si="39"/>
        <v>-4496.0760000000009</v>
      </c>
      <c r="S51" s="8">
        <f t="shared" si="39"/>
        <v>-2623.9840000000004</v>
      </c>
      <c r="T51" s="8">
        <f t="shared" si="39"/>
        <v>-1300.7950000000001</v>
      </c>
      <c r="U51" s="8">
        <f t="shared" si="39"/>
        <v>111.30100000000039</v>
      </c>
      <c r="V51" s="8">
        <f t="shared" ref="V51" si="40">V25-V36</f>
        <v>1880.9860000000017</v>
      </c>
      <c r="W51" s="8">
        <f>W25-W36</f>
        <v>770.87800000000061</v>
      </c>
      <c r="X51" s="8">
        <f>X25-X36</f>
        <v>592.121000000001</v>
      </c>
      <c r="Y51" s="8">
        <f>Y25-Y36</f>
        <v>136.02299999999923</v>
      </c>
    </row>
    <row r="52" spans="2:32" x14ac:dyDescent="0.35">
      <c r="B52" s="27" t="s">
        <v>83</v>
      </c>
      <c r="C52" s="43">
        <f t="shared" ref="C52:I52" si="41">P64*C51/1000000</f>
        <v>0</v>
      </c>
      <c r="D52" s="43">
        <f t="shared" si="41"/>
        <v>0</v>
      </c>
      <c r="E52" s="43">
        <f t="shared" si="41"/>
        <v>4839.6242132999996</v>
      </c>
      <c r="F52" s="43">
        <f t="shared" si="41"/>
        <v>1908.1320120099999</v>
      </c>
      <c r="G52" s="43">
        <f t="shared" si="41"/>
        <v>6838.9957201999996</v>
      </c>
      <c r="H52" s="43">
        <f t="shared" si="41"/>
        <v>10636.987618249999</v>
      </c>
      <c r="I52" s="43">
        <f t="shared" si="41"/>
        <v>12836.291689330001</v>
      </c>
      <c r="J52" s="52">
        <v>15170.97</v>
      </c>
      <c r="K52" s="52">
        <f>K51*X64/1000000</f>
        <v>22945.351021579998</v>
      </c>
      <c r="L52" s="64">
        <f>L51*Y64/1000000</f>
        <v>20055.783405150003</v>
      </c>
      <c r="N52" s="3" t="s">
        <v>52</v>
      </c>
      <c r="O52" s="3"/>
      <c r="P52" s="8">
        <f t="shared" ref="P52:U52" si="42">SUM(P15+P25)</f>
        <v>0</v>
      </c>
      <c r="Q52" s="8">
        <f t="shared" si="42"/>
        <v>0</v>
      </c>
      <c r="R52" s="8">
        <f t="shared" si="42"/>
        <v>18186.781999999999</v>
      </c>
      <c r="S52" s="8">
        <f t="shared" si="42"/>
        <v>18336.575999999997</v>
      </c>
      <c r="T52" s="8">
        <f t="shared" si="42"/>
        <v>18752.419000000002</v>
      </c>
      <c r="U52" s="8">
        <f t="shared" si="42"/>
        <v>19032.560999999998</v>
      </c>
      <c r="V52" s="8">
        <f t="shared" ref="V52:W52" si="43">SUM(V15+V25)</f>
        <v>20633.275000000001</v>
      </c>
      <c r="W52" s="8">
        <f t="shared" si="43"/>
        <v>20885.45</v>
      </c>
      <c r="X52" s="8">
        <f t="shared" ref="X52:Y52" si="44">SUM(X15+X25)</f>
        <v>21779.853999999999</v>
      </c>
      <c r="Y52" s="8">
        <f t="shared" si="44"/>
        <v>22107.803</v>
      </c>
    </row>
    <row r="53" spans="2:32" x14ac:dyDescent="0.35">
      <c r="B53" s="27" t="s">
        <v>84</v>
      </c>
      <c r="C53" s="44">
        <f t="shared" ref="C53:I53" si="45">P10</f>
        <v>0</v>
      </c>
      <c r="D53" s="44">
        <f t="shared" si="45"/>
        <v>0</v>
      </c>
      <c r="E53" s="44">
        <f t="shared" si="45"/>
        <v>5377.6229999999996</v>
      </c>
      <c r="F53" s="44">
        <f t="shared" si="45"/>
        <v>5309.2449999999999</v>
      </c>
      <c r="G53" s="44">
        <f t="shared" si="45"/>
        <v>6230.6180000000004</v>
      </c>
      <c r="H53" s="44">
        <f t="shared" si="45"/>
        <v>5515.34</v>
      </c>
      <c r="I53" s="44">
        <f t="shared" si="45"/>
        <v>5048.5560000000005</v>
      </c>
      <c r="J53" s="53">
        <f>W10</f>
        <v>4363.6639999999998</v>
      </c>
      <c r="K53" s="53">
        <f>X10</f>
        <v>4257.5529999999999</v>
      </c>
      <c r="L53" s="53">
        <f>Y10</f>
        <v>3647.1530000000002</v>
      </c>
      <c r="N53" s="3" t="s">
        <v>53</v>
      </c>
      <c r="O53" s="3"/>
      <c r="P53" s="8">
        <f>SUM(P36+P6+P46+P47+P48+P50)</f>
        <v>0</v>
      </c>
      <c r="Q53" s="8">
        <f>SUM(Q36+Q6+Q46+Q47+Q48+Q50)</f>
        <v>0</v>
      </c>
      <c r="R53" s="8">
        <f t="shared" ref="R53:W53" si="46">R36+R45+R6</f>
        <v>18186.783000000003</v>
      </c>
      <c r="S53" s="8">
        <f t="shared" si="46"/>
        <v>18336.534</v>
      </c>
      <c r="T53" s="8">
        <f t="shared" si="46"/>
        <v>18752.423999999999</v>
      </c>
      <c r="U53" s="8">
        <f t="shared" si="46"/>
        <v>19032.561000000002</v>
      </c>
      <c r="V53" s="8">
        <f t="shared" si="46"/>
        <v>20633.273999999998</v>
      </c>
      <c r="W53" s="8">
        <f t="shared" si="46"/>
        <v>20885.439999999999</v>
      </c>
      <c r="X53" s="8">
        <f t="shared" ref="X53:Y53" si="47">X36+X45+X6</f>
        <v>21779.853999999999</v>
      </c>
      <c r="Y53" s="8">
        <f t="shared" si="47"/>
        <v>22107.803</v>
      </c>
    </row>
    <row r="54" spans="2:32" x14ac:dyDescent="0.35">
      <c r="B54" s="27" t="s">
        <v>85</v>
      </c>
      <c r="C54" s="36">
        <f t="shared" ref="C54:J55" si="48">P30</f>
        <v>0</v>
      </c>
      <c r="D54" s="36">
        <f t="shared" si="48"/>
        <v>0</v>
      </c>
      <c r="E54" s="36">
        <f t="shared" si="48"/>
        <v>11.536</v>
      </c>
      <c r="F54" s="36">
        <f t="shared" si="48"/>
        <v>87.001000000000005</v>
      </c>
      <c r="G54" s="36">
        <f t="shared" si="48"/>
        <v>500.05</v>
      </c>
      <c r="H54" s="36">
        <f t="shared" si="48"/>
        <v>876.69</v>
      </c>
      <c r="I54" s="36">
        <f t="shared" si="48"/>
        <v>99.144000000000005</v>
      </c>
      <c r="J54" s="36">
        <f>W30</f>
        <v>107.21599999999999</v>
      </c>
      <c r="K54" s="36">
        <f>X30</f>
        <v>113.08199999999999</v>
      </c>
      <c r="L54" s="36">
        <f>Y30</f>
        <v>156.548</v>
      </c>
      <c r="N54" s="3" t="s">
        <v>115</v>
      </c>
      <c r="O54" s="29"/>
      <c r="P54" s="29"/>
      <c r="Q54" s="29"/>
      <c r="R54" s="50">
        <f>R53-R52</f>
        <v>1.0000000038417056E-3</v>
      </c>
      <c r="S54" s="50">
        <f t="shared" ref="S54:W54" si="49">S53-S52</f>
        <v>-4.199999999764259E-2</v>
      </c>
      <c r="T54" s="50">
        <f t="shared" si="49"/>
        <v>4.9999999973806553E-3</v>
      </c>
      <c r="U54" s="50">
        <f t="shared" si="49"/>
        <v>0</v>
      </c>
      <c r="V54" s="50">
        <f t="shared" si="49"/>
        <v>-1.0000000038417056E-3</v>
      </c>
      <c r="W54" s="50">
        <f t="shared" si="49"/>
        <v>-1.0000000002037268E-2</v>
      </c>
      <c r="X54" s="50">
        <f t="shared" ref="X54:Y54" si="50">X53-X52</f>
        <v>0</v>
      </c>
      <c r="Y54" s="50">
        <f t="shared" si="50"/>
        <v>0</v>
      </c>
    </row>
    <row r="55" spans="2:32" x14ac:dyDescent="0.35">
      <c r="B55" s="27" t="s">
        <v>86</v>
      </c>
      <c r="C55" s="36">
        <f t="shared" si="48"/>
        <v>0</v>
      </c>
      <c r="D55" s="36">
        <f t="shared" si="48"/>
        <v>0</v>
      </c>
      <c r="E55" s="36">
        <f t="shared" si="48"/>
        <v>157.22800000000001</v>
      </c>
      <c r="F55" s="36">
        <f t="shared" si="48"/>
        <v>414.69799999999998</v>
      </c>
      <c r="G55" s="36">
        <f t="shared" si="48"/>
        <v>724.48800000000006</v>
      </c>
      <c r="H55" s="36">
        <f t="shared" si="48"/>
        <v>247.73500000000001</v>
      </c>
      <c r="I55" s="36">
        <f t="shared" si="48"/>
        <v>1584.8150000000001</v>
      </c>
      <c r="J55" s="36">
        <f t="shared" si="48"/>
        <v>1587.3610000000001</v>
      </c>
      <c r="K55" s="36">
        <f>X31</f>
        <v>2037.836</v>
      </c>
      <c r="L55" s="36">
        <f>Y31</f>
        <v>1936.6379999999999</v>
      </c>
    </row>
    <row r="56" spans="2:32" x14ac:dyDescent="0.35">
      <c r="B56" s="3" t="s">
        <v>87</v>
      </c>
      <c r="C56" s="14">
        <f t="shared" ref="C56:H56" si="51">C52+C53-C54-C55</f>
        <v>0</v>
      </c>
      <c r="D56" s="14">
        <f t="shared" si="51"/>
        <v>0</v>
      </c>
      <c r="E56" s="14">
        <f t="shared" si="51"/>
        <v>10048.4832133</v>
      </c>
      <c r="F56" s="14">
        <f t="shared" si="51"/>
        <v>6715.6780120099993</v>
      </c>
      <c r="G56" s="14">
        <f t="shared" si="51"/>
        <v>11845.0757202</v>
      </c>
      <c r="H56" s="14">
        <f t="shared" si="51"/>
        <v>15027.902618249998</v>
      </c>
      <c r="I56" s="14">
        <f t="shared" ref="I56" si="52">I52+I53-I54-I55</f>
        <v>16200.888689330002</v>
      </c>
      <c r="J56" s="14">
        <f>J52+J53-J54-J55</f>
        <v>17840.056999999997</v>
      </c>
      <c r="K56" s="14">
        <f>K52+K53-K54-K55</f>
        <v>25051.98602158</v>
      </c>
      <c r="L56" s="14">
        <f>L52+L53-L54-L55</f>
        <v>21609.750405150004</v>
      </c>
    </row>
    <row r="57" spans="2:32" x14ac:dyDescent="0.35">
      <c r="I57" s="46"/>
      <c r="J57" s="46"/>
      <c r="K57" s="46"/>
      <c r="L57" s="46"/>
    </row>
    <row r="58" spans="2:32" x14ac:dyDescent="0.35">
      <c r="I58" s="46"/>
      <c r="J58" s="46"/>
      <c r="K58" s="46"/>
      <c r="L58" s="46"/>
    </row>
    <row r="59" spans="2:32" x14ac:dyDescent="0.35">
      <c r="I59" s="24"/>
      <c r="J59" s="24"/>
      <c r="K59" s="24"/>
      <c r="L59" s="24"/>
    </row>
    <row r="62" spans="2:32" x14ac:dyDescent="0.35">
      <c r="E62" t="s">
        <v>109</v>
      </c>
      <c r="N62" s="86" t="s">
        <v>95</v>
      </c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57"/>
    </row>
    <row r="63" spans="2:32" x14ac:dyDescent="0.35">
      <c r="N63" s="12"/>
      <c r="O63" s="12"/>
      <c r="P63" s="22" t="s">
        <v>2</v>
      </c>
      <c r="Q63" s="22" t="s">
        <v>3</v>
      </c>
      <c r="R63" s="22" t="s">
        <v>4</v>
      </c>
      <c r="S63" s="22" t="s">
        <v>5</v>
      </c>
      <c r="T63" s="22" t="s">
        <v>6</v>
      </c>
      <c r="U63" s="22" t="s">
        <v>107</v>
      </c>
      <c r="V63" s="22" t="s">
        <v>110</v>
      </c>
      <c r="W63" s="2" t="s">
        <v>123</v>
      </c>
      <c r="X63" s="2" t="s">
        <v>126</v>
      </c>
      <c r="Y63" s="58" t="s">
        <v>127</v>
      </c>
    </row>
    <row r="64" spans="2:32" x14ac:dyDescent="0.35">
      <c r="N64" s="12" t="s">
        <v>96</v>
      </c>
      <c r="O64" s="12"/>
      <c r="P64" s="18"/>
      <c r="Q64" s="18"/>
      <c r="R64" s="18">
        <v>21.9</v>
      </c>
      <c r="S64" s="18">
        <v>7.31</v>
      </c>
      <c r="T64" s="18">
        <v>26.2</v>
      </c>
      <c r="U64" s="27">
        <v>40.75</v>
      </c>
      <c r="V64" s="20">
        <v>43.49</v>
      </c>
      <c r="W64" s="27">
        <v>51.4</v>
      </c>
      <c r="X64" s="27">
        <v>77.739999999999995</v>
      </c>
      <c r="Y64" s="33">
        <v>67.95</v>
      </c>
      <c r="AC64" t="s">
        <v>116</v>
      </c>
      <c r="AD64" t="s">
        <v>118</v>
      </c>
      <c r="AE64" t="s">
        <v>119</v>
      </c>
      <c r="AF64" t="s">
        <v>120</v>
      </c>
    </row>
    <row r="65" spans="3:32" x14ac:dyDescent="0.35">
      <c r="N65" s="12" t="s">
        <v>97</v>
      </c>
      <c r="O65" s="12"/>
      <c r="P65" s="18">
        <f t="shared" ref="P65:W65" si="53">C33</f>
        <v>0</v>
      </c>
      <c r="Q65" s="18">
        <f t="shared" si="53"/>
        <v>0</v>
      </c>
      <c r="R65" s="18">
        <f t="shared" si="53"/>
        <v>-0.19</v>
      </c>
      <c r="S65" s="18">
        <f t="shared" si="53"/>
        <v>-1.1200000000000001</v>
      </c>
      <c r="T65" s="18">
        <f t="shared" si="53"/>
        <v>0.15</v>
      </c>
      <c r="U65" s="18">
        <f t="shared" si="53"/>
        <v>3.78</v>
      </c>
      <c r="V65" s="18">
        <f t="shared" si="53"/>
        <v>6.5</v>
      </c>
      <c r="W65" s="18">
        <f t="shared" si="53"/>
        <v>0.53</v>
      </c>
      <c r="X65" s="18">
        <f>W65+K33-0.01</f>
        <v>1.55</v>
      </c>
      <c r="Y65" s="59">
        <f>X65+L33-0.19</f>
        <v>2.21</v>
      </c>
      <c r="Z65" t="s">
        <v>124</v>
      </c>
      <c r="AA65" s="46">
        <f>W65+X65-0.01</f>
        <v>2.0700000000000003</v>
      </c>
      <c r="AB65" t="s">
        <v>117</v>
      </c>
      <c r="AC65">
        <v>0.34</v>
      </c>
      <c r="AD65">
        <v>1.2</v>
      </c>
      <c r="AE65">
        <v>1.63</v>
      </c>
      <c r="AF65">
        <v>1.68</v>
      </c>
    </row>
    <row r="66" spans="3:32" x14ac:dyDescent="0.35">
      <c r="N66" s="12" t="s">
        <v>98</v>
      </c>
      <c r="O66" s="12"/>
      <c r="P66" s="9">
        <f t="shared" ref="P66:Y66" si="54">P6*1000000/C51</f>
        <v>0</v>
      </c>
      <c r="Q66" s="9">
        <f t="shared" si="54"/>
        <v>0</v>
      </c>
      <c r="R66" s="9">
        <f t="shared" si="54"/>
        <v>28.577587681274526</v>
      </c>
      <c r="S66" s="9">
        <f t="shared" si="54"/>
        <v>25.966725534784604</v>
      </c>
      <c r="T66" s="9">
        <f t="shared" si="54"/>
        <v>26.326266072693894</v>
      </c>
      <c r="U66" s="9">
        <f t="shared" si="54"/>
        <v>30.717398781155623</v>
      </c>
      <c r="V66" s="9">
        <f t="shared" si="54"/>
        <v>34.730766578838129</v>
      </c>
      <c r="W66" s="9">
        <f t="shared" si="54"/>
        <v>34.955133424006817</v>
      </c>
      <c r="X66" s="9">
        <f t="shared" si="54"/>
        <v>34.988105928079143</v>
      </c>
      <c r="Y66" s="9">
        <f t="shared" si="54"/>
        <v>35.841765820297738</v>
      </c>
    </row>
    <row r="67" spans="3:32" x14ac:dyDescent="0.35">
      <c r="N67" s="12" t="s">
        <v>105</v>
      </c>
      <c r="O67" s="27"/>
      <c r="P67" s="36"/>
      <c r="Q67" s="36"/>
      <c r="R67" s="36"/>
      <c r="S67" s="36"/>
      <c r="T67" s="36"/>
      <c r="U67" s="36"/>
      <c r="V67" s="47">
        <v>0.3</v>
      </c>
      <c r="W67" s="54" t="s">
        <v>108</v>
      </c>
      <c r="X67" s="39">
        <v>0.1</v>
      </c>
      <c r="Y67" s="60" t="s">
        <v>128</v>
      </c>
    </row>
    <row r="68" spans="3:32" x14ac:dyDescent="0.35">
      <c r="N68" s="12" t="s">
        <v>103</v>
      </c>
      <c r="O68" s="12"/>
      <c r="P68" s="36" t="e">
        <f t="shared" ref="P68:U68" si="55">P64/P65</f>
        <v>#DIV/0!</v>
      </c>
      <c r="Q68" s="36" t="e">
        <f t="shared" si="55"/>
        <v>#DIV/0!</v>
      </c>
      <c r="R68" s="36">
        <f t="shared" si="55"/>
        <v>-115.26315789473684</v>
      </c>
      <c r="S68" s="36">
        <f t="shared" si="55"/>
        <v>-6.5267857142857135</v>
      </c>
      <c r="T68" s="36">
        <f t="shared" si="55"/>
        <v>174.66666666666666</v>
      </c>
      <c r="U68" s="36">
        <f t="shared" si="55"/>
        <v>10.780423280423282</v>
      </c>
      <c r="V68" s="36">
        <f t="shared" ref="V68" si="56">V64/V65</f>
        <v>6.6907692307692308</v>
      </c>
      <c r="W68" s="36">
        <f>W64/W65</f>
        <v>96.981132075471692</v>
      </c>
      <c r="X68" s="36">
        <f>X64/X65</f>
        <v>50.154838709677414</v>
      </c>
      <c r="Y68" s="36">
        <f>Y64/Y65</f>
        <v>30.74660633484163</v>
      </c>
      <c r="Z68" t="s">
        <v>125</v>
      </c>
    </row>
    <row r="69" spans="3:32" x14ac:dyDescent="0.35">
      <c r="N69" s="12" t="s">
        <v>88</v>
      </c>
      <c r="O69" s="12"/>
      <c r="P69" s="28" t="e">
        <f t="shared" ref="P69:U69" si="57">P64/P66</f>
        <v>#DIV/0!</v>
      </c>
      <c r="Q69" s="28" t="e">
        <f t="shared" si="57"/>
        <v>#DIV/0!</v>
      </c>
      <c r="R69" s="28">
        <f t="shared" si="57"/>
        <v>0.76633480209212979</v>
      </c>
      <c r="S69" s="28">
        <f t="shared" si="57"/>
        <v>0.28151412430526296</v>
      </c>
      <c r="T69" s="28">
        <f t="shared" si="57"/>
        <v>0.99520379865700515</v>
      </c>
      <c r="U69" s="28">
        <f t="shared" si="57"/>
        <v>1.3266097266347674</v>
      </c>
      <c r="V69" s="28">
        <f t="shared" ref="V69" si="58">V64/V66</f>
        <v>1.2522038608413262</v>
      </c>
      <c r="W69" s="28">
        <f>W64/W66</f>
        <v>1.4704564098359019</v>
      </c>
      <c r="X69" s="28">
        <f>X64/X66</f>
        <v>2.2218979261066831</v>
      </c>
      <c r="Y69" s="28">
        <f>Y64/Y66</f>
        <v>1.8958329324700538</v>
      </c>
    </row>
    <row r="70" spans="3:32" x14ac:dyDescent="0.35">
      <c r="N70" s="12" t="s">
        <v>89</v>
      </c>
      <c r="O70" s="12"/>
      <c r="P70" s="36">
        <f t="shared" ref="P70:V70" si="59">C56/C14</f>
        <v>0</v>
      </c>
      <c r="Q70" s="36">
        <f t="shared" si="59"/>
        <v>0</v>
      </c>
      <c r="R70" s="36">
        <f t="shared" si="59"/>
        <v>6.2061808150655713</v>
      </c>
      <c r="S70" s="36">
        <f t="shared" si="59"/>
        <v>4.5852229477036976</v>
      </c>
      <c r="T70" s="36">
        <f t="shared" si="59"/>
        <v>5.6569767438372995</v>
      </c>
      <c r="U70" s="36">
        <f t="shared" si="59"/>
        <v>4.626290298903756</v>
      </c>
      <c r="V70" s="36">
        <f t="shared" si="59"/>
        <v>3.7809530908249509</v>
      </c>
      <c r="W70" s="36">
        <f>J56/(J14+995+1015)</f>
        <v>4.7378827839858966</v>
      </c>
      <c r="X70" s="36">
        <f>K56/(K14+995+1015)</f>
        <v>6.3511665753776816</v>
      </c>
      <c r="Y70" s="60" t="s">
        <v>128</v>
      </c>
    </row>
    <row r="71" spans="3:32" ht="14.5" hidden="1" customHeight="1" x14ac:dyDescent="0.35">
      <c r="C71" s="45">
        <f t="shared" ref="C71:H71" si="60">P25-P36</f>
        <v>0</v>
      </c>
      <c r="D71" s="45">
        <f t="shared" si="60"/>
        <v>0</v>
      </c>
      <c r="E71" s="45">
        <f t="shared" si="60"/>
        <v>-4496.0760000000009</v>
      </c>
      <c r="F71" s="45">
        <f t="shared" si="60"/>
        <v>-2623.9840000000004</v>
      </c>
      <c r="G71" s="45">
        <f t="shared" si="60"/>
        <v>-1300.7950000000001</v>
      </c>
      <c r="H71" s="45">
        <f t="shared" si="60"/>
        <v>111.30100000000039</v>
      </c>
      <c r="I71" s="45"/>
      <c r="J71" s="45"/>
      <c r="K71" s="45"/>
      <c r="L71" s="45"/>
      <c r="N71" s="12" t="s">
        <v>99</v>
      </c>
      <c r="O71" s="12"/>
      <c r="P71" s="19" t="e">
        <f t="shared" ref="P71:V71" si="61">C24/P6</f>
        <v>#DIV/0!</v>
      </c>
      <c r="Q71" s="19" t="e">
        <f t="shared" si="61"/>
        <v>#DIV/0!</v>
      </c>
      <c r="R71" s="19">
        <f t="shared" si="61"/>
        <v>-6.761212910830562E-3</v>
      </c>
      <c r="S71" s="19">
        <f t="shared" si="61"/>
        <v>-3.9482427534307751E-2</v>
      </c>
      <c r="T71" s="19">
        <f t="shared" si="61"/>
        <v>5.5196810805659621E-3</v>
      </c>
      <c r="U71" s="19">
        <f t="shared" si="61"/>
        <v>0.13407815794468927</v>
      </c>
      <c r="V71" s="19">
        <f t="shared" si="61"/>
        <v>0.18727953284375276</v>
      </c>
      <c r="W71" s="55" t="s">
        <v>108</v>
      </c>
      <c r="X71" s="55" t="s">
        <v>108</v>
      </c>
      <c r="Y71" s="96"/>
    </row>
    <row r="72" spans="3:32" x14ac:dyDescent="0.35">
      <c r="N72" s="12" t="s">
        <v>100</v>
      </c>
      <c r="O72" s="12"/>
      <c r="P72" s="19" t="e">
        <f t="shared" ref="P72:X72" si="62">(C22+C19)/P11</f>
        <v>#DIV/0!</v>
      </c>
      <c r="Q72" s="19" t="e">
        <f t="shared" si="62"/>
        <v>#DIV/0!</v>
      </c>
      <c r="R72" s="19">
        <f t="shared" si="62"/>
        <v>7.3428363324381407E-2</v>
      </c>
      <c r="S72" s="19">
        <f t="shared" si="62"/>
        <v>5.4965808068556284E-2</v>
      </c>
      <c r="T72" s="19">
        <f t="shared" si="62"/>
        <v>9.9963492733404782E-2</v>
      </c>
      <c r="U72" s="19">
        <f t="shared" si="62"/>
        <v>0.18484722807258946</v>
      </c>
      <c r="V72" s="19">
        <f t="shared" si="62"/>
        <v>0.25612471804305709</v>
      </c>
      <c r="W72" s="19">
        <f t="shared" si="62"/>
        <v>6.7017670606274587E-2</v>
      </c>
      <c r="X72" s="19">
        <f t="shared" si="62"/>
        <v>8.0804970831050815E-2</v>
      </c>
      <c r="Y72" s="95" t="s">
        <v>128</v>
      </c>
      <c r="AB72" s="46">
        <f>W65+K33-0.43</f>
        <v>1.1300000000000001</v>
      </c>
    </row>
    <row r="73" spans="3:32" x14ac:dyDescent="0.35">
      <c r="N73" s="12" t="s">
        <v>101</v>
      </c>
      <c r="O73" s="12"/>
      <c r="P73" s="18" t="e">
        <f t="shared" ref="P73:U73" si="63">P10/P6</f>
        <v>#DIV/0!</v>
      </c>
      <c r="Q73" s="18" t="e">
        <f t="shared" si="63"/>
        <v>#DIV/0!</v>
      </c>
      <c r="R73" s="18">
        <f t="shared" si="63"/>
        <v>0.8515247208875858</v>
      </c>
      <c r="S73" s="18">
        <f t="shared" si="63"/>
        <v>0.78329352869179947</v>
      </c>
      <c r="T73" s="18">
        <f t="shared" si="63"/>
        <v>0.90667328293040339</v>
      </c>
      <c r="U73" s="18">
        <f t="shared" si="63"/>
        <v>0.68785486570882604</v>
      </c>
      <c r="V73" s="18">
        <f t="shared" ref="V73" si="64">V10/V6</f>
        <v>0.49249592233312789</v>
      </c>
      <c r="W73" s="18">
        <f>W10/W6</f>
        <v>0.42295110981359935</v>
      </c>
      <c r="X73" s="18">
        <f>X10/X6</f>
        <v>0.41227733548692908</v>
      </c>
      <c r="Y73" s="18">
        <f>Y10/Y6</f>
        <v>0.3447580494602594</v>
      </c>
    </row>
    <row r="74" spans="3:32" x14ac:dyDescent="0.35">
      <c r="N74" s="12" t="s">
        <v>90</v>
      </c>
      <c r="O74" s="12"/>
      <c r="P74" s="18" t="e">
        <f t="shared" ref="P74:U74" si="65">(P10-SUM(P28,P30:P31))/P6</f>
        <v>#DIV/0!</v>
      </c>
      <c r="Q74" s="18" t="e">
        <f t="shared" si="65"/>
        <v>#DIV/0!</v>
      </c>
      <c r="R74" s="18">
        <f>(R10-SUM(R28,R30:R31))/R6</f>
        <v>0.82480162817620151</v>
      </c>
      <c r="S74" s="18">
        <f t="shared" si="65"/>
        <v>0.70927592730946598</v>
      </c>
      <c r="T74" s="18">
        <f t="shared" si="65"/>
        <v>0.72847974120901549</v>
      </c>
      <c r="U74" s="18">
        <f t="shared" si="65"/>
        <v>0.54762031854135362</v>
      </c>
      <c r="V74" s="18">
        <f t="shared" ref="V74" si="66">(V10-SUM(V28,V30:V31))/V6</f>
        <v>0.32822262500292665</v>
      </c>
      <c r="W74" s="18">
        <f>(W10-SUM(W28,W30:W31))/W6</f>
        <v>0.25855042020675606</v>
      </c>
      <c r="X74" s="18">
        <f>(X10-SUM(X28,X30:X31))/X6</f>
        <v>0.1972278265096595</v>
      </c>
      <c r="Y74" s="18">
        <f>(Y10-SUM(Y28,Y30:Y31))/Y6</f>
        <v>0.1441140680622339</v>
      </c>
    </row>
    <row r="75" spans="3:32" x14ac:dyDescent="0.35">
      <c r="N75" s="12" t="s">
        <v>106</v>
      </c>
      <c r="O75" s="27"/>
      <c r="P75" s="48" t="e">
        <f>P67/P64</f>
        <v>#DIV/0!</v>
      </c>
      <c r="Q75" s="48" t="e">
        <f t="shared" ref="Q75:U75" si="67">Q67/Q64</f>
        <v>#DIV/0!</v>
      </c>
      <c r="R75" s="48">
        <f t="shared" si="67"/>
        <v>0</v>
      </c>
      <c r="S75" s="48">
        <f t="shared" si="67"/>
        <v>0</v>
      </c>
      <c r="T75" s="48">
        <f t="shared" si="67"/>
        <v>0</v>
      </c>
      <c r="U75" s="48">
        <f t="shared" si="67"/>
        <v>0</v>
      </c>
      <c r="V75" s="48">
        <f t="shared" ref="V75" si="68">V67/V64</f>
        <v>6.8981375028742235E-3</v>
      </c>
      <c r="W75" s="48" t="s">
        <v>108</v>
      </c>
      <c r="X75" s="48">
        <f>X67/X64</f>
        <v>1.2863390789812196E-3</v>
      </c>
      <c r="Y75" s="95" t="s">
        <v>128</v>
      </c>
    </row>
    <row r="76" spans="3:32" x14ac:dyDescent="0.35">
      <c r="N76" s="12" t="s">
        <v>91</v>
      </c>
      <c r="O76" s="12"/>
      <c r="P76" s="49">
        <f t="shared" ref="P76:X76" si="69">AVERAGE(O29:P29/C4)*365</f>
        <v>0</v>
      </c>
      <c r="Q76" s="49">
        <f t="shared" si="69"/>
        <v>0</v>
      </c>
      <c r="R76" s="49">
        <f t="shared" si="69"/>
        <v>19.883054208967756</v>
      </c>
      <c r="S76" s="49">
        <f t="shared" si="69"/>
        <v>20.767942782645076</v>
      </c>
      <c r="T76" s="49">
        <f t="shared" si="69"/>
        <v>23.730630938444953</v>
      </c>
      <c r="U76" s="49">
        <f t="shared" si="69"/>
        <v>17.318034329571219</v>
      </c>
      <c r="V76" s="49">
        <f t="shared" si="69"/>
        <v>18.411506313435535</v>
      </c>
      <c r="W76" s="49">
        <f t="shared" si="69"/>
        <v>22.272005596525478</v>
      </c>
      <c r="X76" s="49">
        <f t="shared" si="69"/>
        <v>17.97665005801754</v>
      </c>
      <c r="Y76" s="95" t="s">
        <v>128</v>
      </c>
    </row>
    <row r="77" spans="3:32" x14ac:dyDescent="0.35">
      <c r="N77" s="27" t="s">
        <v>92</v>
      </c>
      <c r="O77" s="27"/>
      <c r="P77" s="49" t="e">
        <f t="shared" ref="P77:W77" si="70">(AVERAGE(O38:P38)/C7)*365</f>
        <v>#DIV/0!</v>
      </c>
      <c r="Q77" s="49" t="e">
        <f t="shared" si="70"/>
        <v>#DIV/0!</v>
      </c>
      <c r="R77" s="49">
        <f t="shared" si="70"/>
        <v>73.526544366807855</v>
      </c>
      <c r="S77" s="49">
        <f t="shared" si="70"/>
        <v>82.73009751455686</v>
      </c>
      <c r="T77" s="49">
        <f t="shared" si="70"/>
        <v>77.547936324767761</v>
      </c>
      <c r="U77" s="49">
        <f t="shared" si="70"/>
        <v>46.478712653689989</v>
      </c>
      <c r="V77" s="49">
        <f t="shared" si="70"/>
        <v>43.016992233045869</v>
      </c>
      <c r="W77" s="49">
        <f t="shared" si="70"/>
        <v>59.899518946747925</v>
      </c>
      <c r="X77" s="49">
        <f t="shared" ref="X77" si="71">(AVERAGE(W38:X38)/K7)*365</f>
        <v>66.645527732168304</v>
      </c>
      <c r="Y77" s="95" t="s">
        <v>128</v>
      </c>
    </row>
    <row r="78" spans="3:32" x14ac:dyDescent="0.35">
      <c r="N78" s="27" t="s">
        <v>93</v>
      </c>
      <c r="O78" s="27"/>
      <c r="P78" s="49" t="e">
        <f t="shared" ref="P78:W78" si="72">(AVERAGE(O26:P26)/C7)*365</f>
        <v>#DIV/0!</v>
      </c>
      <c r="Q78" s="49" t="e">
        <f t="shared" si="72"/>
        <v>#DIV/0!</v>
      </c>
      <c r="R78" s="49">
        <f t="shared" si="72"/>
        <v>32.39137135036178</v>
      </c>
      <c r="S78" s="49">
        <f t="shared" si="72"/>
        <v>41.213552186881991</v>
      </c>
      <c r="T78" s="49">
        <f t="shared" si="72"/>
        <v>43.206175310046355</v>
      </c>
      <c r="U78" s="49">
        <f t="shared" si="72"/>
        <v>32.576545186406975</v>
      </c>
      <c r="V78" s="49">
        <f t="shared" si="72"/>
        <v>44.593682929892168</v>
      </c>
      <c r="W78" s="49">
        <f t="shared" si="72"/>
        <v>70.631820650003917</v>
      </c>
      <c r="X78" s="49">
        <f t="shared" ref="X78" si="73">(AVERAGE(W26:X26)/K7)*365</f>
        <v>74.339944795178397</v>
      </c>
      <c r="Y78" s="95" t="s">
        <v>128</v>
      </c>
    </row>
    <row r="79" spans="3:32" x14ac:dyDescent="0.35">
      <c r="N79" s="27" t="s">
        <v>94</v>
      </c>
      <c r="O79" s="27"/>
      <c r="P79" s="49" t="e">
        <f>P76+P78-P77</f>
        <v>#DIV/0!</v>
      </c>
      <c r="Q79" s="49" t="e">
        <f>Q76+Q78-Q77</f>
        <v>#DIV/0!</v>
      </c>
      <c r="R79" s="49">
        <f t="shared" ref="R79:U79" si="74">R76+R78-R77</f>
        <v>-21.252118807478318</v>
      </c>
      <c r="S79" s="49">
        <f t="shared" si="74"/>
        <v>-20.748602545029797</v>
      </c>
      <c r="T79" s="49">
        <f t="shared" si="74"/>
        <v>-10.611130076276453</v>
      </c>
      <c r="U79" s="49">
        <f t="shared" si="74"/>
        <v>3.4158668622882047</v>
      </c>
      <c r="V79" s="49">
        <f t="shared" ref="V79:W79" si="75">V76+V78-V77</f>
        <v>19.988197010281837</v>
      </c>
      <c r="W79" s="49">
        <f t="shared" si="75"/>
        <v>33.004307299781466</v>
      </c>
      <c r="X79" s="49">
        <f t="shared" ref="X79" si="76">X76+X78-X77</f>
        <v>25.671067121027633</v>
      </c>
      <c r="Y79" s="95" t="s">
        <v>128</v>
      </c>
    </row>
    <row r="80" spans="3:32" x14ac:dyDescent="0.35">
      <c r="N80" s="12" t="s">
        <v>102</v>
      </c>
      <c r="O80" s="12"/>
      <c r="P80" s="21">
        <f t="shared" ref="P80:X80" si="77">C4/(AVERAGE(O16:P16))</f>
        <v>3.9384823082648355</v>
      </c>
      <c r="Q80" s="21" t="e">
        <f t="shared" si="77"/>
        <v>#DIV/0!</v>
      </c>
      <c r="R80" s="21">
        <f t="shared" si="77"/>
        <v>0.8819452679709936</v>
      </c>
      <c r="S80" s="21">
        <f t="shared" si="77"/>
        <v>0.85127020378871099</v>
      </c>
      <c r="T80" s="21">
        <f t="shared" si="77"/>
        <v>1.0228046059612566</v>
      </c>
      <c r="U80" s="21">
        <f t="shared" si="77"/>
        <v>1.7951514051903612</v>
      </c>
      <c r="V80" s="21">
        <f t="shared" si="77"/>
        <v>2.0085834324166418</v>
      </c>
      <c r="W80" s="21">
        <f t="shared" si="77"/>
        <v>1.4483417012357984</v>
      </c>
      <c r="X80" s="21">
        <f t="shared" si="77"/>
        <v>1.5619331790043807</v>
      </c>
      <c r="Y80" s="95" t="s">
        <v>128</v>
      </c>
    </row>
  </sheetData>
  <mergeCells count="3">
    <mergeCell ref="N62:X62"/>
    <mergeCell ref="N2:X2"/>
    <mergeCell ref="B2:L2"/>
  </mergeCells>
  <pageMargins left="0.7" right="0.7" top="0.75" bottom="0.75" header="0.3" footer="0.3"/>
  <pageSetup orientation="portrait" r:id="rId1"/>
  <ignoredErrors>
    <ignoredError sqref="R74:V74 R76:W77 R78:S78 E42 E7:L7 K14:L14 E14:I14 X76:X78 R80:X80 T78:W78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Manav Kapasi</dc:creator>
  <cp:lastModifiedBy>Hp</cp:lastModifiedBy>
  <dcterms:created xsi:type="dcterms:W3CDTF">2022-03-25T06:39:15Z</dcterms:created>
  <dcterms:modified xsi:type="dcterms:W3CDTF">2025-11-19T06:54:48Z</dcterms:modified>
</cp:coreProperties>
</file>