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E7F8271E-701B-4AFA-A62D-2C5F857CFA2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solidated" sheetId="1" r:id="rId1"/>
  </sheets>
  <definedNames>
    <definedName name="_xlnm.Print_Area" localSheetId="0">Consolidated!$A$1:$X$79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4" i="1" l="1"/>
  <c r="AC63" i="1"/>
  <c r="AC60" i="1"/>
  <c r="N48" i="1"/>
  <c r="N43" i="1"/>
  <c r="AC61" i="1"/>
  <c r="AC16" i="1"/>
  <c r="AC29" i="1"/>
  <c r="AC38" i="1"/>
  <c r="AC49" i="1" s="1"/>
  <c r="AC7" i="1"/>
  <c r="AC11" i="1"/>
  <c r="AC54" i="1"/>
  <c r="N54" i="1"/>
  <c r="N47" i="1"/>
  <c r="N15" i="1"/>
  <c r="N10" i="1" s="1"/>
  <c r="N16" i="1" s="1"/>
  <c r="N7" i="1"/>
  <c r="AC70" i="1"/>
  <c r="N52" i="1"/>
  <c r="N49" i="1" l="1"/>
  <c r="AC14" i="1"/>
  <c r="AC13" i="1"/>
  <c r="AC55" i="1"/>
  <c r="N22" i="1"/>
  <c r="N19" i="1"/>
  <c r="N55" i="1"/>
  <c r="L52" i="1"/>
  <c r="K52" i="1"/>
  <c r="J52" i="1"/>
  <c r="I52" i="1"/>
  <c r="H52" i="1"/>
  <c r="M52" i="1"/>
  <c r="AB70" i="1"/>
  <c r="AB38" i="1"/>
  <c r="AA38" i="1"/>
  <c r="AB29" i="1"/>
  <c r="AA29" i="1"/>
  <c r="AB16" i="1"/>
  <c r="AA16" i="1"/>
  <c r="AB7" i="1"/>
  <c r="AA7" i="1"/>
  <c r="M54" i="1"/>
  <c r="L54" i="1"/>
  <c r="L47" i="1"/>
  <c r="M47" i="1"/>
  <c r="L43" i="1"/>
  <c r="L44" i="1" s="1"/>
  <c r="M43" i="1"/>
  <c r="M34" i="1"/>
  <c r="L34" i="1"/>
  <c r="L33" i="1"/>
  <c r="M33" i="1"/>
  <c r="L15" i="1"/>
  <c r="L10" i="1"/>
  <c r="L16" i="1" s="1"/>
  <c r="M7" i="1"/>
  <c r="L7" i="1"/>
  <c r="AA49" i="1" l="1"/>
  <c r="N25" i="1"/>
  <c r="N24" i="1"/>
  <c r="M8" i="1"/>
  <c r="L19" i="1"/>
  <c r="M55" i="1"/>
  <c r="AB49" i="1"/>
  <c r="AA54" i="1"/>
  <c r="L55" i="1"/>
  <c r="AB54" i="1"/>
  <c r="AB61" i="1"/>
  <c r="AB64" i="1" s="1"/>
  <c r="AB60" i="1"/>
  <c r="AB63" i="1" s="1"/>
  <c r="Z21" i="1"/>
  <c r="Y21" i="1"/>
  <c r="X21" i="1"/>
  <c r="W21" i="1"/>
  <c r="V21" i="1"/>
  <c r="AB11" i="1"/>
  <c r="AB13" i="1" s="1"/>
  <c r="M15" i="1"/>
  <c r="M10" i="1" s="1"/>
  <c r="M16" i="1" s="1"/>
  <c r="N26" i="1" l="1"/>
  <c r="N29" i="1"/>
  <c r="AB65" i="1"/>
  <c r="M22" i="1"/>
  <c r="M24" i="1" s="1"/>
  <c r="M19" i="1"/>
  <c r="M17" i="1"/>
  <c r="AB67" i="1"/>
  <c r="I48" i="1"/>
  <c r="J48" i="1"/>
  <c r="K48" i="1"/>
  <c r="L48" i="1"/>
  <c r="M48" i="1"/>
  <c r="M49" i="1" l="1"/>
  <c r="M44" i="1"/>
  <c r="N38" i="1" s="1"/>
  <c r="N44" i="1" s="1"/>
  <c r="AA70" i="1"/>
  <c r="AB14" i="1" l="1"/>
  <c r="AB55" i="1"/>
  <c r="AA60" i="1"/>
  <c r="AA63" i="1" s="1"/>
  <c r="M25" i="1" l="1"/>
  <c r="H48" i="1"/>
  <c r="M29" i="1" l="1"/>
  <c r="M26" i="1"/>
  <c r="AB66" i="1"/>
  <c r="AA65" i="1"/>
  <c r="L49" i="1"/>
  <c r="L22" i="1"/>
  <c r="L24" i="1" s="1"/>
  <c r="K34" i="1"/>
  <c r="J34" i="1"/>
  <c r="L25" i="1" l="1"/>
  <c r="L29" i="1" l="1"/>
  <c r="L26" i="1"/>
  <c r="AA11" i="1"/>
  <c r="AA13" i="1" s="1"/>
  <c r="Z70" i="1"/>
  <c r="Z29" i="1"/>
  <c r="K33" i="1"/>
  <c r="M30" i="1" l="1"/>
  <c r="AA61" i="1"/>
  <c r="AA64" i="1" s="1"/>
  <c r="AA55" i="1"/>
  <c r="AA67" i="1"/>
  <c r="AA14" i="1"/>
  <c r="Z16" i="1"/>
  <c r="K47" i="1" l="1"/>
  <c r="J47" i="1"/>
  <c r="I47" i="1"/>
  <c r="H47" i="1"/>
  <c r="G47" i="1"/>
  <c r="K54" i="1" l="1"/>
  <c r="K55" i="1"/>
  <c r="K49" i="1"/>
  <c r="K43" i="1"/>
  <c r="Z60" i="1"/>
  <c r="Z63" i="1" s="1"/>
  <c r="Z38" i="1"/>
  <c r="Z11" i="1"/>
  <c r="Z7" i="1"/>
  <c r="K10" i="1"/>
  <c r="Z61" i="1" l="1"/>
  <c r="Z64" i="1" s="1"/>
  <c r="AA66" i="1"/>
  <c r="Z49" i="1"/>
  <c r="Z54" i="1"/>
  <c r="Z14" i="1" s="1"/>
  <c r="Z55" i="1"/>
  <c r="Z13" i="1"/>
  <c r="K16" i="1"/>
  <c r="L17" i="1" s="1"/>
  <c r="K7" i="1"/>
  <c r="L8" i="1" s="1"/>
  <c r="Z67" i="1" l="1"/>
  <c r="Z65" i="1"/>
  <c r="K22" i="1"/>
  <c r="K19" i="1"/>
  <c r="I54" i="1"/>
  <c r="H54" i="1"/>
  <c r="G54" i="1"/>
  <c r="J54" i="1"/>
  <c r="G10" i="1"/>
  <c r="G16" i="1" s="1"/>
  <c r="H10" i="1"/>
  <c r="H16" i="1" s="1"/>
  <c r="I10" i="1"/>
  <c r="I16" i="1" s="1"/>
  <c r="L18" i="1" s="1"/>
  <c r="J10" i="1"/>
  <c r="J16" i="1" s="1"/>
  <c r="M18" i="1" s="1"/>
  <c r="I19" i="1" l="1"/>
  <c r="J19" i="1"/>
  <c r="K17" i="1"/>
  <c r="H19" i="1"/>
  <c r="K18" i="1"/>
  <c r="K24" i="1"/>
  <c r="K25" i="1"/>
  <c r="G19" i="1"/>
  <c r="K26" i="1" l="1"/>
  <c r="K29" i="1"/>
  <c r="X38" i="1"/>
  <c r="W38" i="1"/>
  <c r="V38" i="1"/>
  <c r="Y70" i="1"/>
  <c r="Y7" i="1"/>
  <c r="Z66" i="1" s="1"/>
  <c r="Y38" i="1"/>
  <c r="Y16" i="1"/>
  <c r="Y9" i="1"/>
  <c r="Y11" i="1" s="1"/>
  <c r="J6" i="1"/>
  <c r="L30" i="1" l="1"/>
  <c r="J22" i="1"/>
  <c r="J7" i="1"/>
  <c r="M9" i="1" s="1"/>
  <c r="Y13" i="1"/>
  <c r="S70" i="1"/>
  <c r="R70" i="1"/>
  <c r="Q70" i="1"/>
  <c r="F54" i="1"/>
  <c r="D54" i="1"/>
  <c r="C54" i="1"/>
  <c r="B54" i="1"/>
  <c r="J55" i="1"/>
  <c r="G52" i="1"/>
  <c r="F52" i="1"/>
  <c r="E52" i="1"/>
  <c r="D52" i="1"/>
  <c r="C52" i="1"/>
  <c r="B52" i="1"/>
  <c r="Y60" i="1"/>
  <c r="Y63" i="1" s="1"/>
  <c r="X60" i="1"/>
  <c r="X63" i="1" s="1"/>
  <c r="W60" i="1"/>
  <c r="W63" i="1" s="1"/>
  <c r="V60" i="1"/>
  <c r="V63" i="1" s="1"/>
  <c r="U60" i="1"/>
  <c r="T60" i="1"/>
  <c r="T63" i="1" s="1"/>
  <c r="S60" i="1"/>
  <c r="S63" i="1" s="1"/>
  <c r="R60" i="1"/>
  <c r="R63" i="1" s="1"/>
  <c r="Q60" i="1"/>
  <c r="Q63" i="1" s="1"/>
  <c r="D48" i="1"/>
  <c r="C48" i="1"/>
  <c r="E44" i="1"/>
  <c r="D44" i="1"/>
  <c r="C44" i="1"/>
  <c r="B44" i="1"/>
  <c r="J43" i="1"/>
  <c r="I43" i="1"/>
  <c r="H43" i="1"/>
  <c r="G43" i="1"/>
  <c r="G44" i="1" s="1"/>
  <c r="H38" i="1" s="1"/>
  <c r="F43" i="1"/>
  <c r="F44" i="1" s="1"/>
  <c r="U38" i="1"/>
  <c r="T38" i="1"/>
  <c r="S38" i="1"/>
  <c r="R38" i="1"/>
  <c r="Q38" i="1"/>
  <c r="J33" i="1"/>
  <c r="I33" i="1"/>
  <c r="H33" i="1"/>
  <c r="D33" i="1"/>
  <c r="C33" i="1"/>
  <c r="T33" i="1"/>
  <c r="T29" i="1" s="1"/>
  <c r="Y29" i="1"/>
  <c r="Y54" i="1" s="1"/>
  <c r="Y14" i="1" s="1"/>
  <c r="X29" i="1"/>
  <c r="W29" i="1"/>
  <c r="V29" i="1"/>
  <c r="U29" i="1"/>
  <c r="U54" i="1" s="1"/>
  <c r="S29" i="1"/>
  <c r="S54" i="1" s="1"/>
  <c r="R29" i="1"/>
  <c r="R54" i="1" s="1"/>
  <c r="Q29" i="1"/>
  <c r="Q54" i="1" s="1"/>
  <c r="E23" i="1"/>
  <c r="X16" i="1"/>
  <c r="W16" i="1"/>
  <c r="V22" i="1"/>
  <c r="V16" i="1" s="1"/>
  <c r="E15" i="1"/>
  <c r="E10" i="1" s="1"/>
  <c r="X11" i="1"/>
  <c r="W11" i="1"/>
  <c r="V11" i="1"/>
  <c r="U11" i="1"/>
  <c r="F53" i="1" s="1"/>
  <c r="T11" i="1"/>
  <c r="S11" i="1"/>
  <c r="R11" i="1"/>
  <c r="Q11" i="1"/>
  <c r="B53" i="1" s="1"/>
  <c r="F10" i="1"/>
  <c r="D10" i="1"/>
  <c r="C10" i="1"/>
  <c r="B10" i="1"/>
  <c r="X7" i="1"/>
  <c r="W7" i="1"/>
  <c r="V7" i="1"/>
  <c r="U7" i="1"/>
  <c r="T7" i="1"/>
  <c r="T61" i="1" s="1"/>
  <c r="T64" i="1" s="1"/>
  <c r="S7" i="1"/>
  <c r="S61" i="1" s="1"/>
  <c r="S64" i="1" s="1"/>
  <c r="R7" i="1"/>
  <c r="Q7" i="1"/>
  <c r="F7" i="1"/>
  <c r="E7" i="1"/>
  <c r="D7" i="1"/>
  <c r="C7" i="1"/>
  <c r="B7" i="1"/>
  <c r="I6" i="1"/>
  <c r="H6" i="1"/>
  <c r="G6" i="1"/>
  <c r="K8" i="1" l="1"/>
  <c r="W13" i="1"/>
  <c r="W67" i="1" s="1"/>
  <c r="V13" i="1"/>
  <c r="V67" i="1" s="1"/>
  <c r="X13" i="1"/>
  <c r="X67" i="1" s="1"/>
  <c r="H7" i="1"/>
  <c r="H22" i="1"/>
  <c r="G7" i="1"/>
  <c r="J9" i="1" s="1"/>
  <c r="G22" i="1"/>
  <c r="I7" i="1"/>
  <c r="L9" i="1" s="1"/>
  <c r="I22" i="1"/>
  <c r="G49" i="1"/>
  <c r="H44" i="1"/>
  <c r="I38" i="1" s="1"/>
  <c r="I44" i="1" s="1"/>
  <c r="J38" i="1" s="1"/>
  <c r="J44" i="1" s="1"/>
  <c r="K38" i="1" s="1"/>
  <c r="K44" i="1" s="1"/>
  <c r="Q14" i="1"/>
  <c r="S55" i="1"/>
  <c r="X55" i="1"/>
  <c r="F16" i="1"/>
  <c r="B16" i="1"/>
  <c r="B19" i="1" s="1"/>
  <c r="S13" i="1"/>
  <c r="Q49" i="1"/>
  <c r="R68" i="1"/>
  <c r="C16" i="1"/>
  <c r="C22" i="1" s="1"/>
  <c r="W61" i="1"/>
  <c r="W64" i="1" s="1"/>
  <c r="F8" i="1"/>
  <c r="T13" i="1"/>
  <c r="S14" i="1"/>
  <c r="X61" i="1"/>
  <c r="X64" i="1" s="1"/>
  <c r="E54" i="1"/>
  <c r="B55" i="1"/>
  <c r="T55" i="1"/>
  <c r="V54" i="1"/>
  <c r="V14" i="1" s="1"/>
  <c r="U14" i="1"/>
  <c r="U49" i="1"/>
  <c r="Y49" i="1"/>
  <c r="X54" i="1"/>
  <c r="X14" i="1" s="1"/>
  <c r="X49" i="1"/>
  <c r="R55" i="1"/>
  <c r="R49" i="1"/>
  <c r="V55" i="1"/>
  <c r="V49" i="1"/>
  <c r="D53" i="1"/>
  <c r="D55" i="1" s="1"/>
  <c r="S69" i="1"/>
  <c r="S68" i="1"/>
  <c r="T54" i="1"/>
  <c r="T14" i="1" s="1"/>
  <c r="T49" i="1"/>
  <c r="Q61" i="1"/>
  <c r="Q64" i="1" s="1"/>
  <c r="Q13" i="1"/>
  <c r="U13" i="1"/>
  <c r="Y61" i="1"/>
  <c r="Y64" i="1" s="1"/>
  <c r="Q69" i="1"/>
  <c r="D16" i="1"/>
  <c r="R14" i="1"/>
  <c r="R61" i="1"/>
  <c r="R64" i="1" s="1"/>
  <c r="R13" i="1"/>
  <c r="V61" i="1"/>
  <c r="V64" i="1" s="1"/>
  <c r="C53" i="1"/>
  <c r="C55" i="1" s="1"/>
  <c r="W54" i="1"/>
  <c r="W14" i="1" s="1"/>
  <c r="Q55" i="1"/>
  <c r="U55" i="1"/>
  <c r="Y55" i="1"/>
  <c r="W55" i="1"/>
  <c r="R69" i="1"/>
  <c r="E16" i="1"/>
  <c r="S49" i="1"/>
  <c r="W49" i="1"/>
  <c r="T68" i="1"/>
  <c r="T69" i="1"/>
  <c r="E53" i="1"/>
  <c r="Q68" i="1"/>
  <c r="K9" i="1" l="1"/>
  <c r="Q15" i="1"/>
  <c r="I8" i="1"/>
  <c r="J8" i="1"/>
  <c r="H8" i="1"/>
  <c r="Q65" i="1"/>
  <c r="C19" i="1"/>
  <c r="F19" i="1"/>
  <c r="F22" i="1"/>
  <c r="F25" i="1" s="1"/>
  <c r="R65" i="1"/>
  <c r="B22" i="1"/>
  <c r="B24" i="1" s="1"/>
  <c r="E55" i="1"/>
  <c r="T65" i="1" s="1"/>
  <c r="Y65" i="1"/>
  <c r="I17" i="1"/>
  <c r="H17" i="1"/>
  <c r="S65" i="1"/>
  <c r="J17" i="1"/>
  <c r="Y67" i="1"/>
  <c r="J18" i="1"/>
  <c r="E22" i="1"/>
  <c r="T67" i="1"/>
  <c r="E19" i="1"/>
  <c r="S67" i="1"/>
  <c r="D22" i="1"/>
  <c r="D19" i="1"/>
  <c r="C24" i="1"/>
  <c r="R67" i="1"/>
  <c r="C25" i="1"/>
  <c r="Q67" i="1" l="1"/>
  <c r="F24" i="1"/>
  <c r="B25" i="1"/>
  <c r="Q66" i="1" s="1"/>
  <c r="F29" i="1"/>
  <c r="F26" i="1"/>
  <c r="B47" i="1"/>
  <c r="C47" i="1"/>
  <c r="C49" i="1" s="1"/>
  <c r="J25" i="1"/>
  <c r="Y66" i="1" s="1"/>
  <c r="J24" i="1"/>
  <c r="J49" i="1"/>
  <c r="E25" i="1"/>
  <c r="E47" i="1"/>
  <c r="E49" i="1" s="1"/>
  <c r="E24" i="1"/>
  <c r="G24" i="1"/>
  <c r="G25" i="1"/>
  <c r="V66" i="1" s="1"/>
  <c r="C29" i="1"/>
  <c r="C26" i="1"/>
  <c r="R66" i="1"/>
  <c r="B29" i="1"/>
  <c r="B26" i="1"/>
  <c r="D47" i="1"/>
  <c r="D49" i="1" s="1"/>
  <c r="D25" i="1"/>
  <c r="D24" i="1"/>
  <c r="H25" i="1"/>
  <c r="W66" i="1" s="1"/>
  <c r="H24" i="1"/>
  <c r="I49" i="1"/>
  <c r="I25" i="1"/>
  <c r="X66" i="1" s="1"/>
  <c r="I24" i="1"/>
  <c r="H49" i="1" l="1"/>
  <c r="S66" i="1"/>
  <c r="D26" i="1"/>
  <c r="D29" i="1"/>
  <c r="D30" i="1" s="1"/>
  <c r="G29" i="1"/>
  <c r="G26" i="1"/>
  <c r="E26" i="1"/>
  <c r="T66" i="1"/>
  <c r="E29" i="1"/>
  <c r="H26" i="1"/>
  <c r="H29" i="1"/>
  <c r="I26" i="1"/>
  <c r="I29" i="1"/>
  <c r="L31" i="1" s="1"/>
  <c r="C30" i="1"/>
  <c r="J29" i="1"/>
  <c r="M31" i="1" s="1"/>
  <c r="J26" i="1"/>
  <c r="K30" i="1" l="1"/>
  <c r="K31" i="1"/>
  <c r="H30" i="1"/>
  <c r="I30" i="1"/>
  <c r="J30" i="1"/>
  <c r="J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4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4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4" authorId="0" shapeId="0" xr:uid="{00000000-0006-0000-0000-000003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4" authorId="0" shapeId="0" xr:uid="{00000000-0006-0000-0000-000004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<sst xmlns="http://schemas.openxmlformats.org/spreadsheetml/2006/main" count="238" uniqueCount="129">
  <si>
    <t>Income Statement</t>
  </si>
  <si>
    <t>Balance Sheet</t>
  </si>
  <si>
    <t>Y/E, Mar (Rs. mn)</t>
  </si>
  <si>
    <t>FY13</t>
  </si>
  <si>
    <t>FY14</t>
  </si>
  <si>
    <t>FY15</t>
  </si>
  <si>
    <t>FY16</t>
  </si>
  <si>
    <t>FY18</t>
  </si>
  <si>
    <t>FY19</t>
  </si>
  <si>
    <t>FY20</t>
  </si>
  <si>
    <t>FY21</t>
  </si>
  <si>
    <t>Income</t>
  </si>
  <si>
    <t>Share Capital</t>
  </si>
  <si>
    <t>Other Income</t>
  </si>
  <si>
    <t>Reserves &amp; Surplus</t>
  </si>
  <si>
    <t>Total Income</t>
  </si>
  <si>
    <t>Networth/Shareholders Fund/ Book Value</t>
  </si>
  <si>
    <t>Growth (%)</t>
  </si>
  <si>
    <t>CAGR (%) - 3years</t>
  </si>
  <si>
    <t>Financial Liabilities</t>
  </si>
  <si>
    <t>Expenditure</t>
  </si>
  <si>
    <t>Provisions</t>
  </si>
  <si>
    <t>Cost of materials consumed</t>
  </si>
  <si>
    <t>Non Current Liabilities</t>
  </si>
  <si>
    <t>Purchase of stock in trade</t>
  </si>
  <si>
    <t>Change in inventories of FG, WIP and stock in trade</t>
  </si>
  <si>
    <t>Employee benefit expenses</t>
  </si>
  <si>
    <t>Capital Employed</t>
  </si>
  <si>
    <t>EBITDA</t>
  </si>
  <si>
    <t>Gross Block</t>
  </si>
  <si>
    <t>EBITDA margin (%)</t>
  </si>
  <si>
    <t xml:space="preserve">Fixed Assets </t>
  </si>
  <si>
    <t>Depreciation</t>
  </si>
  <si>
    <t>Capital work in progress</t>
  </si>
  <si>
    <t>Interest</t>
  </si>
  <si>
    <t>Right of use assets</t>
  </si>
  <si>
    <t>Goodwill</t>
  </si>
  <si>
    <t>Other Intangible Assets</t>
  </si>
  <si>
    <t>PBT</t>
  </si>
  <si>
    <t>Deffered Tax (Net)</t>
  </si>
  <si>
    <t>Tax</t>
  </si>
  <si>
    <t>Income Tax Assets (Net)</t>
  </si>
  <si>
    <t>Effective tax rate (%)</t>
  </si>
  <si>
    <t>Investment</t>
  </si>
  <si>
    <t>PAT</t>
  </si>
  <si>
    <t>Other Non Curent Financial Assets</t>
  </si>
  <si>
    <t>PAT margin (%)</t>
  </si>
  <si>
    <t>Other Non Curent Assets</t>
  </si>
  <si>
    <t>Minority Interest</t>
  </si>
  <si>
    <t>Other Comprehensive Income</t>
  </si>
  <si>
    <t>CURRENT ASSETS, LOANS &amp; ADVANCES</t>
  </si>
  <si>
    <t>PAT After MI</t>
  </si>
  <si>
    <t>Inventories</t>
  </si>
  <si>
    <t>NA</t>
  </si>
  <si>
    <t>Investments</t>
  </si>
  <si>
    <t>Trade Recievables</t>
  </si>
  <si>
    <t>EPS</t>
  </si>
  <si>
    <t>Cash &amp; Cash Equivalents</t>
  </si>
  <si>
    <t>Other Bank Balances</t>
  </si>
  <si>
    <t>CAGR (%)</t>
  </si>
  <si>
    <t>Other Current Financial Assets</t>
  </si>
  <si>
    <t>Other current assets</t>
  </si>
  <si>
    <t>Assets held for sale</t>
  </si>
  <si>
    <t>Cash Flow</t>
  </si>
  <si>
    <t>Trade Payables to MSMEs</t>
  </si>
  <si>
    <t>Cash and Cash Equivalents at Beginning of the year</t>
  </si>
  <si>
    <t>Trade Payables to non-MSMEs</t>
  </si>
  <si>
    <t>Cash Flow From Operating Activities</t>
  </si>
  <si>
    <t>Other Financial Liabilties</t>
  </si>
  <si>
    <t>Cash Flow from Investing Activities</t>
  </si>
  <si>
    <t>Other Current Liabilities</t>
  </si>
  <si>
    <t>Cash Flow From Financing Activities</t>
  </si>
  <si>
    <t>Employe Benefit Obligations</t>
  </si>
  <si>
    <t>Net Inc./(Dec.) in Cash and Cash Equivalent</t>
  </si>
  <si>
    <t>Cash and Cash Equivalents at End of the year</t>
  </si>
  <si>
    <t>Income Tax Liabilities (Net)</t>
  </si>
  <si>
    <t>Liabilities for Assets held for sale</t>
  </si>
  <si>
    <t>Our Calculations</t>
  </si>
  <si>
    <t>NET CURRENT ASSETS</t>
  </si>
  <si>
    <t>Lease liabilities</t>
  </si>
  <si>
    <t>Other financial liabilities</t>
  </si>
  <si>
    <t>Employee Benefit Obligations</t>
  </si>
  <si>
    <t>Deffered Tax Liabilities (Net)</t>
  </si>
  <si>
    <t>TOTAL ASSETS</t>
  </si>
  <si>
    <t xml:space="preserve">Operating Cash Inflow </t>
  </si>
  <si>
    <t>TOTAL LIABILITIES</t>
  </si>
  <si>
    <t>Capital Expenditure</t>
  </si>
  <si>
    <t>Key ratios</t>
  </si>
  <si>
    <t>FCF</t>
  </si>
  <si>
    <t xml:space="preserve">Y/E, Mar </t>
  </si>
  <si>
    <t>CMP(Rs)</t>
  </si>
  <si>
    <t>EPS (Rs)</t>
  </si>
  <si>
    <t>No. of Shares</t>
  </si>
  <si>
    <t>BVPS (Rs)</t>
  </si>
  <si>
    <t>Market Cap</t>
  </si>
  <si>
    <t>DPS (Rs)</t>
  </si>
  <si>
    <t>Total Debt</t>
  </si>
  <si>
    <t>P/E (x)</t>
  </si>
  <si>
    <t>Cash</t>
  </si>
  <si>
    <t>P/BV (x)</t>
  </si>
  <si>
    <t>EV</t>
  </si>
  <si>
    <t>EV/EBIDTA (x)</t>
  </si>
  <si>
    <t>RoE (%)</t>
  </si>
  <si>
    <t>RoCE (%)</t>
  </si>
  <si>
    <t>Gross D/E(x)</t>
  </si>
  <si>
    <t>Net D/E (x)</t>
  </si>
  <si>
    <t>Dividend Yield</t>
  </si>
  <si>
    <t xml:space="preserve">NA </t>
  </si>
  <si>
    <t>Credit Rating</t>
  </si>
  <si>
    <t>FY22</t>
  </si>
  <si>
    <t>Other Liabilities</t>
  </si>
  <si>
    <t>Lease Liabilities</t>
  </si>
  <si>
    <t>N/A</t>
  </si>
  <si>
    <t>TA-CL</t>
  </si>
  <si>
    <t>Eq+NCL</t>
  </si>
  <si>
    <t>FY23</t>
  </si>
  <si>
    <t>-</t>
  </si>
  <si>
    <t>CMS Info Systems Limited (Consolidated)</t>
  </si>
  <si>
    <t>FY24</t>
  </si>
  <si>
    <t>Non Current Assets, Loans &amp; Advances</t>
  </si>
  <si>
    <t>Current Liabilities &amp; Provisions</t>
  </si>
  <si>
    <t>Other Expenses( Service and security charges )</t>
  </si>
  <si>
    <t>FY25</t>
  </si>
  <si>
    <t xml:space="preserve"> Intangible Assets under development</t>
  </si>
  <si>
    <t>[ICRA]AA+(Stable)/ [ICRA]A1+; reaffirmed</t>
  </si>
  <si>
    <t>TTM</t>
  </si>
  <si>
    <t>H1-FY26</t>
  </si>
  <si>
    <t>Cash and cash equivalents through acquisition of Subsidiary</t>
  </si>
  <si>
    <t>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</si>
</sst>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%"/>
    <numFmt numFmtId="167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ahoma"/>
      <family val="2"/>
    </font>
    <font>
      <b/>
      <sz val="20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5" fillId="0" borderId="0" xfId="0" applyFont="1"/>
    <xf numFmtId="0" fontId="7" fillId="0" borderId="0" xfId="0" applyFont="1"/>
    <xf numFmtId="10" fontId="6" fillId="0" borderId="0" xfId="2" applyNumberFormat="1" applyFont="1" applyFill="1" applyBorder="1"/>
    <xf numFmtId="164" fontId="5" fillId="0" borderId="0" xfId="0" applyNumberFormat="1" applyFont="1"/>
    <xf numFmtId="1" fontId="5" fillId="0" borderId="0" xfId="0" applyNumberFormat="1" applyFont="1"/>
    <xf numFmtId="0" fontId="8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165" fontId="10" fillId="0" borderId="2" xfId="1" applyNumberFormat="1" applyFont="1" applyBorder="1"/>
    <xf numFmtId="165" fontId="11" fillId="0" borderId="2" xfId="1" applyNumberFormat="1" applyFont="1" applyFill="1" applyBorder="1"/>
    <xf numFmtId="0" fontId="8" fillId="0" borderId="2" xfId="0" applyFont="1" applyBorder="1"/>
    <xf numFmtId="165" fontId="8" fillId="0" borderId="2" xfId="1" applyNumberFormat="1" applyFont="1" applyBorder="1"/>
    <xf numFmtId="165" fontId="8" fillId="0" borderId="5" xfId="1" applyNumberFormat="1" applyFont="1" applyBorder="1"/>
    <xf numFmtId="165" fontId="12" fillId="0" borderId="2" xfId="1" applyNumberFormat="1" applyFont="1" applyBorder="1"/>
    <xf numFmtId="165" fontId="12" fillId="0" borderId="2" xfId="1" applyNumberFormat="1" applyFont="1" applyFill="1" applyBorder="1"/>
    <xf numFmtId="0" fontId="10" fillId="4" borderId="2" xfId="0" applyFont="1" applyFill="1" applyBorder="1"/>
    <xf numFmtId="165" fontId="10" fillId="4" borderId="2" xfId="1" applyNumberFormat="1" applyFont="1" applyFill="1" applyBorder="1"/>
    <xf numFmtId="0" fontId="13" fillId="4" borderId="2" xfId="0" applyFont="1" applyFill="1" applyBorder="1"/>
    <xf numFmtId="166" fontId="14" fillId="4" borderId="2" xfId="0" applyNumberFormat="1" applyFont="1" applyFill="1" applyBorder="1"/>
    <xf numFmtId="10" fontId="13" fillId="4" borderId="2" xfId="0" applyNumberFormat="1" applyFont="1" applyFill="1" applyBorder="1"/>
    <xf numFmtId="10" fontId="14" fillId="4" borderId="2" xfId="0" applyNumberFormat="1" applyFont="1" applyFill="1" applyBorder="1"/>
    <xf numFmtId="165" fontId="12" fillId="2" borderId="2" xfId="1" applyNumberFormat="1" applyFont="1" applyFill="1" applyBorder="1"/>
    <xf numFmtId="165" fontId="10" fillId="4" borderId="5" xfId="1" applyNumberFormat="1" applyFont="1" applyFill="1" applyBorder="1"/>
    <xf numFmtId="165" fontId="11" fillId="4" borderId="2" xfId="1" applyNumberFormat="1" applyFont="1" applyFill="1" applyBorder="1"/>
    <xf numFmtId="165" fontId="15" fillId="0" borderId="2" xfId="1" applyNumberFormat="1" applyFont="1" applyFill="1" applyBorder="1"/>
    <xf numFmtId="165" fontId="11" fillId="0" borderId="5" xfId="1" applyNumberFormat="1" applyFont="1" applyFill="1" applyBorder="1"/>
    <xf numFmtId="165" fontId="10" fillId="0" borderId="2" xfId="1" applyNumberFormat="1" applyFont="1" applyFill="1" applyBorder="1"/>
    <xf numFmtId="165" fontId="15" fillId="0" borderId="0" xfId="1" applyNumberFormat="1" applyFont="1"/>
    <xf numFmtId="10" fontId="10" fillId="4" borderId="2" xfId="0" applyNumberFormat="1" applyFont="1" applyFill="1" applyBorder="1"/>
    <xf numFmtId="0" fontId="15" fillId="0" borderId="2" xfId="0" applyFont="1" applyBorder="1"/>
    <xf numFmtId="164" fontId="12" fillId="0" borderId="2" xfId="0" applyNumberFormat="1" applyFont="1" applyBorder="1"/>
    <xf numFmtId="0" fontId="8" fillId="0" borderId="6" xfId="0" applyFont="1" applyBorder="1"/>
    <xf numFmtId="165" fontId="8" fillId="0" borderId="0" xfId="1" applyNumberFormat="1" applyFont="1" applyBorder="1"/>
    <xf numFmtId="165" fontId="8" fillId="0" borderId="7" xfId="1" applyNumberFormat="1" applyFont="1" applyBorder="1"/>
    <xf numFmtId="0" fontId="15" fillId="0" borderId="0" xfId="0" applyFont="1"/>
    <xf numFmtId="10" fontId="10" fillId="4" borderId="2" xfId="2" applyNumberFormat="1" applyFont="1" applyFill="1" applyBorder="1"/>
    <xf numFmtId="164" fontId="8" fillId="0" borderId="2" xfId="0" applyNumberFormat="1" applyFont="1" applyBorder="1"/>
    <xf numFmtId="164" fontId="10" fillId="4" borderId="2" xfId="0" applyNumberFormat="1" applyFont="1" applyFill="1" applyBorder="1"/>
    <xf numFmtId="166" fontId="13" fillId="4" borderId="2" xfId="0" applyNumberFormat="1" applyFont="1" applyFill="1" applyBorder="1"/>
    <xf numFmtId="43" fontId="10" fillId="0" borderId="2" xfId="1" applyFont="1" applyFill="1" applyBorder="1"/>
    <xf numFmtId="43" fontId="11" fillId="0" borderId="2" xfId="1" applyFont="1" applyFill="1" applyBorder="1"/>
    <xf numFmtId="0" fontId="8" fillId="4" borderId="2" xfId="0" applyFont="1" applyFill="1" applyBorder="1"/>
    <xf numFmtId="0" fontId="15" fillId="4" borderId="2" xfId="0" applyFont="1" applyFill="1" applyBorder="1"/>
    <xf numFmtId="10" fontId="8" fillId="4" borderId="2" xfId="0" applyNumberFormat="1" applyFont="1" applyFill="1" applyBorder="1"/>
    <xf numFmtId="166" fontId="15" fillId="4" borderId="2" xfId="0" applyNumberFormat="1" applyFont="1" applyFill="1" applyBorder="1"/>
    <xf numFmtId="166" fontId="8" fillId="4" borderId="2" xfId="0" applyNumberFormat="1" applyFont="1" applyFill="1" applyBorder="1"/>
    <xf numFmtId="165" fontId="8" fillId="0" borderId="6" xfId="1" applyNumberFormat="1" applyFont="1" applyBorder="1"/>
    <xf numFmtId="0" fontId="10" fillId="0" borderId="3" xfId="0" applyFont="1" applyBorder="1" applyAlignment="1">
      <alignment horizontal="center"/>
    </xf>
    <xf numFmtId="165" fontId="10" fillId="0" borderId="5" xfId="0" applyNumberFormat="1" applyFont="1" applyBorder="1"/>
    <xf numFmtId="165" fontId="10" fillId="0" borderId="2" xfId="0" applyNumberFormat="1" applyFont="1" applyBorder="1"/>
    <xf numFmtId="165" fontId="8" fillId="0" borderId="2" xfId="1" applyNumberFormat="1" applyFont="1" applyFill="1" applyBorder="1"/>
    <xf numFmtId="165" fontId="8" fillId="0" borderId="5" xfId="1" applyNumberFormat="1" applyFont="1" applyFill="1" applyBorder="1"/>
    <xf numFmtId="165" fontId="12" fillId="0" borderId="5" xfId="1" applyNumberFormat="1" applyFont="1" applyBorder="1"/>
    <xf numFmtId="165" fontId="10" fillId="0" borderId="5" xfId="1" applyNumberFormat="1" applyFont="1" applyBorder="1"/>
    <xf numFmtId="43" fontId="8" fillId="0" borderId="2" xfId="1" applyFont="1" applyFill="1" applyBorder="1"/>
    <xf numFmtId="0" fontId="10" fillId="0" borderId="0" xfId="0" applyFont="1"/>
    <xf numFmtId="165" fontId="15" fillId="0" borderId="2" xfId="1" applyNumberFormat="1" applyFont="1" applyBorder="1"/>
    <xf numFmtId="0" fontId="10" fillId="0" borderId="5" xfId="0" applyFont="1" applyBorder="1" applyAlignment="1">
      <alignment horizontal="center"/>
    </xf>
    <xf numFmtId="165" fontId="8" fillId="4" borderId="2" xfId="1" applyNumberFormat="1" applyFont="1" applyFill="1" applyBorder="1"/>
    <xf numFmtId="167" fontId="12" fillId="0" borderId="2" xfId="1" applyNumberFormat="1" applyFont="1" applyFill="1" applyBorder="1"/>
    <xf numFmtId="3" fontId="16" fillId="0" borderId="2" xfId="0" applyNumberFormat="1" applyFont="1" applyBorder="1"/>
    <xf numFmtId="165" fontId="10" fillId="0" borderId="5" xfId="1" applyNumberFormat="1" applyFont="1" applyFill="1" applyBorder="1"/>
    <xf numFmtId="165" fontId="11" fillId="4" borderId="5" xfId="1" applyNumberFormat="1" applyFont="1" applyFill="1" applyBorder="1"/>
    <xf numFmtId="165" fontId="12" fillId="4" borderId="5" xfId="1" applyNumberFormat="1" applyFont="1" applyFill="1" applyBorder="1"/>
    <xf numFmtId="0" fontId="10" fillId="0" borderId="5" xfId="0" applyFont="1" applyBorder="1" applyAlignment="1">
      <alignment horizontal="right"/>
    </xf>
    <xf numFmtId="164" fontId="10" fillId="0" borderId="2" xfId="0" applyNumberFormat="1" applyFont="1" applyBorder="1"/>
    <xf numFmtId="43" fontId="10" fillId="0" borderId="2" xfId="1" applyFont="1" applyBorder="1"/>
    <xf numFmtId="43" fontId="8" fillId="0" borderId="2" xfId="1" applyFont="1" applyBorder="1"/>
    <xf numFmtId="43" fontId="8" fillId="0" borderId="5" xfId="1" applyFont="1" applyBorder="1"/>
    <xf numFmtId="43" fontId="10" fillId="4" borderId="2" xfId="1" applyFont="1" applyFill="1" applyBorder="1"/>
    <xf numFmtId="43" fontId="10" fillId="4" borderId="5" xfId="1" applyFont="1" applyFill="1" applyBorder="1"/>
    <xf numFmtId="164" fontId="8" fillId="4" borderId="2" xfId="0" applyNumberFormat="1" applyFont="1" applyFill="1" applyBorder="1"/>
    <xf numFmtId="43" fontId="8" fillId="4" borderId="2" xfId="1" applyFont="1" applyFill="1" applyBorder="1"/>
    <xf numFmtId="164" fontId="8" fillId="4" borderId="5" xfId="1" applyNumberFormat="1" applyFont="1" applyFill="1" applyBorder="1"/>
    <xf numFmtId="43" fontId="8" fillId="0" borderId="5" xfId="1" applyFont="1" applyFill="1" applyBorder="1"/>
    <xf numFmtId="43" fontId="8" fillId="4" borderId="5" xfId="1" applyFont="1" applyFill="1" applyBorder="1"/>
    <xf numFmtId="10" fontId="12" fillId="4" borderId="2" xfId="2" applyNumberFormat="1" applyFont="1" applyFill="1" applyBorder="1"/>
    <xf numFmtId="43" fontId="8" fillId="4" borderId="2" xfId="1" applyFont="1" applyFill="1" applyBorder="1" applyAlignment="1">
      <alignment horizontal="right"/>
    </xf>
    <xf numFmtId="10" fontId="12" fillId="4" borderId="2" xfId="2" applyNumberFormat="1" applyFont="1" applyFill="1" applyBorder="1" applyAlignment="1">
      <alignment horizontal="right"/>
    </xf>
    <xf numFmtId="10" fontId="8" fillId="4" borderId="5" xfId="0" applyNumberFormat="1" applyFont="1" applyFill="1" applyBorder="1"/>
    <xf numFmtId="2" fontId="8" fillId="4" borderId="2" xfId="0" applyNumberFormat="1" applyFont="1" applyFill="1" applyBorder="1"/>
    <xf numFmtId="2" fontId="8" fillId="4" borderId="5" xfId="0" applyNumberFormat="1" applyFont="1" applyFill="1" applyBorder="1"/>
    <xf numFmtId="10" fontId="8" fillId="4" borderId="2" xfId="2" applyNumberFormat="1" applyFont="1" applyFill="1" applyBorder="1"/>
    <xf numFmtId="10" fontId="8" fillId="4" borderId="5" xfId="2" applyNumberFormat="1" applyFont="1" applyFill="1" applyBorder="1"/>
    <xf numFmtId="0" fontId="8" fillId="0" borderId="4" xfId="0" applyFont="1" applyBorder="1"/>
    <xf numFmtId="0" fontId="15" fillId="0" borderId="4" xfId="0" applyFont="1" applyBorder="1"/>
    <xf numFmtId="0" fontId="12" fillId="0" borderId="4" xfId="0" applyFont="1" applyBorder="1"/>
    <xf numFmtId="43" fontId="12" fillId="0" borderId="0" xfId="1" applyFont="1" applyFill="1" applyBorder="1"/>
    <xf numFmtId="0" fontId="11" fillId="0" borderId="4" xfId="0" applyFont="1" applyBorder="1" applyAlignment="1">
      <alignment horizontal="center"/>
    </xf>
    <xf numFmtId="10" fontId="17" fillId="4" borderId="2" xfId="0" applyNumberFormat="1" applyFont="1" applyFill="1" applyBorder="1"/>
    <xf numFmtId="10" fontId="11" fillId="4" borderId="2" xfId="2" applyNumberFormat="1" applyFont="1" applyFill="1" applyBorder="1"/>
    <xf numFmtId="0" fontId="11" fillId="0" borderId="2" xfId="0" applyFont="1" applyBorder="1" applyAlignment="1">
      <alignment horizontal="center"/>
    </xf>
    <xf numFmtId="165" fontId="12" fillId="4" borderId="2" xfId="1" applyNumberFormat="1" applyFont="1" applyFill="1" applyBorder="1"/>
    <xf numFmtId="3" fontId="12" fillId="0" borderId="2" xfId="0" applyNumberFormat="1" applyFont="1" applyBorder="1"/>
    <xf numFmtId="0" fontId="11" fillId="0" borderId="0" xfId="0" applyFont="1"/>
    <xf numFmtId="0" fontId="12" fillId="0" borderId="0" xfId="0" applyFont="1"/>
    <xf numFmtId="0" fontId="6" fillId="0" borderId="0" xfId="0" applyFont="1"/>
    <xf numFmtId="43" fontId="12" fillId="4" borderId="2" xfId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165" fontId="8" fillId="0" borderId="5" xfId="0" applyNumberFormat="1" applyFont="1" applyBorder="1"/>
    <xf numFmtId="165" fontId="8" fillId="0" borderId="2" xfId="0" applyNumberFormat="1" applyFont="1" applyBorder="1"/>
    <xf numFmtId="0" fontId="11" fillId="0" borderId="5" xfId="0" applyFont="1" applyBorder="1" applyAlignment="1">
      <alignment horizontal="center"/>
    </xf>
    <xf numFmtId="165" fontId="11" fillId="0" borderId="5" xfId="0" applyNumberFormat="1" applyFont="1" applyBorder="1"/>
    <xf numFmtId="165" fontId="12" fillId="0" borderId="5" xfId="0" applyNumberFormat="1" applyFont="1" applyBorder="1"/>
    <xf numFmtId="0" fontId="8" fillId="4" borderId="6" xfId="0" applyFont="1" applyFill="1" applyBorder="1"/>
    <xf numFmtId="165" fontId="10" fillId="4" borderId="6" xfId="1" applyNumberFormat="1" applyFont="1" applyFill="1" applyBorder="1"/>
    <xf numFmtId="165" fontId="11" fillId="4" borderId="6" xfId="1" applyNumberFormat="1" applyFont="1" applyFill="1" applyBorder="1"/>
    <xf numFmtId="43" fontId="13" fillId="4" borderId="2" xfId="1" applyFont="1" applyFill="1" applyBorder="1"/>
    <xf numFmtId="10" fontId="12" fillId="4" borderId="6" xfId="2" applyNumberFormat="1" applyFont="1" applyFill="1" applyBorder="1" applyAlignment="1">
      <alignment horizontal="right"/>
    </xf>
    <xf numFmtId="165" fontId="11" fillId="0" borderId="2" xfId="0" applyNumberFormat="1" applyFont="1" applyBorder="1"/>
    <xf numFmtId="165" fontId="12" fillId="0" borderId="2" xfId="0" applyNumberFormat="1" applyFont="1" applyBorder="1"/>
    <xf numFmtId="0" fontId="8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0"/>
  <sheetViews>
    <sheetView tabSelected="1" topLeftCell="H25" zoomScale="55" zoomScaleNormal="55" zoomScaleSheetLayoutView="82" workbookViewId="0">
      <selection activeCell="AC55" sqref="AC55"/>
    </sheetView>
  </sheetViews>
  <sheetFormatPr defaultColWidth="9.1796875" defaultRowHeight="15.5" x14ac:dyDescent="0.35"/>
  <cols>
    <col min="1" max="1" width="70.453125" style="1" bestFit="1" customWidth="1"/>
    <col min="2" max="4" width="11.1796875" style="2" hidden="1" customWidth="1"/>
    <col min="5" max="5" width="12.7265625" style="2" hidden="1" customWidth="1"/>
    <col min="6" max="6" width="12.81640625" style="1" hidden="1" customWidth="1"/>
    <col min="7" max="7" width="16.453125" style="1" hidden="1" customWidth="1"/>
    <col min="8" max="11" width="16.453125" style="1" bestFit="1" customWidth="1"/>
    <col min="12" max="12" width="16.453125" style="1" customWidth="1"/>
    <col min="13" max="14" width="16.453125" style="101" customWidth="1"/>
    <col min="15" max="15" width="10.1796875" style="1" customWidth="1"/>
    <col min="16" max="16" width="51.54296875" style="1" bestFit="1" customWidth="1"/>
    <col min="17" max="17" width="10.81640625" style="2" hidden="1" customWidth="1"/>
    <col min="18" max="18" width="13.81640625" style="2" hidden="1" customWidth="1"/>
    <col min="19" max="19" width="10.453125" style="2" hidden="1" customWidth="1"/>
    <col min="20" max="20" width="13.81640625" style="2" hidden="1" customWidth="1"/>
    <col min="21" max="21" width="11.81640625" style="1" hidden="1" customWidth="1"/>
    <col min="22" max="22" width="12.453125" style="1" hidden="1" customWidth="1"/>
    <col min="23" max="27" width="12.453125" style="1" bestFit="1" customWidth="1"/>
    <col min="28" max="28" width="13.453125" style="101" bestFit="1" customWidth="1"/>
    <col min="29" max="29" width="13.453125" style="1" bestFit="1" customWidth="1"/>
    <col min="30" max="16384" width="9.1796875" style="1"/>
  </cols>
  <sheetData>
    <row r="1" spans="1:30" ht="29.25" customHeight="1" x14ac:dyDescent="0.35">
      <c r="A1" s="119" t="s">
        <v>117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</row>
    <row r="2" spans="1:30" s="6" customFormat="1" ht="18.5" x14ac:dyDescent="0.45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</row>
    <row r="3" spans="1:30" s="6" customFormat="1" ht="18.5" x14ac:dyDescent="0.45">
      <c r="A3" s="117" t="s">
        <v>0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60"/>
      <c r="P3" s="122" t="s">
        <v>1</v>
      </c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4"/>
    </row>
    <row r="4" spans="1:30" s="6" customFormat="1" ht="15" customHeight="1" x14ac:dyDescent="0.45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109</v>
      </c>
      <c r="K4" s="8" t="s">
        <v>115</v>
      </c>
      <c r="L4" s="8" t="s">
        <v>118</v>
      </c>
      <c r="M4" s="93" t="s">
        <v>122</v>
      </c>
      <c r="N4" s="93" t="s">
        <v>126</v>
      </c>
      <c r="O4" s="60"/>
      <c r="P4" s="9" t="s">
        <v>2</v>
      </c>
      <c r="Q4" s="10" t="s">
        <v>3</v>
      </c>
      <c r="R4" s="10" t="s">
        <v>4</v>
      </c>
      <c r="S4" s="10" t="s">
        <v>5</v>
      </c>
      <c r="T4" s="10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109</v>
      </c>
      <c r="Z4" s="12" t="s">
        <v>115</v>
      </c>
      <c r="AA4" s="12" t="s">
        <v>118</v>
      </c>
      <c r="AB4" s="12" t="s">
        <v>122</v>
      </c>
      <c r="AC4" s="12" t="s">
        <v>126</v>
      </c>
    </row>
    <row r="5" spans="1:30" s="6" customFormat="1" ht="15" customHeight="1" x14ac:dyDescent="0.45">
      <c r="A5" s="9" t="s">
        <v>11</v>
      </c>
      <c r="B5" s="13"/>
      <c r="C5" s="13"/>
      <c r="D5" s="13"/>
      <c r="E5" s="13">
        <v>28723.8</v>
      </c>
      <c r="F5" s="14">
        <v>0</v>
      </c>
      <c r="G5" s="14">
        <v>11461.59</v>
      </c>
      <c r="H5" s="14">
        <v>13832.38</v>
      </c>
      <c r="I5" s="14">
        <v>13060.9</v>
      </c>
      <c r="J5" s="14">
        <v>15896.71</v>
      </c>
      <c r="K5" s="14">
        <v>19147.3</v>
      </c>
      <c r="L5" s="14">
        <v>22646.77</v>
      </c>
      <c r="M5" s="14">
        <v>24245.32</v>
      </c>
      <c r="N5" s="14">
        <v>12360.26</v>
      </c>
      <c r="O5" s="60"/>
      <c r="P5" s="15" t="s">
        <v>12</v>
      </c>
      <c r="Q5" s="16"/>
      <c r="R5" s="16"/>
      <c r="S5" s="16"/>
      <c r="T5" s="17">
        <v>1239.4000000000001</v>
      </c>
      <c r="U5" s="18">
        <v>0</v>
      </c>
      <c r="V5" s="18">
        <v>1480</v>
      </c>
      <c r="W5" s="18">
        <v>1480</v>
      </c>
      <c r="X5" s="18">
        <v>1480</v>
      </c>
      <c r="Y5" s="18">
        <v>1531.53</v>
      </c>
      <c r="Z5" s="18">
        <v>1544</v>
      </c>
      <c r="AA5" s="18">
        <v>1627.62</v>
      </c>
      <c r="AB5" s="18">
        <v>1643.65</v>
      </c>
      <c r="AC5" s="18">
        <v>1644.73</v>
      </c>
    </row>
    <row r="6" spans="1:30" s="6" customFormat="1" ht="15" customHeight="1" x14ac:dyDescent="0.45">
      <c r="A6" s="15" t="s">
        <v>13</v>
      </c>
      <c r="B6" s="16"/>
      <c r="C6" s="16"/>
      <c r="D6" s="16"/>
      <c r="E6" s="16">
        <v>347.8</v>
      </c>
      <c r="F6" s="19">
        <v>0</v>
      </c>
      <c r="G6" s="19">
        <f>14.38+117.22</f>
        <v>131.6</v>
      </c>
      <c r="H6" s="19">
        <f>29.28+21.28</f>
        <v>50.56</v>
      </c>
      <c r="I6" s="19">
        <f>59.19+99.12</f>
        <v>158.31</v>
      </c>
      <c r="J6" s="19">
        <f>34.85+44.25</f>
        <v>79.099999999999994</v>
      </c>
      <c r="K6" s="19">
        <v>147.18</v>
      </c>
      <c r="L6" s="19">
        <v>340.15</v>
      </c>
      <c r="M6" s="19">
        <v>506.82</v>
      </c>
      <c r="N6" s="19">
        <v>272.64</v>
      </c>
      <c r="O6" s="60"/>
      <c r="P6" s="15" t="s">
        <v>14</v>
      </c>
      <c r="Q6" s="16"/>
      <c r="R6" s="16"/>
      <c r="S6" s="16"/>
      <c r="T6" s="17">
        <v>7161.8</v>
      </c>
      <c r="U6" s="18">
        <v>0</v>
      </c>
      <c r="V6" s="18">
        <v>5978.98</v>
      </c>
      <c r="W6" s="18">
        <v>7023.91</v>
      </c>
      <c r="X6" s="18">
        <v>8364.76</v>
      </c>
      <c r="Y6" s="18">
        <v>11029.77</v>
      </c>
      <c r="Z6" s="18">
        <v>14080.55</v>
      </c>
      <c r="AA6" s="18">
        <v>17839.97</v>
      </c>
      <c r="AB6" s="18">
        <v>21021.49</v>
      </c>
      <c r="AC6" s="18">
        <v>21687.57</v>
      </c>
    </row>
    <row r="7" spans="1:30" s="6" customFormat="1" ht="15" customHeight="1" x14ac:dyDescent="0.45">
      <c r="A7" s="20" t="s">
        <v>15</v>
      </c>
      <c r="B7" s="21">
        <f t="shared" ref="B7:F7" si="0">B5+B6</f>
        <v>0</v>
      </c>
      <c r="C7" s="21">
        <f t="shared" si="0"/>
        <v>0</v>
      </c>
      <c r="D7" s="21">
        <f t="shared" si="0"/>
        <v>0</v>
      </c>
      <c r="E7" s="21">
        <f t="shared" si="0"/>
        <v>29071.599999999999</v>
      </c>
      <c r="F7" s="21">
        <f t="shared" si="0"/>
        <v>0</v>
      </c>
      <c r="G7" s="21">
        <f t="shared" ref="G7:K7" si="1">G5+G6</f>
        <v>11593.19</v>
      </c>
      <c r="H7" s="21">
        <f t="shared" si="1"/>
        <v>13882.939999999999</v>
      </c>
      <c r="I7" s="21">
        <f t="shared" si="1"/>
        <v>13219.21</v>
      </c>
      <c r="J7" s="21">
        <f>J5+J6</f>
        <v>15975.81</v>
      </c>
      <c r="K7" s="21">
        <f t="shared" si="1"/>
        <v>19294.48</v>
      </c>
      <c r="L7" s="21">
        <f>L5+L6</f>
        <v>22986.920000000002</v>
      </c>
      <c r="M7" s="21">
        <f>M5+M6</f>
        <v>24752.14</v>
      </c>
      <c r="N7" s="21">
        <f>N5+N6</f>
        <v>12632.9</v>
      </c>
      <c r="O7" s="60"/>
      <c r="P7" s="20" t="s">
        <v>16</v>
      </c>
      <c r="Q7" s="21">
        <f>(Q5+Q6)</f>
        <v>0</v>
      </c>
      <c r="R7" s="21">
        <f>(R5+R6)</f>
        <v>0</v>
      </c>
      <c r="S7" s="21">
        <f>(S5+S6)</f>
        <v>0</v>
      </c>
      <c r="T7" s="21">
        <f>(T5+T6)+T10</f>
        <v>8401.2000000000007</v>
      </c>
      <c r="U7" s="21">
        <f>(U5+U6)+U10</f>
        <v>0</v>
      </c>
      <c r="V7" s="21">
        <f>(V5+V6)+V10</f>
        <v>7458.98</v>
      </c>
      <c r="W7" s="21">
        <f>(W5+W6)+W10</f>
        <v>8503.91</v>
      </c>
      <c r="X7" s="21">
        <f>(X5+X6)+X10</f>
        <v>9844.76</v>
      </c>
      <c r="Y7" s="21">
        <f>(Y5+Y6)</f>
        <v>12561.300000000001</v>
      </c>
      <c r="Z7" s="21">
        <f>(Z5+Z6)</f>
        <v>15624.55</v>
      </c>
      <c r="AA7" s="21">
        <f>(AA5+AA6)</f>
        <v>19467.59</v>
      </c>
      <c r="AB7" s="21">
        <f>(AB5+AB6)</f>
        <v>22665.140000000003</v>
      </c>
      <c r="AC7" s="21">
        <f>(AC5+AC6)</f>
        <v>23332.3</v>
      </c>
    </row>
    <row r="8" spans="1:30" s="6" customFormat="1" ht="15" customHeight="1" x14ac:dyDescent="0.45">
      <c r="A8" s="22" t="s">
        <v>17</v>
      </c>
      <c r="B8" s="23"/>
      <c r="C8" s="24"/>
      <c r="D8" s="24"/>
      <c r="E8" s="24"/>
      <c r="F8" s="24">
        <f t="shared" ref="F8" si="2">(F7/E7-1)</f>
        <v>-1</v>
      </c>
      <c r="G8" s="24"/>
      <c r="H8" s="24">
        <f t="shared" ref="H8:K8" si="3">(H7/G7-1)</f>
        <v>0.19750819230945038</v>
      </c>
      <c r="I8" s="24">
        <f t="shared" si="3"/>
        <v>-4.7809037566970636E-2</v>
      </c>
      <c r="J8" s="24">
        <f t="shared" si="3"/>
        <v>0.2085298591973348</v>
      </c>
      <c r="K8" s="24">
        <f t="shared" si="3"/>
        <v>0.20773093821220967</v>
      </c>
      <c r="L8" s="24">
        <f>(L7/K7-1)</f>
        <v>0.19137286933879549</v>
      </c>
      <c r="M8" s="24">
        <f>(M7/L7-1)</f>
        <v>7.6792367137485051E-2</v>
      </c>
      <c r="N8" s="24" t="s">
        <v>116</v>
      </c>
      <c r="O8" s="60"/>
      <c r="P8" s="15" t="s">
        <v>19</v>
      </c>
      <c r="Q8" s="16"/>
      <c r="R8" s="16"/>
      <c r="S8" s="16"/>
      <c r="T8" s="17">
        <v>3316.7</v>
      </c>
      <c r="U8" s="18">
        <v>0</v>
      </c>
      <c r="V8" s="18">
        <v>599.12</v>
      </c>
      <c r="W8" s="18">
        <v>633.66</v>
      </c>
      <c r="X8" s="18">
        <v>945.38</v>
      </c>
      <c r="Y8" s="18">
        <v>1467.61</v>
      </c>
      <c r="Z8" s="18">
        <v>1528.03</v>
      </c>
      <c r="AA8" s="18">
        <v>1281.1400000000001</v>
      </c>
      <c r="AB8" s="18">
        <v>1320.54</v>
      </c>
      <c r="AC8" s="18">
        <v>1371.9</v>
      </c>
    </row>
    <row r="9" spans="1:30" s="6" customFormat="1" ht="15" customHeight="1" x14ac:dyDescent="0.45">
      <c r="A9" s="22" t="s">
        <v>18</v>
      </c>
      <c r="B9" s="23"/>
      <c r="C9" s="25"/>
      <c r="D9" s="25"/>
      <c r="E9" s="25"/>
      <c r="F9" s="24"/>
      <c r="G9" s="24"/>
      <c r="H9" s="24"/>
      <c r="I9" s="24"/>
      <c r="J9" s="24">
        <f>(J7/G7)^(1/3)-1</f>
        <v>0.1128073302483974</v>
      </c>
      <c r="K9" s="24">
        <f>(K7/H7)^(1/3)-1</f>
        <v>0.11596492264430491</v>
      </c>
      <c r="L9" s="24">
        <f>(L7/I7)^(1/3)-1</f>
        <v>0.20251848449887588</v>
      </c>
      <c r="M9" s="24">
        <f>(M7/J7)^(1/3)-1</f>
        <v>0.15713302488412295</v>
      </c>
      <c r="N9" s="112" t="s">
        <v>116</v>
      </c>
      <c r="O9" s="60"/>
      <c r="P9" s="15" t="s">
        <v>21</v>
      </c>
      <c r="Q9" s="16"/>
      <c r="R9" s="16"/>
      <c r="S9" s="16"/>
      <c r="T9" s="17">
        <v>1615.2</v>
      </c>
      <c r="U9" s="18"/>
      <c r="V9" s="18">
        <v>168.24</v>
      </c>
      <c r="W9" s="18">
        <v>190.96</v>
      </c>
      <c r="X9" s="18">
        <v>191.01</v>
      </c>
      <c r="Y9" s="18">
        <f>201.04</f>
        <v>201.04</v>
      </c>
      <c r="Z9" s="18">
        <v>211.12</v>
      </c>
      <c r="AA9" s="18">
        <v>239.27</v>
      </c>
      <c r="AB9" s="18">
        <v>253.88</v>
      </c>
      <c r="AC9" s="18">
        <v>299.92</v>
      </c>
    </row>
    <row r="10" spans="1:30" s="6" customFormat="1" ht="15" customHeight="1" x14ac:dyDescent="0.45">
      <c r="A10" s="20" t="s">
        <v>20</v>
      </c>
      <c r="B10" s="21">
        <f t="shared" ref="B10:F10" si="4">SUM(B11:B15)</f>
        <v>0</v>
      </c>
      <c r="C10" s="21">
        <f t="shared" si="4"/>
        <v>0</v>
      </c>
      <c r="D10" s="21">
        <f t="shared" si="4"/>
        <v>0</v>
      </c>
      <c r="E10" s="21">
        <f t="shared" si="4"/>
        <v>25563.199999999997</v>
      </c>
      <c r="F10" s="21">
        <f t="shared" si="4"/>
        <v>0</v>
      </c>
      <c r="G10" s="21">
        <f>SUM(G11:G15)</f>
        <v>9482.26</v>
      </c>
      <c r="H10" s="21">
        <f>SUM(H11:H15)</f>
        <v>11293.31</v>
      </c>
      <c r="I10" s="21">
        <f t="shared" ref="I10" si="5">SUM(I11:I15)-I20-I21</f>
        <v>10124.830000000002</v>
      </c>
      <c r="J10" s="21">
        <f>SUM(J11:J15)-J20-J21</f>
        <v>11899.03</v>
      </c>
      <c r="K10" s="21">
        <f>SUM(K11:K15)</f>
        <v>13769.98</v>
      </c>
      <c r="L10" s="21">
        <f>SUM(L11:L15)</f>
        <v>16652.07</v>
      </c>
      <c r="M10" s="28">
        <f>SUM(M11:M15)</f>
        <v>17977.21</v>
      </c>
      <c r="N10" s="28">
        <f>SUM(N11:N15)</f>
        <v>9407.26</v>
      </c>
      <c r="O10" s="60"/>
      <c r="P10" s="15" t="s">
        <v>110</v>
      </c>
      <c r="Q10" s="16"/>
      <c r="R10" s="16"/>
      <c r="S10" s="16"/>
      <c r="T10" s="17">
        <v>0</v>
      </c>
      <c r="U10" s="18">
        <v>0</v>
      </c>
      <c r="V10" s="18">
        <v>0</v>
      </c>
      <c r="W10" s="18">
        <v>0</v>
      </c>
      <c r="X10" s="18">
        <v>0</v>
      </c>
      <c r="Y10" s="18">
        <v>9.25</v>
      </c>
      <c r="Z10" s="18">
        <v>6.14</v>
      </c>
      <c r="AA10" s="18">
        <v>81.540000000000006</v>
      </c>
      <c r="AB10" s="18">
        <v>58.98</v>
      </c>
      <c r="AC10" s="18">
        <v>85.58</v>
      </c>
    </row>
    <row r="11" spans="1:30" s="6" customFormat="1" ht="15" customHeight="1" x14ac:dyDescent="0.45">
      <c r="A11" s="15" t="s">
        <v>22</v>
      </c>
      <c r="B11" s="18"/>
      <c r="C11" s="18"/>
      <c r="D11" s="18"/>
      <c r="E11" s="26">
        <v>15778.3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60"/>
      <c r="P11" s="20" t="s">
        <v>23</v>
      </c>
      <c r="Q11" s="21">
        <f t="shared" ref="Q11:X11" si="6">(Q8+Q9)</f>
        <v>0</v>
      </c>
      <c r="R11" s="21">
        <f t="shared" si="6"/>
        <v>0</v>
      </c>
      <c r="S11" s="21">
        <f t="shared" si="6"/>
        <v>0</v>
      </c>
      <c r="T11" s="27">
        <f t="shared" si="6"/>
        <v>4931.8999999999996</v>
      </c>
      <c r="U11" s="21">
        <f t="shared" si="6"/>
        <v>0</v>
      </c>
      <c r="V11" s="21">
        <f t="shared" si="6"/>
        <v>767.36</v>
      </c>
      <c r="W11" s="21">
        <f t="shared" si="6"/>
        <v>824.62</v>
      </c>
      <c r="X11" s="21">
        <f t="shared" si="6"/>
        <v>1136.3899999999999</v>
      </c>
      <c r="Y11" s="21">
        <f>Y8+Y9+Y10</f>
        <v>1677.8999999999999</v>
      </c>
      <c r="Z11" s="21">
        <f>Z8+Z9+Z10</f>
        <v>1745.2900000000002</v>
      </c>
      <c r="AA11" s="21">
        <f>AA8+AA9+AA10</f>
        <v>1601.95</v>
      </c>
      <c r="AB11" s="21">
        <f>AB8+AB9+AB10</f>
        <v>1633.4</v>
      </c>
      <c r="AC11" s="21">
        <f>AC8+AC9+AC10</f>
        <v>1757.4</v>
      </c>
    </row>
    <row r="12" spans="1:30" s="6" customFormat="1" ht="15" customHeight="1" x14ac:dyDescent="0.45">
      <c r="A12" s="15" t="s">
        <v>24</v>
      </c>
      <c r="B12" s="18"/>
      <c r="C12" s="18"/>
      <c r="D12" s="18"/>
      <c r="E12" s="26">
        <v>2387.8000000000002</v>
      </c>
      <c r="F12" s="19">
        <v>0</v>
      </c>
      <c r="G12" s="19">
        <v>1005.6</v>
      </c>
      <c r="H12" s="19">
        <v>1814.6</v>
      </c>
      <c r="I12" s="19">
        <v>2069.54</v>
      </c>
      <c r="J12" s="19">
        <v>1360.86</v>
      </c>
      <c r="K12" s="19">
        <v>1132.07</v>
      </c>
      <c r="L12" s="19">
        <v>2515.6799999999998</v>
      </c>
      <c r="M12" s="19">
        <v>1953.68</v>
      </c>
      <c r="N12" s="19">
        <v>845.07</v>
      </c>
      <c r="O12" s="60"/>
      <c r="P12" s="20"/>
      <c r="Q12" s="21"/>
      <c r="R12" s="21"/>
      <c r="S12" s="21"/>
      <c r="T12" s="27"/>
      <c r="U12" s="21"/>
      <c r="V12" s="21"/>
      <c r="W12" s="21"/>
      <c r="X12" s="21"/>
      <c r="Y12" s="21"/>
      <c r="Z12" s="21"/>
      <c r="AA12" s="21"/>
      <c r="AB12" s="21"/>
      <c r="AC12" s="21"/>
    </row>
    <row r="13" spans="1:30" s="6" customFormat="1" ht="15" customHeight="1" x14ac:dyDescent="0.45">
      <c r="A13" s="15" t="s">
        <v>25</v>
      </c>
      <c r="B13" s="18"/>
      <c r="C13" s="18"/>
      <c r="D13" s="18"/>
      <c r="E13" s="26">
        <v>-438.3</v>
      </c>
      <c r="F13" s="19">
        <v>0</v>
      </c>
      <c r="G13" s="19">
        <v>-113.9</v>
      </c>
      <c r="H13" s="19">
        <v>98.57</v>
      </c>
      <c r="I13" s="19">
        <v>-273.06</v>
      </c>
      <c r="J13" s="19">
        <v>177.1</v>
      </c>
      <c r="K13" s="19">
        <v>29.67</v>
      </c>
      <c r="L13" s="19">
        <v>-567.04</v>
      </c>
      <c r="M13" s="19">
        <v>435.76</v>
      </c>
      <c r="N13" s="19">
        <v>211.2</v>
      </c>
      <c r="O13" s="60"/>
      <c r="P13" s="20" t="s">
        <v>27</v>
      </c>
      <c r="Q13" s="21">
        <f>(Q7+Q8+Q10+Q52)</f>
        <v>0</v>
      </c>
      <c r="R13" s="21">
        <f>(R7+R8+R10+R52)</f>
        <v>0</v>
      </c>
      <c r="S13" s="21">
        <f>(S7+S8+S10+S52)</f>
        <v>0</v>
      </c>
      <c r="T13" s="21">
        <f>(T7+T8+T52)</f>
        <v>11844.7</v>
      </c>
      <c r="U13" s="21">
        <f>(U7+U8+U52)</f>
        <v>0</v>
      </c>
      <c r="V13" s="21">
        <f t="shared" ref="V13:Z13" si="7">V7+V11</f>
        <v>8226.34</v>
      </c>
      <c r="W13" s="21">
        <f t="shared" si="7"/>
        <v>9328.5300000000007</v>
      </c>
      <c r="X13" s="21">
        <f t="shared" si="7"/>
        <v>10981.15</v>
      </c>
      <c r="Y13" s="21">
        <f t="shared" si="7"/>
        <v>14239.2</v>
      </c>
      <c r="Z13" s="21">
        <f t="shared" si="7"/>
        <v>17369.84</v>
      </c>
      <c r="AA13" s="21">
        <f>AA7+AA11</f>
        <v>21069.54</v>
      </c>
      <c r="AB13" s="21">
        <f>AB7+AB11</f>
        <v>24298.540000000005</v>
      </c>
      <c r="AC13" s="21">
        <f>AC7+AC11</f>
        <v>25089.7</v>
      </c>
      <c r="AD13" s="6" t="s">
        <v>114</v>
      </c>
    </row>
    <row r="14" spans="1:30" s="6" customFormat="1" ht="15" customHeight="1" x14ac:dyDescent="0.45">
      <c r="A14" s="15" t="s">
        <v>26</v>
      </c>
      <c r="B14" s="18"/>
      <c r="C14" s="18"/>
      <c r="D14" s="18"/>
      <c r="E14" s="26">
        <v>1594.5</v>
      </c>
      <c r="F14" s="19">
        <v>0</v>
      </c>
      <c r="G14" s="19">
        <v>2134.7800000000002</v>
      </c>
      <c r="H14" s="19">
        <v>2193.5300000000002</v>
      </c>
      <c r="I14" s="19">
        <v>2015.84</v>
      </c>
      <c r="J14" s="19">
        <v>2315.4499999999998</v>
      </c>
      <c r="K14" s="19">
        <v>2648.89</v>
      </c>
      <c r="L14" s="19">
        <v>3321.01</v>
      </c>
      <c r="M14" s="19">
        <v>3445.3</v>
      </c>
      <c r="N14" s="19">
        <v>1750.67</v>
      </c>
      <c r="O14" s="60"/>
      <c r="P14" s="20" t="s">
        <v>27</v>
      </c>
      <c r="Q14" s="28">
        <f>Q54-Q38-Q9</f>
        <v>0</v>
      </c>
      <c r="R14" s="28">
        <f>R54-R38-R9</f>
        <v>0</v>
      </c>
      <c r="S14" s="28">
        <f>S54-S38-S9</f>
        <v>0</v>
      </c>
      <c r="T14" s="28">
        <f>T54-T38-T9-T51</f>
        <v>12054.3</v>
      </c>
      <c r="U14" s="28">
        <f>U54-U38-U9-U51</f>
        <v>0</v>
      </c>
      <c r="V14" s="28">
        <f t="shared" ref="V14:AC14" si="8">V54-V38</f>
        <v>8412.0499999999993</v>
      </c>
      <c r="W14" s="28">
        <f t="shared" si="8"/>
        <v>9328.5299999999988</v>
      </c>
      <c r="X14" s="28">
        <f t="shared" si="8"/>
        <v>10981.14</v>
      </c>
      <c r="Y14" s="28">
        <f t="shared" si="8"/>
        <v>14239.199999999999</v>
      </c>
      <c r="Z14" s="28">
        <f t="shared" si="8"/>
        <v>17369.839999999997</v>
      </c>
      <c r="AA14" s="28">
        <f t="shared" si="8"/>
        <v>21069.539999999997</v>
      </c>
      <c r="AB14" s="28">
        <f t="shared" si="8"/>
        <v>24298.539999999997</v>
      </c>
      <c r="AC14" s="28">
        <f t="shared" si="8"/>
        <v>25089.699999999997</v>
      </c>
      <c r="AD14" s="6" t="s">
        <v>113</v>
      </c>
    </row>
    <row r="15" spans="1:30" s="6" customFormat="1" ht="15" customHeight="1" x14ac:dyDescent="0.45">
      <c r="A15" s="15" t="s">
        <v>121</v>
      </c>
      <c r="B15" s="18"/>
      <c r="C15" s="18"/>
      <c r="D15" s="18"/>
      <c r="E15" s="26">
        <f>2922.4+3273+60.6-15.1</f>
        <v>6240.9</v>
      </c>
      <c r="F15" s="19">
        <v>0</v>
      </c>
      <c r="G15" s="19">
        <v>6455.78</v>
      </c>
      <c r="H15" s="19">
        <v>7186.61</v>
      </c>
      <c r="I15" s="19">
        <v>7029.38</v>
      </c>
      <c r="J15" s="19">
        <v>9107.9500000000007</v>
      </c>
      <c r="K15" s="19">
        <v>9959.35</v>
      </c>
      <c r="L15" s="19">
        <f>4493.14+6889.28</f>
        <v>11382.42</v>
      </c>
      <c r="M15" s="19">
        <f>4818.56+7323.91</f>
        <v>12142.470000000001</v>
      </c>
      <c r="N15" s="19">
        <f>3975.67+2624.65</f>
        <v>6600.32</v>
      </c>
      <c r="O15" s="60"/>
      <c r="P15" s="15" t="s">
        <v>29</v>
      </c>
      <c r="Q15" s="29">
        <f>Q13-Q14</f>
        <v>0</v>
      </c>
      <c r="R15" s="29"/>
      <c r="S15" s="29"/>
      <c r="T15" s="30">
        <v>4391</v>
      </c>
      <c r="U15" s="31">
        <v>2759.01</v>
      </c>
      <c r="V15" s="31">
        <v>2976.74</v>
      </c>
      <c r="W15" s="31">
        <v>3609.4</v>
      </c>
      <c r="X15" s="31">
        <v>4468.32</v>
      </c>
      <c r="Y15" s="31">
        <v>6428.77</v>
      </c>
      <c r="Z15" s="31">
        <v>8166.33</v>
      </c>
      <c r="AA15" s="31" t="s">
        <v>116</v>
      </c>
      <c r="AB15" s="31" t="s">
        <v>116</v>
      </c>
      <c r="AC15" s="31" t="s">
        <v>116</v>
      </c>
    </row>
    <row r="16" spans="1:30" s="6" customFormat="1" ht="15" customHeight="1" x14ac:dyDescent="0.45">
      <c r="A16" s="20" t="s">
        <v>28</v>
      </c>
      <c r="B16" s="21">
        <f t="shared" ref="B16:F16" si="9">(B7-B10)</f>
        <v>0</v>
      </c>
      <c r="C16" s="21">
        <f t="shared" si="9"/>
        <v>0</v>
      </c>
      <c r="D16" s="21">
        <f t="shared" si="9"/>
        <v>0</v>
      </c>
      <c r="E16" s="21">
        <f t="shared" si="9"/>
        <v>3508.4000000000015</v>
      </c>
      <c r="F16" s="21">
        <f t="shared" si="9"/>
        <v>0</v>
      </c>
      <c r="G16" s="21">
        <f t="shared" ref="G16:I16" si="10">(G5-G10)</f>
        <v>1979.33</v>
      </c>
      <c r="H16" s="21">
        <f t="shared" si="10"/>
        <v>2539.0699999999997</v>
      </c>
      <c r="I16" s="21">
        <f t="shared" si="10"/>
        <v>2936.0699999999979</v>
      </c>
      <c r="J16" s="21">
        <f>(J5-J10)</f>
        <v>3997.6799999999985</v>
      </c>
      <c r="K16" s="21">
        <f>(K5-K10)</f>
        <v>5377.32</v>
      </c>
      <c r="L16" s="21">
        <f>(L5-L10)</f>
        <v>5994.7000000000007</v>
      </c>
      <c r="M16" s="28">
        <f>(M5-M10)</f>
        <v>6268.1100000000006</v>
      </c>
      <c r="N16" s="28">
        <f>(N5-N10)</f>
        <v>2953</v>
      </c>
      <c r="O16" s="60"/>
      <c r="P16" s="20" t="s">
        <v>119</v>
      </c>
      <c r="Q16" s="32"/>
      <c r="R16" s="32"/>
      <c r="S16" s="32"/>
      <c r="T16" s="32"/>
      <c r="U16" s="16"/>
      <c r="V16" s="28">
        <f t="shared" ref="V16:Z16" si="11">SUM(V17:V27)</f>
        <v>4950.97</v>
      </c>
      <c r="W16" s="28">
        <f t="shared" si="11"/>
        <v>5130.8099999999995</v>
      </c>
      <c r="X16" s="28">
        <f t="shared" si="11"/>
        <v>6314.8499999999995</v>
      </c>
      <c r="Y16" s="28">
        <f t="shared" si="11"/>
        <v>9011.76</v>
      </c>
      <c r="Z16" s="28">
        <f t="shared" si="11"/>
        <v>10230.059999999998</v>
      </c>
      <c r="AA16" s="28">
        <f>SUM(AA17:AA27)</f>
        <v>10403.98</v>
      </c>
      <c r="AB16" s="28">
        <f>SUM(AB17:AB27)</f>
        <v>13108.94</v>
      </c>
      <c r="AC16" s="28">
        <f>SUM(AC17:AC27)</f>
        <v>14900.02</v>
      </c>
    </row>
    <row r="17" spans="1:29" s="6" customFormat="1" ht="15" customHeight="1" x14ac:dyDescent="0.45">
      <c r="A17" s="22" t="s">
        <v>17</v>
      </c>
      <c r="B17" s="23"/>
      <c r="C17" s="24"/>
      <c r="D17" s="24"/>
      <c r="E17" s="24"/>
      <c r="F17" s="24"/>
      <c r="G17" s="24"/>
      <c r="H17" s="24">
        <f t="shared" ref="H17:K17" si="12">(H16/G16-1)</f>
        <v>0.28279266216345933</v>
      </c>
      <c r="I17" s="24">
        <f t="shared" si="12"/>
        <v>0.15635646122399072</v>
      </c>
      <c r="J17" s="24">
        <f t="shared" si="12"/>
        <v>0.36157516680460655</v>
      </c>
      <c r="K17" s="24">
        <f t="shared" si="12"/>
        <v>0.34511016389505955</v>
      </c>
      <c r="L17" s="24">
        <f>(L16/K16-1)</f>
        <v>0.11481183935492045</v>
      </c>
      <c r="M17" s="24">
        <f>(M16/L16-1)</f>
        <v>4.5608620948504486E-2</v>
      </c>
      <c r="N17" s="24" t="s">
        <v>116</v>
      </c>
      <c r="O17" s="60"/>
      <c r="P17" s="15" t="s">
        <v>31</v>
      </c>
      <c r="Q17" s="16"/>
      <c r="R17" s="16"/>
      <c r="S17" s="16"/>
      <c r="T17" s="17">
        <v>1536.6</v>
      </c>
      <c r="U17" s="18">
        <v>0</v>
      </c>
      <c r="V17" s="18">
        <v>803.52</v>
      </c>
      <c r="W17" s="18">
        <v>1206.1300000000001</v>
      </c>
      <c r="X17" s="18">
        <v>1897</v>
      </c>
      <c r="Y17" s="18">
        <v>3469.71</v>
      </c>
      <c r="Z17" s="18">
        <v>4696.9399999999996</v>
      </c>
      <c r="AA17" s="18">
        <v>4677.03</v>
      </c>
      <c r="AB17" s="18">
        <v>4842.3900000000003</v>
      </c>
      <c r="AC17" s="18">
        <v>5862.83</v>
      </c>
    </row>
    <row r="18" spans="1:29" s="6" customFormat="1" ht="15" customHeight="1" x14ac:dyDescent="0.45">
      <c r="A18" s="22" t="s">
        <v>18</v>
      </c>
      <c r="B18" s="23"/>
      <c r="C18" s="24"/>
      <c r="D18" s="24"/>
      <c r="E18" s="24"/>
      <c r="F18" s="24"/>
      <c r="G18" s="24"/>
      <c r="H18" s="24"/>
      <c r="I18" s="24"/>
      <c r="J18" s="24">
        <f>(J16/G16)^(1/3)-1</f>
        <v>0.26404714895465764</v>
      </c>
      <c r="K18" s="24">
        <f>(K16/H16)^(1/3)-1</f>
        <v>0.28419330822709732</v>
      </c>
      <c r="L18" s="24">
        <f>(L16/I16)^(1/3)-1</f>
        <v>0.26862621903735606</v>
      </c>
      <c r="M18" s="24">
        <f>(M16/J16)^(1/3)-1</f>
        <v>0.16174156339968215</v>
      </c>
      <c r="N18" s="112" t="s">
        <v>116</v>
      </c>
      <c r="O18" s="60"/>
      <c r="P18" s="15" t="s">
        <v>33</v>
      </c>
      <c r="Q18" s="16"/>
      <c r="R18" s="16"/>
      <c r="S18" s="16"/>
      <c r="T18" s="17">
        <v>1.1000000000000001</v>
      </c>
      <c r="U18" s="18">
        <v>0</v>
      </c>
      <c r="V18" s="18">
        <v>4.01</v>
      </c>
      <c r="W18" s="18">
        <v>28.86</v>
      </c>
      <c r="X18" s="18">
        <v>226.81</v>
      </c>
      <c r="Y18" s="18">
        <v>435.83</v>
      </c>
      <c r="Z18" s="18">
        <v>203.13</v>
      </c>
      <c r="AA18" s="18">
        <v>147.30000000000001</v>
      </c>
      <c r="AB18" s="18">
        <v>1525.48</v>
      </c>
      <c r="AC18" s="18">
        <v>1415.56</v>
      </c>
    </row>
    <row r="19" spans="1:29" s="6" customFormat="1" ht="15" customHeight="1" x14ac:dyDescent="0.45">
      <c r="A19" s="20" t="s">
        <v>30</v>
      </c>
      <c r="B19" s="33" t="e">
        <f t="shared" ref="B19:F19" si="13">(B16/B7)</f>
        <v>#DIV/0!</v>
      </c>
      <c r="C19" s="33" t="e">
        <f t="shared" si="13"/>
        <v>#DIV/0!</v>
      </c>
      <c r="D19" s="33" t="e">
        <f t="shared" si="13"/>
        <v>#DIV/0!</v>
      </c>
      <c r="E19" s="33">
        <f t="shared" si="13"/>
        <v>0.12068135224755437</v>
      </c>
      <c r="F19" s="33" t="e">
        <f t="shared" si="13"/>
        <v>#DIV/0!</v>
      </c>
      <c r="G19" s="33">
        <f t="shared" ref="G19:I19" si="14">(G16/G5)</f>
        <v>0.17269244494001268</v>
      </c>
      <c r="H19" s="33">
        <f t="shared" si="14"/>
        <v>0.18355987906636456</v>
      </c>
      <c r="I19" s="33">
        <f t="shared" si="14"/>
        <v>0.22479844421134823</v>
      </c>
      <c r="J19" s="33">
        <f>(J16/J5)</f>
        <v>0.25147845057247686</v>
      </c>
      <c r="K19" s="33">
        <f>(K16/K5)</f>
        <v>0.28083959618327387</v>
      </c>
      <c r="L19" s="33">
        <f>(L16/L5)</f>
        <v>0.2647044148017576</v>
      </c>
      <c r="M19" s="33">
        <f>(M16/M5)</f>
        <v>0.25852865625201071</v>
      </c>
      <c r="N19" s="33">
        <f>(N16/N5)</f>
        <v>0.2389108319727902</v>
      </c>
      <c r="O19" s="60"/>
      <c r="P19" s="15" t="s">
        <v>35</v>
      </c>
      <c r="Q19" s="16"/>
      <c r="R19" s="16"/>
      <c r="S19" s="16"/>
      <c r="T19" s="17"/>
      <c r="U19" s="18"/>
      <c r="V19" s="18">
        <v>812.74</v>
      </c>
      <c r="W19" s="18">
        <v>838.59</v>
      </c>
      <c r="X19" s="18">
        <v>1210.79</v>
      </c>
      <c r="Y19" s="18">
        <v>1799.99</v>
      </c>
      <c r="Z19" s="18">
        <v>1826.45</v>
      </c>
      <c r="AA19" s="18">
        <v>1557.51</v>
      </c>
      <c r="AB19" s="18">
        <v>1623.93</v>
      </c>
      <c r="AC19" s="18">
        <v>1693.1</v>
      </c>
    </row>
    <row r="20" spans="1:29" s="6" customFormat="1" ht="15" customHeight="1" x14ac:dyDescent="0.45">
      <c r="A20" s="15" t="s">
        <v>32</v>
      </c>
      <c r="B20" s="16"/>
      <c r="C20" s="16"/>
      <c r="D20" s="16"/>
      <c r="E20" s="16">
        <v>261.8</v>
      </c>
      <c r="F20" s="16">
        <v>0</v>
      </c>
      <c r="G20" s="16">
        <v>537.15</v>
      </c>
      <c r="H20" s="16">
        <v>565.87</v>
      </c>
      <c r="I20" s="16">
        <v>634.54999999999995</v>
      </c>
      <c r="J20" s="16">
        <v>918.43</v>
      </c>
      <c r="K20" s="16">
        <v>1318.18</v>
      </c>
      <c r="L20" s="16">
        <v>1502.16</v>
      </c>
      <c r="M20" s="19">
        <v>1614.57</v>
      </c>
      <c r="N20" s="19">
        <v>927.08</v>
      </c>
      <c r="O20" s="60"/>
      <c r="P20" s="15" t="s">
        <v>36</v>
      </c>
      <c r="Q20" s="16"/>
      <c r="R20" s="16"/>
      <c r="S20" s="16"/>
      <c r="T20" s="17">
        <v>192.2</v>
      </c>
      <c r="U20" s="18">
        <v>0</v>
      </c>
      <c r="V20" s="18">
        <v>2033.63</v>
      </c>
      <c r="W20" s="18">
        <v>2033.63</v>
      </c>
      <c r="X20" s="18">
        <v>2033.63</v>
      </c>
      <c r="Y20" s="18">
        <v>2060.77</v>
      </c>
      <c r="Z20" s="18">
        <v>2060.77</v>
      </c>
      <c r="AA20" s="18">
        <v>2060.77</v>
      </c>
      <c r="AB20" s="18">
        <v>2060.77</v>
      </c>
      <c r="AC20" s="18">
        <v>2060.77</v>
      </c>
    </row>
    <row r="21" spans="1:29" s="6" customFormat="1" ht="15" customHeight="1" x14ac:dyDescent="0.45">
      <c r="A21" s="15" t="s">
        <v>34</v>
      </c>
      <c r="B21" s="16"/>
      <c r="C21" s="16"/>
      <c r="D21" s="16"/>
      <c r="E21" s="16">
        <v>615</v>
      </c>
      <c r="F21" s="16">
        <v>0</v>
      </c>
      <c r="G21" s="16">
        <v>74.489999999999995</v>
      </c>
      <c r="H21" s="16">
        <v>73.150000000000006</v>
      </c>
      <c r="I21" s="16">
        <v>82.32</v>
      </c>
      <c r="J21" s="16">
        <v>143.9</v>
      </c>
      <c r="K21" s="16">
        <v>196.15</v>
      </c>
      <c r="L21" s="16">
        <v>162.1</v>
      </c>
      <c r="M21" s="19">
        <v>181.97</v>
      </c>
      <c r="N21" s="19">
        <v>86.61</v>
      </c>
      <c r="O21" s="60"/>
      <c r="P21" s="15" t="s">
        <v>37</v>
      </c>
      <c r="Q21" s="34"/>
      <c r="R21" s="34"/>
      <c r="S21" s="34"/>
      <c r="T21" s="16">
        <v>5.5</v>
      </c>
      <c r="U21" s="18">
        <v>0</v>
      </c>
      <c r="V21" s="18">
        <f>164.23+21.48</f>
        <v>185.70999999999998</v>
      </c>
      <c r="W21" s="18">
        <f>183.36+10.47</f>
        <v>193.83</v>
      </c>
      <c r="X21" s="18">
        <f>189.54+4.66</f>
        <v>194.2</v>
      </c>
      <c r="Y21" s="18">
        <f>173.09+1.02</f>
        <v>174.11</v>
      </c>
      <c r="Z21" s="18">
        <f>109.15+0.24</f>
        <v>109.39</v>
      </c>
      <c r="AA21" s="18">
        <v>63.51</v>
      </c>
      <c r="AB21" s="18">
        <v>46.41</v>
      </c>
      <c r="AC21" s="18">
        <v>212.41</v>
      </c>
    </row>
    <row r="22" spans="1:29" s="6" customFormat="1" ht="15" customHeight="1" x14ac:dyDescent="0.45">
      <c r="A22" s="20" t="s">
        <v>38</v>
      </c>
      <c r="B22" s="28" t="e">
        <f>(B16-B20-B21-#REF!)</f>
        <v>#REF!</v>
      </c>
      <c r="C22" s="28" t="e">
        <f>(C16-C20-C21-#REF!)</f>
        <v>#REF!</v>
      </c>
      <c r="D22" s="28" t="e">
        <f>(D16-D20-D21-#REF!)</f>
        <v>#REF!</v>
      </c>
      <c r="E22" s="28" t="e">
        <f>(E16-E20-E21-#REF!)</f>
        <v>#REF!</v>
      </c>
      <c r="F22" s="28">
        <f t="shared" ref="F22" si="15">(F16-F20-F21)</f>
        <v>0</v>
      </c>
      <c r="G22" s="28">
        <f t="shared" ref="G22:I22" si="16">(G16-G20-G21+G6)</f>
        <v>1499.2899999999997</v>
      </c>
      <c r="H22" s="28">
        <f t="shared" si="16"/>
        <v>1950.6099999999997</v>
      </c>
      <c r="I22" s="28">
        <f t="shared" si="16"/>
        <v>2377.5099999999975</v>
      </c>
      <c r="J22" s="28">
        <f>(J16-J20-J21+J6)</f>
        <v>3014.4499999999985</v>
      </c>
      <c r="K22" s="28">
        <f>(K16-K20-K21+K6)</f>
        <v>4010.1699999999992</v>
      </c>
      <c r="L22" s="28">
        <f>(L16-L20-L21+L6)</f>
        <v>4670.59</v>
      </c>
      <c r="M22" s="28">
        <f>(M16-M20-M21+M6)</f>
        <v>4978.3900000000003</v>
      </c>
      <c r="N22" s="28">
        <f>(N16-N20-N21+N6)</f>
        <v>2211.9500000000003</v>
      </c>
      <c r="O22" s="60"/>
      <c r="P22" s="15" t="s">
        <v>123</v>
      </c>
      <c r="Q22" s="34"/>
      <c r="R22" s="34"/>
      <c r="S22" s="34"/>
      <c r="T22" s="16">
        <v>5.5</v>
      </c>
      <c r="U22" s="18">
        <v>0</v>
      </c>
      <c r="V22" s="18">
        <f>164.23+21.48</f>
        <v>185.70999999999998</v>
      </c>
      <c r="W22" s="18">
        <v>0</v>
      </c>
      <c r="X22" s="18">
        <v>0</v>
      </c>
      <c r="Y22" s="18">
        <v>0</v>
      </c>
      <c r="Z22" s="18">
        <v>0</v>
      </c>
      <c r="AA22" s="18">
        <v>33.909999999999997</v>
      </c>
      <c r="AB22" s="18">
        <v>119.38</v>
      </c>
      <c r="AC22" s="18">
        <v>88.74</v>
      </c>
    </row>
    <row r="23" spans="1:29" s="6" customFormat="1" ht="15" customHeight="1" x14ac:dyDescent="0.45">
      <c r="A23" s="15" t="s">
        <v>40</v>
      </c>
      <c r="B23" s="16"/>
      <c r="C23" s="16"/>
      <c r="D23" s="16"/>
      <c r="E23" s="16">
        <f>269.1-269</f>
        <v>0.10000000000002274</v>
      </c>
      <c r="F23" s="16">
        <v>0</v>
      </c>
      <c r="G23" s="16">
        <v>537.88</v>
      </c>
      <c r="H23" s="16">
        <v>603.52</v>
      </c>
      <c r="I23" s="16">
        <v>692.27</v>
      </c>
      <c r="J23" s="16">
        <v>774.07</v>
      </c>
      <c r="K23" s="16">
        <v>1037.81</v>
      </c>
      <c r="L23" s="16">
        <v>1199.18</v>
      </c>
      <c r="M23" s="19">
        <v>1253.82</v>
      </c>
      <c r="N23" s="19">
        <v>542.64</v>
      </c>
      <c r="O23" s="60"/>
      <c r="P23" s="15" t="s">
        <v>39</v>
      </c>
      <c r="Q23" s="16"/>
      <c r="R23" s="16"/>
      <c r="S23" s="16"/>
      <c r="T23" s="17">
        <v>101.3</v>
      </c>
      <c r="U23" s="18">
        <v>0</v>
      </c>
      <c r="V23" s="18">
        <v>337.68</v>
      </c>
      <c r="W23" s="18">
        <v>272.95999999999998</v>
      </c>
      <c r="X23" s="18">
        <v>247.83</v>
      </c>
      <c r="Y23" s="18">
        <v>330.74</v>
      </c>
      <c r="Z23" s="18">
        <v>368.6</v>
      </c>
      <c r="AA23" s="18">
        <v>390.33</v>
      </c>
      <c r="AB23" s="18">
        <v>398.61</v>
      </c>
      <c r="AC23" s="18">
        <v>502.52</v>
      </c>
    </row>
    <row r="24" spans="1:29" s="6" customFormat="1" ht="15" customHeight="1" x14ac:dyDescent="0.45">
      <c r="A24" s="22" t="s">
        <v>42</v>
      </c>
      <c r="B24" s="24" t="e">
        <f t="shared" ref="B24:J24" si="17">(B23/B22)</f>
        <v>#REF!</v>
      </c>
      <c r="C24" s="24" t="e">
        <f t="shared" si="17"/>
        <v>#REF!</v>
      </c>
      <c r="D24" s="24" t="e">
        <f t="shared" si="17"/>
        <v>#REF!</v>
      </c>
      <c r="E24" s="24" t="e">
        <f t="shared" si="17"/>
        <v>#REF!</v>
      </c>
      <c r="F24" s="24" t="e">
        <f t="shared" si="17"/>
        <v>#DIV/0!</v>
      </c>
      <c r="G24" s="24">
        <f>(G23/G22)</f>
        <v>0.35875647806628475</v>
      </c>
      <c r="H24" s="24">
        <f>(H23/H22)</f>
        <v>0.30940064902774006</v>
      </c>
      <c r="I24" s="24">
        <f t="shared" si="17"/>
        <v>0.29117437991848644</v>
      </c>
      <c r="J24" s="24">
        <f t="shared" si="17"/>
        <v>0.25678647846207447</v>
      </c>
      <c r="K24" s="24">
        <f t="shared" ref="K24" si="18">(K23/K22)</f>
        <v>0.25879451494575045</v>
      </c>
      <c r="L24" s="24">
        <f>(L23/L22)</f>
        <v>0.25675128838112532</v>
      </c>
      <c r="M24" s="94">
        <f>(M23/M22)</f>
        <v>0.2518525065332366</v>
      </c>
      <c r="N24" s="94">
        <f>(N23/N22)</f>
        <v>0.24532200094938852</v>
      </c>
      <c r="O24" s="60"/>
      <c r="P24" s="36" t="s">
        <v>41</v>
      </c>
      <c r="Q24" s="37"/>
      <c r="R24" s="37"/>
      <c r="S24" s="37"/>
      <c r="T24" s="38"/>
      <c r="U24" s="18">
        <v>0</v>
      </c>
      <c r="V24" s="18">
        <v>249.26</v>
      </c>
      <c r="W24" s="18">
        <v>196.54</v>
      </c>
      <c r="X24" s="18">
        <v>99.34</v>
      </c>
      <c r="Y24" s="18">
        <v>304.39999999999998</v>
      </c>
      <c r="Z24" s="18">
        <v>196.28</v>
      </c>
      <c r="AA24" s="18">
        <v>205.89</v>
      </c>
      <c r="AB24" s="18">
        <v>76.67</v>
      </c>
      <c r="AC24" s="18">
        <v>50.31</v>
      </c>
    </row>
    <row r="25" spans="1:29" s="6" customFormat="1" ht="15" customHeight="1" x14ac:dyDescent="0.45">
      <c r="A25" s="20" t="s">
        <v>44</v>
      </c>
      <c r="B25" s="28" t="e">
        <f t="shared" ref="B25:E25" si="19">(B22-B23)</f>
        <v>#REF!</v>
      </c>
      <c r="C25" s="28" t="e">
        <f t="shared" si="19"/>
        <v>#REF!</v>
      </c>
      <c r="D25" s="28" t="e">
        <f t="shared" si="19"/>
        <v>#REF!</v>
      </c>
      <c r="E25" s="28" t="e">
        <f t="shared" si="19"/>
        <v>#REF!</v>
      </c>
      <c r="F25" s="28">
        <f t="shared" ref="F25:K25" si="20">(F22-F23)</f>
        <v>0</v>
      </c>
      <c r="G25" s="28">
        <f t="shared" si="20"/>
        <v>961.40999999999974</v>
      </c>
      <c r="H25" s="28">
        <f t="shared" si="20"/>
        <v>1347.0899999999997</v>
      </c>
      <c r="I25" s="28">
        <f t="shared" si="20"/>
        <v>1685.2399999999975</v>
      </c>
      <c r="J25" s="28">
        <f t="shared" si="20"/>
        <v>2240.3799999999983</v>
      </c>
      <c r="K25" s="28">
        <f t="shared" si="20"/>
        <v>2972.3599999999992</v>
      </c>
      <c r="L25" s="28">
        <f t="shared" ref="L25" si="21">(L22-L23)</f>
        <v>3471.41</v>
      </c>
      <c r="M25" s="28">
        <f>(M22-M23)</f>
        <v>3724.5700000000006</v>
      </c>
      <c r="N25" s="28">
        <f>(N22-N23)</f>
        <v>1669.3100000000004</v>
      </c>
      <c r="O25" s="60"/>
      <c r="P25" s="36" t="s">
        <v>43</v>
      </c>
      <c r="Q25" s="39"/>
      <c r="R25" s="39"/>
      <c r="S25" s="39"/>
      <c r="T25" s="38">
        <v>453.1</v>
      </c>
      <c r="U25" s="18">
        <v>0</v>
      </c>
      <c r="V25" s="18">
        <v>0.08</v>
      </c>
      <c r="W25" s="18">
        <v>0.08</v>
      </c>
      <c r="X25" s="18">
        <v>0.08</v>
      </c>
      <c r="Y25" s="18">
        <v>0.08</v>
      </c>
      <c r="Z25" s="18">
        <v>337.55</v>
      </c>
      <c r="AA25" s="18">
        <v>600.08000000000004</v>
      </c>
      <c r="AB25" s="18">
        <v>1255.08</v>
      </c>
      <c r="AC25" s="18">
        <v>978.08</v>
      </c>
    </row>
    <row r="26" spans="1:29" s="6" customFormat="1" ht="15" customHeight="1" x14ac:dyDescent="0.45">
      <c r="A26" s="20" t="s">
        <v>46</v>
      </c>
      <c r="B26" s="40" t="e">
        <f t="shared" ref="B26:J26" si="22">B25/B7</f>
        <v>#REF!</v>
      </c>
      <c r="C26" s="40" t="e">
        <f t="shared" si="22"/>
        <v>#REF!</v>
      </c>
      <c r="D26" s="40" t="e">
        <f t="shared" si="22"/>
        <v>#REF!</v>
      </c>
      <c r="E26" s="40" t="e">
        <f t="shared" si="22"/>
        <v>#REF!</v>
      </c>
      <c r="F26" s="40" t="e">
        <f t="shared" si="22"/>
        <v>#DIV/0!</v>
      </c>
      <c r="G26" s="40">
        <f t="shared" si="22"/>
        <v>8.2928857372302156E-2</v>
      </c>
      <c r="H26" s="40">
        <f t="shared" si="22"/>
        <v>9.7032040763699895E-2</v>
      </c>
      <c r="I26" s="40">
        <f t="shared" si="22"/>
        <v>0.12748416887242109</v>
      </c>
      <c r="J26" s="40">
        <f t="shared" si="22"/>
        <v>0.14023576895318599</v>
      </c>
      <c r="K26" s="40">
        <f>K25/K5</f>
        <v>0.15523650854167426</v>
      </c>
      <c r="L26" s="40">
        <f>L25/L5</f>
        <v>0.153284993842389</v>
      </c>
      <c r="M26" s="95">
        <f>M25/M5</f>
        <v>0.15362016257158084</v>
      </c>
      <c r="N26" s="95">
        <f>N25/N5</f>
        <v>0.13505460241127618</v>
      </c>
      <c r="O26" s="60"/>
      <c r="P26" s="15" t="s">
        <v>45</v>
      </c>
      <c r="Q26" s="16"/>
      <c r="R26" s="16"/>
      <c r="S26" s="16"/>
      <c r="T26" s="17"/>
      <c r="U26" s="18">
        <v>0</v>
      </c>
      <c r="V26" s="18">
        <v>259.91000000000003</v>
      </c>
      <c r="W26" s="18">
        <v>226.19</v>
      </c>
      <c r="X26" s="18">
        <v>238.74</v>
      </c>
      <c r="Y26" s="18">
        <v>226.1</v>
      </c>
      <c r="Z26" s="18">
        <v>318.8</v>
      </c>
      <c r="AA26" s="18">
        <v>480.8</v>
      </c>
      <c r="AB26" s="18">
        <v>795.34</v>
      </c>
      <c r="AC26" s="18">
        <v>1455.77</v>
      </c>
    </row>
    <row r="27" spans="1:29" s="6" customFormat="1" ht="15" customHeight="1" x14ac:dyDescent="0.45">
      <c r="A27" s="15" t="s">
        <v>48</v>
      </c>
      <c r="B27" s="41"/>
      <c r="C27" s="41"/>
      <c r="D27" s="41"/>
      <c r="E27" s="41">
        <v>0</v>
      </c>
      <c r="F27" s="41">
        <v>0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35">
        <v>0</v>
      </c>
      <c r="N27" s="35">
        <v>0</v>
      </c>
      <c r="O27" s="60"/>
      <c r="P27" s="15" t="s">
        <v>47</v>
      </c>
      <c r="Q27" s="16"/>
      <c r="R27" s="16"/>
      <c r="S27" s="16"/>
      <c r="T27" s="17">
        <v>0</v>
      </c>
      <c r="U27" s="18">
        <v>0</v>
      </c>
      <c r="V27" s="18">
        <v>78.72</v>
      </c>
      <c r="W27" s="18">
        <v>134</v>
      </c>
      <c r="X27" s="18">
        <v>166.43</v>
      </c>
      <c r="Y27" s="18">
        <v>210.03</v>
      </c>
      <c r="Z27" s="18">
        <v>112.15</v>
      </c>
      <c r="AA27" s="18">
        <v>186.85</v>
      </c>
      <c r="AB27" s="18">
        <v>364.88</v>
      </c>
      <c r="AC27" s="18">
        <v>579.92999999999995</v>
      </c>
    </row>
    <row r="28" spans="1:29" s="6" customFormat="1" ht="15" customHeight="1" x14ac:dyDescent="0.45">
      <c r="A28" s="15" t="s">
        <v>49</v>
      </c>
      <c r="B28" s="41"/>
      <c r="C28" s="41"/>
      <c r="D28" s="41"/>
      <c r="E28" s="41">
        <v>68.8</v>
      </c>
      <c r="F28" s="41">
        <v>0</v>
      </c>
      <c r="G28" s="41">
        <v>-1.41</v>
      </c>
      <c r="H28" s="41">
        <v>-11.25</v>
      </c>
      <c r="I28" s="41">
        <v>-1.39</v>
      </c>
      <c r="J28" s="41">
        <v>3.77</v>
      </c>
      <c r="K28" s="41">
        <v>4.1399999999999997</v>
      </c>
      <c r="L28" s="41">
        <v>-12.86</v>
      </c>
      <c r="M28" s="35">
        <v>-14.43</v>
      </c>
      <c r="N28" s="35">
        <v>-4.59</v>
      </c>
      <c r="O28" s="60"/>
      <c r="P28" s="15"/>
      <c r="Q28" s="16"/>
      <c r="R28" s="16"/>
      <c r="S28" s="16"/>
      <c r="T28" s="17">
        <v>21.9</v>
      </c>
      <c r="U28" s="18">
        <v>0</v>
      </c>
      <c r="V28" s="18">
        <v>0</v>
      </c>
      <c r="W28" s="18">
        <v>0</v>
      </c>
      <c r="X28" s="18">
        <v>0</v>
      </c>
      <c r="Y28" s="18"/>
      <c r="Z28" s="18"/>
      <c r="AA28" s="18"/>
      <c r="AB28" s="18"/>
      <c r="AC28" s="18"/>
    </row>
    <row r="29" spans="1:29" s="6" customFormat="1" ht="15" customHeight="1" x14ac:dyDescent="0.45">
      <c r="A29" s="20" t="s">
        <v>51</v>
      </c>
      <c r="B29" s="42" t="e">
        <f t="shared" ref="B29:F29" si="23">(B25-B27+B28)</f>
        <v>#REF!</v>
      </c>
      <c r="C29" s="42" t="e">
        <f t="shared" si="23"/>
        <v>#REF!</v>
      </c>
      <c r="D29" s="42" t="e">
        <f t="shared" si="23"/>
        <v>#REF!</v>
      </c>
      <c r="E29" s="21" t="e">
        <f t="shared" si="23"/>
        <v>#REF!</v>
      </c>
      <c r="F29" s="21">
        <f t="shared" si="23"/>
        <v>0</v>
      </c>
      <c r="G29" s="21">
        <f t="shared" ref="G29:K29" si="24">(G25-G27+G28)</f>
        <v>959.99999999999977</v>
      </c>
      <c r="H29" s="21">
        <f t="shared" si="24"/>
        <v>1335.8399999999997</v>
      </c>
      <c r="I29" s="21">
        <f t="shared" si="24"/>
        <v>1683.8499999999974</v>
      </c>
      <c r="J29" s="21">
        <f t="shared" si="24"/>
        <v>2244.1499999999983</v>
      </c>
      <c r="K29" s="21">
        <f t="shared" si="24"/>
        <v>2976.4999999999991</v>
      </c>
      <c r="L29" s="21">
        <f>(L25-L27+L28)</f>
        <v>3458.5499999999997</v>
      </c>
      <c r="M29" s="28">
        <f>(M25-M27+M28)</f>
        <v>3710.1400000000008</v>
      </c>
      <c r="N29" s="28">
        <f>(N25-N27+N28)</f>
        <v>1664.7200000000005</v>
      </c>
      <c r="O29" s="60"/>
      <c r="P29" s="20" t="s">
        <v>50</v>
      </c>
      <c r="Q29" s="21">
        <f>SUM(Q30:Q36)</f>
        <v>0</v>
      </c>
      <c r="R29" s="21">
        <f>SUM(R30:R36)</f>
        <v>0</v>
      </c>
      <c r="S29" s="21">
        <f>SUM(S30:S36)</f>
        <v>0</v>
      </c>
      <c r="T29" s="21">
        <f t="shared" ref="T29:Y29" si="25">SUM(T30:T37)</f>
        <v>17434</v>
      </c>
      <c r="U29" s="21">
        <f t="shared" si="25"/>
        <v>0</v>
      </c>
      <c r="V29" s="21">
        <f t="shared" si="25"/>
        <v>6161.7800000000007</v>
      </c>
      <c r="W29" s="21">
        <f t="shared" si="25"/>
        <v>8196.57</v>
      </c>
      <c r="X29" s="21">
        <f t="shared" si="25"/>
        <v>9803.25</v>
      </c>
      <c r="Y29" s="21">
        <f t="shared" si="25"/>
        <v>9545.1999999999989</v>
      </c>
      <c r="Z29" s="21">
        <f>SUM(Z30:Z37)</f>
        <v>10782.199999999999</v>
      </c>
      <c r="AA29" s="21">
        <f>SUM(AA30:AA37)</f>
        <v>16181.259999999998</v>
      </c>
      <c r="AB29" s="21">
        <f>SUM(AB30:AB37)</f>
        <v>18090.3</v>
      </c>
      <c r="AC29" s="21">
        <f>SUM(AC30:AC37)</f>
        <v>16813.629999999997</v>
      </c>
    </row>
    <row r="30" spans="1:29" s="6" customFormat="1" ht="15" customHeight="1" x14ac:dyDescent="0.45">
      <c r="A30" s="22" t="s">
        <v>17</v>
      </c>
      <c r="B30" s="43"/>
      <c r="C30" s="24" t="e">
        <f>(C29/B29-1)</f>
        <v>#REF!</v>
      </c>
      <c r="D30" s="24" t="e">
        <f>-(D29/C29-1)</f>
        <v>#REF!</v>
      </c>
      <c r="E30" s="24" t="s">
        <v>53</v>
      </c>
      <c r="F30" s="24"/>
      <c r="G30" s="24"/>
      <c r="H30" s="24">
        <f t="shared" ref="H30:K30" si="26">(H29/G29-1)</f>
        <v>0.39149999999999996</v>
      </c>
      <c r="I30" s="24">
        <f t="shared" si="26"/>
        <v>0.26051772667385142</v>
      </c>
      <c r="J30" s="24">
        <f t="shared" si="26"/>
        <v>0.3327493541586255</v>
      </c>
      <c r="K30" s="24">
        <f t="shared" si="26"/>
        <v>0.32633736604059504</v>
      </c>
      <c r="L30" s="24">
        <f>(L29/K29-1)</f>
        <v>0.16195195699647269</v>
      </c>
      <c r="M30" s="24">
        <f>(M29/L29-1)</f>
        <v>7.2744358184788638E-2</v>
      </c>
      <c r="N30" s="112" t="s">
        <v>116</v>
      </c>
      <c r="O30" s="60"/>
      <c r="P30" s="15" t="s">
        <v>52</v>
      </c>
      <c r="Q30" s="16"/>
      <c r="R30" s="16"/>
      <c r="S30" s="16"/>
      <c r="T30" s="16">
        <v>2761.9</v>
      </c>
      <c r="U30" s="18">
        <v>0</v>
      </c>
      <c r="V30" s="18">
        <v>416.38</v>
      </c>
      <c r="W30" s="18">
        <v>430.44</v>
      </c>
      <c r="X30" s="18">
        <v>894.73</v>
      </c>
      <c r="Y30" s="18">
        <v>634.82000000000005</v>
      </c>
      <c r="Z30" s="18">
        <v>741.7</v>
      </c>
      <c r="AA30" s="18">
        <v>1268.5999999999999</v>
      </c>
      <c r="AB30" s="18">
        <v>795.83</v>
      </c>
      <c r="AC30" s="18">
        <v>771.81</v>
      </c>
    </row>
    <row r="31" spans="1:29" s="6" customFormat="1" ht="15" customHeight="1" x14ac:dyDescent="0.45">
      <c r="A31" s="22" t="s">
        <v>18</v>
      </c>
      <c r="B31" s="43"/>
      <c r="C31" s="24"/>
      <c r="D31" s="24"/>
      <c r="E31" s="24"/>
      <c r="F31" s="24"/>
      <c r="G31" s="24" t="s">
        <v>53</v>
      </c>
      <c r="H31" s="24"/>
      <c r="I31" s="24"/>
      <c r="J31" s="24">
        <f>(J29/G29)^(1/3)-1</f>
        <v>0.32717099886634116</v>
      </c>
      <c r="K31" s="24">
        <f>(K29/H29)^(1/3)-1</f>
        <v>0.30612220969825032</v>
      </c>
      <c r="L31" s="24">
        <f>(L29/I29)^(1/3)-1</f>
        <v>0.27115024584504144</v>
      </c>
      <c r="M31" s="24">
        <f>(M29/J29)^(1/3)-1</f>
        <v>0.18244097787570301</v>
      </c>
      <c r="N31" s="112" t="s">
        <v>116</v>
      </c>
      <c r="O31" s="60"/>
      <c r="P31" s="15" t="s">
        <v>54</v>
      </c>
      <c r="Q31" s="34"/>
      <c r="R31" s="34"/>
      <c r="S31" s="34"/>
      <c r="T31" s="16">
        <v>12.5</v>
      </c>
      <c r="U31" s="18">
        <v>0</v>
      </c>
      <c r="V31" s="18">
        <v>115.7</v>
      </c>
      <c r="W31" s="18">
        <v>566.23</v>
      </c>
      <c r="X31" s="18">
        <v>1122.55</v>
      </c>
      <c r="Y31" s="18">
        <v>1235.02</v>
      </c>
      <c r="Z31" s="18">
        <v>2454.89</v>
      </c>
      <c r="AA31" s="18">
        <v>4251.32</v>
      </c>
      <c r="AB31" s="18">
        <v>4908.03</v>
      </c>
      <c r="AC31" s="18">
        <v>2413.5100000000002</v>
      </c>
    </row>
    <row r="32" spans="1:29" s="6" customFormat="1" ht="15" customHeight="1" x14ac:dyDescent="0.45">
      <c r="A32" s="9" t="s">
        <v>56</v>
      </c>
      <c r="B32" s="44"/>
      <c r="C32" s="44"/>
      <c r="D32" s="44"/>
      <c r="E32" s="44">
        <v>1.21</v>
      </c>
      <c r="F32" s="45">
        <v>0</v>
      </c>
      <c r="G32" s="45">
        <v>6.33</v>
      </c>
      <c r="H32" s="45">
        <v>8.8699999999999992</v>
      </c>
      <c r="I32" s="45">
        <v>11.09</v>
      </c>
      <c r="J32" s="45">
        <v>14.33</v>
      </c>
      <c r="K32" s="45">
        <v>18.670000000000002</v>
      </c>
      <c r="L32" s="45">
        <v>21.39</v>
      </c>
      <c r="M32" s="45">
        <v>22.36</v>
      </c>
      <c r="N32" s="45">
        <v>10.01</v>
      </c>
      <c r="O32" s="60"/>
      <c r="P32" s="15" t="s">
        <v>55</v>
      </c>
      <c r="Q32" s="16"/>
      <c r="R32" s="16"/>
      <c r="S32" s="16"/>
      <c r="T32" s="16">
        <v>11126.5</v>
      </c>
      <c r="U32" s="18">
        <v>0</v>
      </c>
      <c r="V32" s="18">
        <v>2502.33</v>
      </c>
      <c r="W32" s="18">
        <v>3344.57</v>
      </c>
      <c r="X32" s="18">
        <v>3490.95</v>
      </c>
      <c r="Y32" s="18">
        <v>4993.21</v>
      </c>
      <c r="Z32" s="18">
        <v>5260.03</v>
      </c>
      <c r="AA32" s="18">
        <v>7197.13</v>
      </c>
      <c r="AB32" s="18">
        <v>8145.55</v>
      </c>
      <c r="AC32" s="18">
        <v>10217.35</v>
      </c>
    </row>
    <row r="33" spans="1:29" s="6" customFormat="1" ht="15" customHeight="1" x14ac:dyDescent="0.45">
      <c r="A33" s="46" t="s">
        <v>17</v>
      </c>
      <c r="B33" s="47"/>
      <c r="C33" s="48" t="e">
        <f>(C32/B32-1)</f>
        <v>#DIV/0!</v>
      </c>
      <c r="D33" s="48" t="e">
        <f>-(D32/C32-1)</f>
        <v>#DIV/0!</v>
      </c>
      <c r="E33" s="48" t="s">
        <v>53</v>
      </c>
      <c r="F33" s="48"/>
      <c r="G33" s="48"/>
      <c r="H33" s="48">
        <f t="shared" ref="H33:K33" si="27">(H32/G32-1)</f>
        <v>0.40126382306477071</v>
      </c>
      <c r="I33" s="48">
        <f t="shared" si="27"/>
        <v>0.2502818489289742</v>
      </c>
      <c r="J33" s="48">
        <f t="shared" si="27"/>
        <v>0.29215509467989187</v>
      </c>
      <c r="K33" s="48">
        <f t="shared" si="27"/>
        <v>0.30286113049546426</v>
      </c>
      <c r="L33" s="48">
        <f>(L32/K32-1)</f>
        <v>0.14568826995179429</v>
      </c>
      <c r="M33" s="48">
        <f>(M32/L32-1)</f>
        <v>4.5348293595137923E-2</v>
      </c>
      <c r="N33" s="77" t="s">
        <v>116</v>
      </c>
      <c r="O33" s="60"/>
      <c r="P33" s="15" t="s">
        <v>57</v>
      </c>
      <c r="Q33" s="16"/>
      <c r="R33" s="16"/>
      <c r="S33" s="16"/>
      <c r="T33" s="16">
        <f>90.7+779.2</f>
        <v>869.90000000000009</v>
      </c>
      <c r="U33" s="18">
        <v>0</v>
      </c>
      <c r="V33" s="18">
        <v>1220.3399999999999</v>
      </c>
      <c r="W33" s="18">
        <v>1591.3</v>
      </c>
      <c r="X33" s="18">
        <v>1335.14</v>
      </c>
      <c r="Y33" s="18">
        <v>643.47</v>
      </c>
      <c r="Z33" s="18">
        <v>963.14</v>
      </c>
      <c r="AA33" s="18">
        <v>1590.08</v>
      </c>
      <c r="AB33" s="18">
        <v>2308.52</v>
      </c>
      <c r="AC33" s="18">
        <v>573</v>
      </c>
    </row>
    <row r="34" spans="1:29" s="6" customFormat="1" ht="15" customHeight="1" x14ac:dyDescent="0.45">
      <c r="A34" s="46" t="s">
        <v>59</v>
      </c>
      <c r="B34" s="47"/>
      <c r="C34" s="49"/>
      <c r="D34" s="49"/>
      <c r="E34" s="50"/>
      <c r="F34" s="50"/>
      <c r="G34" s="50"/>
      <c r="H34" s="50"/>
      <c r="I34" s="50"/>
      <c r="J34" s="24">
        <f>(J32/G32)^(1/3)-1</f>
        <v>0.3130486780673245</v>
      </c>
      <c r="K34" s="24">
        <f>(K32/H32)^(1/3)-1</f>
        <v>0.28156380352889609</v>
      </c>
      <c r="L34" s="24">
        <f>(L32/I32)^(1/3)-1</f>
        <v>0.24478136897138536</v>
      </c>
      <c r="M34" s="24">
        <f>(M32/J32)^(1/3)-1</f>
        <v>0.15986791874240436</v>
      </c>
      <c r="N34" s="112" t="s">
        <v>116</v>
      </c>
      <c r="O34" s="60"/>
      <c r="P34" s="15" t="s">
        <v>58</v>
      </c>
      <c r="Q34" s="16"/>
      <c r="R34" s="16"/>
      <c r="S34" s="16"/>
      <c r="T34" s="16">
        <v>27.5</v>
      </c>
      <c r="U34" s="18">
        <v>0</v>
      </c>
      <c r="V34" s="18">
        <v>171.68</v>
      </c>
      <c r="W34" s="18">
        <v>314.19</v>
      </c>
      <c r="X34" s="18">
        <v>610.34</v>
      </c>
      <c r="Y34" s="18">
        <v>774.3</v>
      </c>
      <c r="Z34" s="18">
        <v>599.38</v>
      </c>
      <c r="AA34" s="18">
        <v>1080.06</v>
      </c>
      <c r="AB34" s="18">
        <v>648.03</v>
      </c>
      <c r="AC34" s="18">
        <v>1473.24</v>
      </c>
    </row>
    <row r="35" spans="1:29" s="6" customFormat="1" ht="15" customHeight="1" x14ac:dyDescent="0.45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6"/>
      <c r="N35" s="103"/>
      <c r="O35" s="60"/>
      <c r="P35" s="15" t="s">
        <v>60</v>
      </c>
      <c r="Q35" s="34"/>
      <c r="R35" s="34"/>
      <c r="S35" s="34"/>
      <c r="T35" s="16">
        <v>2172.3000000000002</v>
      </c>
      <c r="U35" s="18">
        <v>0</v>
      </c>
      <c r="V35" s="18">
        <v>1421.38</v>
      </c>
      <c r="W35" s="18">
        <v>1453.64</v>
      </c>
      <c r="X35" s="18">
        <v>1916.1</v>
      </c>
      <c r="Y35" s="18">
        <v>276.49</v>
      </c>
      <c r="Z35" s="18">
        <v>29.62</v>
      </c>
      <c r="AA35" s="18">
        <v>98.52</v>
      </c>
      <c r="AB35" s="18">
        <v>481.69</v>
      </c>
      <c r="AC35" s="18">
        <v>339.97</v>
      </c>
    </row>
    <row r="36" spans="1:29" s="6" customFormat="1" ht="15" customHeight="1" x14ac:dyDescent="0.45">
      <c r="A36" s="117" t="s">
        <v>63</v>
      </c>
      <c r="B36" s="118"/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60"/>
      <c r="P36" s="36" t="s">
        <v>61</v>
      </c>
      <c r="Q36" s="51"/>
      <c r="R36" s="51"/>
      <c r="S36" s="51"/>
      <c r="T36" s="51">
        <v>463.4</v>
      </c>
      <c r="U36" s="18">
        <v>0</v>
      </c>
      <c r="V36" s="18">
        <v>313.97000000000003</v>
      </c>
      <c r="W36" s="18">
        <v>496.2</v>
      </c>
      <c r="X36" s="18">
        <v>433.44</v>
      </c>
      <c r="Y36" s="18">
        <v>987.89</v>
      </c>
      <c r="Z36" s="18">
        <v>733.44</v>
      </c>
      <c r="AA36" s="18">
        <v>695.55</v>
      </c>
      <c r="AB36" s="18">
        <v>802.65</v>
      </c>
      <c r="AC36" s="18">
        <v>1024.75</v>
      </c>
    </row>
    <row r="37" spans="1:29" s="6" customFormat="1" ht="18.5" x14ac:dyDescent="0.45">
      <c r="A37" s="7" t="s">
        <v>2</v>
      </c>
      <c r="B37" s="8" t="s">
        <v>3</v>
      </c>
      <c r="C37" s="8" t="s">
        <v>4</v>
      </c>
      <c r="D37" s="8" t="s">
        <v>5</v>
      </c>
      <c r="E37" s="8" t="s">
        <v>6</v>
      </c>
      <c r="F37" s="8" t="s">
        <v>7</v>
      </c>
      <c r="G37" s="8" t="s">
        <v>8</v>
      </c>
      <c r="H37" s="8" t="s">
        <v>9</v>
      </c>
      <c r="I37" s="8" t="s">
        <v>10</v>
      </c>
      <c r="J37" s="8" t="s">
        <v>109</v>
      </c>
      <c r="K37" s="52" t="s">
        <v>115</v>
      </c>
      <c r="L37" s="12" t="s">
        <v>118</v>
      </c>
      <c r="M37" s="106" t="s">
        <v>122</v>
      </c>
      <c r="N37" s="96" t="s">
        <v>126</v>
      </c>
      <c r="O37" s="60"/>
      <c r="P37" s="15" t="s">
        <v>62</v>
      </c>
      <c r="Q37" s="34"/>
      <c r="R37" s="34"/>
      <c r="S37" s="34"/>
      <c r="T37" s="34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</row>
    <row r="38" spans="1:29" s="6" customFormat="1" ht="18.5" x14ac:dyDescent="0.45">
      <c r="A38" s="9" t="s">
        <v>65</v>
      </c>
      <c r="B38" s="13"/>
      <c r="C38" s="13"/>
      <c r="D38" s="13"/>
      <c r="E38" s="31">
        <v>265.60000000000002</v>
      </c>
      <c r="F38" s="31">
        <v>0</v>
      </c>
      <c r="G38" s="31">
        <v>664.58</v>
      </c>
      <c r="H38" s="31">
        <f>G44</f>
        <v>1220.33</v>
      </c>
      <c r="I38" s="31">
        <f>H44</f>
        <v>1591.2999999999997</v>
      </c>
      <c r="J38" s="31">
        <f>I44</f>
        <v>1335.1399999999996</v>
      </c>
      <c r="K38" s="53">
        <f>J44</f>
        <v>643.46999999999957</v>
      </c>
      <c r="L38" s="54">
        <v>963.14</v>
      </c>
      <c r="M38" s="107">
        <v>1590.08</v>
      </c>
      <c r="N38" s="114">
        <f>M44</f>
        <v>2308.5199999999995</v>
      </c>
      <c r="O38" s="60"/>
      <c r="P38" s="20" t="s">
        <v>120</v>
      </c>
      <c r="Q38" s="21">
        <f>SUM(Q41:Q47)</f>
        <v>0</v>
      </c>
      <c r="R38" s="21">
        <f>SUM(R41:R47)</f>
        <v>0</v>
      </c>
      <c r="S38" s="21">
        <f>SUM(S41:S47)</f>
        <v>0</v>
      </c>
      <c r="T38" s="21">
        <f>SUM(T41:T48)</f>
        <v>6079.6</v>
      </c>
      <c r="U38" s="21">
        <f>SUM(U40:U48)</f>
        <v>0</v>
      </c>
      <c r="V38" s="21">
        <f t="shared" ref="V38:AC38" si="28">SUM(V39:V48)</f>
        <v>2700.7</v>
      </c>
      <c r="W38" s="21">
        <f t="shared" si="28"/>
        <v>3998.85</v>
      </c>
      <c r="X38" s="21">
        <f t="shared" si="28"/>
        <v>5136.96</v>
      </c>
      <c r="Y38" s="21">
        <f t="shared" si="28"/>
        <v>4317.76</v>
      </c>
      <c r="Z38" s="21">
        <f t="shared" si="28"/>
        <v>3642.42</v>
      </c>
      <c r="AA38" s="21">
        <f t="shared" si="28"/>
        <v>5515.7</v>
      </c>
      <c r="AB38" s="21">
        <f t="shared" si="28"/>
        <v>6900.7</v>
      </c>
      <c r="AC38" s="21">
        <f t="shared" si="28"/>
        <v>6623.9500000000007</v>
      </c>
    </row>
    <row r="39" spans="1:29" s="6" customFormat="1" ht="18.5" x14ac:dyDescent="0.45">
      <c r="A39" s="9" t="s">
        <v>127</v>
      </c>
      <c r="B39" s="13"/>
      <c r="C39" s="13"/>
      <c r="D39" s="13"/>
      <c r="E39" s="31"/>
      <c r="F39" s="31"/>
      <c r="G39" s="31"/>
      <c r="H39" s="31">
        <v>0</v>
      </c>
      <c r="I39" s="31">
        <v>0</v>
      </c>
      <c r="J39" s="31">
        <v>0</v>
      </c>
      <c r="K39" s="53">
        <v>0</v>
      </c>
      <c r="L39" s="54">
        <v>0</v>
      </c>
      <c r="M39" s="107">
        <v>0</v>
      </c>
      <c r="N39" s="114">
        <v>19.27</v>
      </c>
      <c r="O39" s="60"/>
      <c r="P39" s="15" t="s">
        <v>111</v>
      </c>
      <c r="Q39" s="55"/>
      <c r="R39" s="55"/>
      <c r="S39" s="55"/>
      <c r="T39" s="56"/>
      <c r="U39" s="18"/>
      <c r="V39" s="18">
        <v>0</v>
      </c>
      <c r="W39" s="18">
        <v>0</v>
      </c>
      <c r="X39" s="18">
        <v>320.97000000000003</v>
      </c>
      <c r="Y39" s="18">
        <v>460.67</v>
      </c>
      <c r="Z39" s="18">
        <v>505.33</v>
      </c>
      <c r="AA39" s="18">
        <v>527.41999999999996</v>
      </c>
      <c r="AB39" s="18">
        <v>574.79999999999995</v>
      </c>
      <c r="AC39" s="18">
        <v>595.61</v>
      </c>
    </row>
    <row r="40" spans="1:29" s="6" customFormat="1" ht="18.5" x14ac:dyDescent="0.45">
      <c r="A40" s="9" t="s">
        <v>67</v>
      </c>
      <c r="B40" s="13"/>
      <c r="C40" s="13"/>
      <c r="D40" s="13"/>
      <c r="E40" s="13">
        <v>4.2</v>
      </c>
      <c r="F40" s="13">
        <v>0</v>
      </c>
      <c r="G40" s="13">
        <v>1017.81</v>
      </c>
      <c r="H40" s="13">
        <v>2141.56</v>
      </c>
      <c r="I40" s="13">
        <v>1854.42</v>
      </c>
      <c r="J40" s="13">
        <v>2565.12</v>
      </c>
      <c r="K40" s="53">
        <v>4067.62</v>
      </c>
      <c r="L40" s="54">
        <v>4398.93</v>
      </c>
      <c r="M40" s="107">
        <v>4825.28</v>
      </c>
      <c r="N40" s="114">
        <v>-1169.45</v>
      </c>
      <c r="O40" s="60"/>
      <c r="P40" s="15" t="s">
        <v>64</v>
      </c>
      <c r="Q40" s="55"/>
      <c r="R40" s="55"/>
      <c r="S40" s="55"/>
      <c r="T40" s="56"/>
      <c r="U40" s="18">
        <v>0</v>
      </c>
      <c r="V40" s="18">
        <v>11.09</v>
      </c>
      <c r="W40" s="18">
        <v>100.37</v>
      </c>
      <c r="X40" s="18">
        <v>45.27</v>
      </c>
      <c r="Y40" s="18">
        <v>79.81</v>
      </c>
      <c r="Z40" s="18">
        <v>51.74</v>
      </c>
      <c r="AA40" s="18">
        <v>65.3</v>
      </c>
      <c r="AB40" s="18">
        <v>102.38</v>
      </c>
      <c r="AC40" s="18">
        <v>72.27</v>
      </c>
    </row>
    <row r="41" spans="1:29" s="6" customFormat="1" ht="18.5" x14ac:dyDescent="0.45">
      <c r="A41" s="15" t="s">
        <v>69</v>
      </c>
      <c r="B41" s="16"/>
      <c r="C41" s="16"/>
      <c r="D41" s="16"/>
      <c r="E41" s="16">
        <v>372.8</v>
      </c>
      <c r="F41" s="16">
        <v>0</v>
      </c>
      <c r="G41" s="16">
        <v>61.89</v>
      </c>
      <c r="H41" s="16">
        <v>-1194.42</v>
      </c>
      <c r="I41" s="16">
        <v>-1493.39</v>
      </c>
      <c r="J41" s="16">
        <v>-3262.48</v>
      </c>
      <c r="K41" s="104">
        <v>-3226.23</v>
      </c>
      <c r="L41" s="105">
        <v>-3250.82</v>
      </c>
      <c r="M41" s="108">
        <v>-2664.56</v>
      </c>
      <c r="N41" s="115">
        <v>753.72</v>
      </c>
      <c r="O41" s="60"/>
      <c r="P41" s="15" t="s">
        <v>66</v>
      </c>
      <c r="Q41" s="16"/>
      <c r="R41" s="18"/>
      <c r="S41" s="18"/>
      <c r="T41" s="57">
        <v>4953.3999999999996</v>
      </c>
      <c r="U41" s="18">
        <v>0</v>
      </c>
      <c r="V41" s="18">
        <v>745.88</v>
      </c>
      <c r="W41" s="18">
        <v>1612.34</v>
      </c>
      <c r="X41" s="18">
        <v>3016.28</v>
      </c>
      <c r="Y41" s="18">
        <v>2378.9899999999998</v>
      </c>
      <c r="Z41" s="18">
        <v>2200.4</v>
      </c>
      <c r="AA41" s="18">
        <v>3964.74</v>
      </c>
      <c r="AB41" s="18">
        <v>3398.56</v>
      </c>
      <c r="AC41" s="18">
        <v>2996.03</v>
      </c>
    </row>
    <row r="42" spans="1:29" s="6" customFormat="1" ht="18.5" x14ac:dyDescent="0.45">
      <c r="A42" s="15" t="s">
        <v>71</v>
      </c>
      <c r="B42" s="16"/>
      <c r="C42" s="16"/>
      <c r="D42" s="16"/>
      <c r="E42" s="16">
        <v>-552</v>
      </c>
      <c r="F42" s="16">
        <v>0</v>
      </c>
      <c r="G42" s="16">
        <v>-523.95000000000005</v>
      </c>
      <c r="H42" s="16">
        <v>-576.16999999999996</v>
      </c>
      <c r="I42" s="16">
        <v>-617.19000000000005</v>
      </c>
      <c r="J42" s="16">
        <v>5.69</v>
      </c>
      <c r="K42" s="104">
        <v>-521.73</v>
      </c>
      <c r="L42" s="105">
        <v>-521.16999999999996</v>
      </c>
      <c r="M42" s="108">
        <v>-1442.28</v>
      </c>
      <c r="N42" s="115">
        <v>-1339.05</v>
      </c>
      <c r="O42" s="60"/>
      <c r="P42" s="15" t="s">
        <v>68</v>
      </c>
      <c r="Q42" s="16"/>
      <c r="R42" s="18"/>
      <c r="S42" s="18"/>
      <c r="T42" s="57"/>
      <c r="U42" s="18">
        <v>0</v>
      </c>
      <c r="V42" s="18">
        <v>1706.98</v>
      </c>
      <c r="W42" s="18">
        <v>1801.68</v>
      </c>
      <c r="X42" s="18">
        <v>1410.45</v>
      </c>
      <c r="Y42" s="18">
        <v>1066.03</v>
      </c>
      <c r="Z42" s="18">
        <v>597.35</v>
      </c>
      <c r="AA42" s="18">
        <v>596.69000000000005</v>
      </c>
      <c r="AB42" s="18">
        <v>1934.68</v>
      </c>
      <c r="AC42" s="18">
        <v>1575.52</v>
      </c>
    </row>
    <row r="43" spans="1:29" s="6" customFormat="1" ht="18.5" x14ac:dyDescent="0.45">
      <c r="A43" s="9" t="s">
        <v>73</v>
      </c>
      <c r="B43" s="13"/>
      <c r="C43" s="13"/>
      <c r="D43" s="13"/>
      <c r="E43" s="13">
        <v>-175</v>
      </c>
      <c r="F43" s="13">
        <f>SUM(F40:F42)</f>
        <v>0</v>
      </c>
      <c r="G43" s="13">
        <f t="shared" ref="G43:K43" si="29">SUM(G40:G42)</f>
        <v>555.75</v>
      </c>
      <c r="H43" s="13">
        <f t="shared" si="29"/>
        <v>370.96999999999991</v>
      </c>
      <c r="I43" s="13">
        <f t="shared" si="29"/>
        <v>-256.16000000000008</v>
      </c>
      <c r="J43" s="13">
        <f t="shared" si="29"/>
        <v>-691.67000000000007</v>
      </c>
      <c r="K43" s="58">
        <f t="shared" si="29"/>
        <v>319.65999999999985</v>
      </c>
      <c r="L43" s="13">
        <f>SUM(L40:L42)</f>
        <v>626.94000000000017</v>
      </c>
      <c r="M43" s="30">
        <f>SUM(M40:M42)</f>
        <v>718.43999999999983</v>
      </c>
      <c r="N43" s="14">
        <f>SUM(N40:N42)</f>
        <v>-1754.78</v>
      </c>
      <c r="O43" s="60"/>
      <c r="P43" s="15" t="s">
        <v>70</v>
      </c>
      <c r="Q43" s="16"/>
      <c r="R43" s="18"/>
      <c r="S43" s="18"/>
      <c r="T43" s="57"/>
      <c r="U43" s="18">
        <v>0</v>
      </c>
      <c r="V43" s="18">
        <v>193.6</v>
      </c>
      <c r="W43" s="18">
        <v>457.74</v>
      </c>
      <c r="X43" s="18">
        <v>314.77</v>
      </c>
      <c r="Y43" s="18">
        <v>296.51</v>
      </c>
      <c r="Z43" s="18">
        <v>255.5</v>
      </c>
      <c r="AA43" s="18">
        <v>326.45999999999998</v>
      </c>
      <c r="AB43" s="18">
        <v>415.19</v>
      </c>
      <c r="AC43" s="18">
        <v>519.45000000000005</v>
      </c>
    </row>
    <row r="44" spans="1:29" s="6" customFormat="1" ht="18.5" x14ac:dyDescent="0.45">
      <c r="A44" s="20" t="s">
        <v>74</v>
      </c>
      <c r="B44" s="21">
        <f>+B38+B43</f>
        <v>0</v>
      </c>
      <c r="C44" s="21">
        <f>+C38+C43</f>
        <v>0</v>
      </c>
      <c r="D44" s="21">
        <f>+D38+D43</f>
        <v>0</v>
      </c>
      <c r="E44" s="21">
        <f>+E38+E43</f>
        <v>90.600000000000023</v>
      </c>
      <c r="F44" s="21">
        <f t="shared" ref="F44:M44" si="30">F38+F43</f>
        <v>0</v>
      </c>
      <c r="G44" s="21">
        <f t="shared" si="30"/>
        <v>1220.33</v>
      </c>
      <c r="H44" s="21">
        <f t="shared" si="30"/>
        <v>1591.2999999999997</v>
      </c>
      <c r="I44" s="21">
        <f t="shared" si="30"/>
        <v>1335.1399999999996</v>
      </c>
      <c r="J44" s="21">
        <f t="shared" si="30"/>
        <v>643.46999999999957</v>
      </c>
      <c r="K44" s="27">
        <f t="shared" si="30"/>
        <v>963.12999999999943</v>
      </c>
      <c r="L44" s="21">
        <f t="shared" si="30"/>
        <v>1590.0800000000002</v>
      </c>
      <c r="M44" s="67">
        <f t="shared" si="30"/>
        <v>2308.5199999999995</v>
      </c>
      <c r="N44" s="28">
        <f>N38+N43+N39</f>
        <v>573.00999999999954</v>
      </c>
      <c r="O44" s="60"/>
      <c r="P44" s="15" t="s">
        <v>128</v>
      </c>
      <c r="Q44" s="16"/>
      <c r="R44" s="18"/>
      <c r="S44" s="18"/>
      <c r="T44" s="57"/>
      <c r="U44" s="18"/>
      <c r="V44" s="18"/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259.18</v>
      </c>
    </row>
    <row r="45" spans="1:29" s="6" customFormat="1" ht="18.5" x14ac:dyDescent="0.45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1"/>
      <c r="N45" s="103"/>
      <c r="O45" s="60"/>
      <c r="P45" s="15" t="s">
        <v>72</v>
      </c>
      <c r="Q45" s="16"/>
      <c r="R45" s="18"/>
      <c r="S45" s="18"/>
      <c r="T45" s="57">
        <v>1082.0999999999999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</row>
    <row r="46" spans="1:29" s="6" customFormat="1" ht="18.5" x14ac:dyDescent="0.45">
      <c r="A46" s="9" t="s">
        <v>77</v>
      </c>
      <c r="B46" s="12" t="s">
        <v>3</v>
      </c>
      <c r="C46" s="12" t="s">
        <v>4</v>
      </c>
      <c r="D46" s="12" t="s">
        <v>5</v>
      </c>
      <c r="E46" s="12" t="s">
        <v>6</v>
      </c>
      <c r="F46" s="12"/>
      <c r="G46" s="12" t="s">
        <v>8</v>
      </c>
      <c r="H46" s="12" t="s">
        <v>9</v>
      </c>
      <c r="I46" s="12" t="s">
        <v>10</v>
      </c>
      <c r="J46" s="12" t="s">
        <v>109</v>
      </c>
      <c r="K46" s="62" t="s">
        <v>115</v>
      </c>
      <c r="L46" s="12" t="s">
        <v>118</v>
      </c>
      <c r="M46" s="96" t="s">
        <v>122</v>
      </c>
      <c r="N46" s="96" t="s">
        <v>126</v>
      </c>
      <c r="O46" s="60"/>
      <c r="P46" s="15" t="s">
        <v>21</v>
      </c>
      <c r="Q46" s="61"/>
      <c r="R46" s="18"/>
      <c r="S46" s="18"/>
      <c r="T46" s="57">
        <v>44.1</v>
      </c>
      <c r="U46" s="18">
        <v>0</v>
      </c>
      <c r="V46" s="18">
        <v>43.15</v>
      </c>
      <c r="W46" s="18">
        <v>26.72</v>
      </c>
      <c r="X46" s="18">
        <v>29.22</v>
      </c>
      <c r="Y46" s="18">
        <v>35.75</v>
      </c>
      <c r="Z46" s="18">
        <v>32.1</v>
      </c>
      <c r="AA46" s="18">
        <v>35.090000000000003</v>
      </c>
      <c r="AB46" s="18">
        <v>475.09</v>
      </c>
      <c r="AC46" s="18">
        <v>605.89</v>
      </c>
    </row>
    <row r="47" spans="1:29" s="6" customFormat="1" ht="18.5" x14ac:dyDescent="0.45">
      <c r="A47" s="20" t="s">
        <v>84</v>
      </c>
      <c r="B47" s="21" t="e">
        <f>SUM(#REF!)</f>
        <v>#REF!</v>
      </c>
      <c r="C47" s="21" t="e">
        <f>SUM(#REF!)</f>
        <v>#REF!</v>
      </c>
      <c r="D47" s="21" t="e">
        <f>SUM(#REF!)</f>
        <v>#REF!</v>
      </c>
      <c r="E47" s="21" t="e">
        <f>SUM(#REF!)</f>
        <v>#REF!</v>
      </c>
      <c r="F47" s="21"/>
      <c r="G47" s="21">
        <f>G40</f>
        <v>1017.81</v>
      </c>
      <c r="H47" s="21">
        <f t="shared" ref="H47:K47" si="31">H40</f>
        <v>2141.56</v>
      </c>
      <c r="I47" s="21">
        <f t="shared" si="31"/>
        <v>1854.42</v>
      </c>
      <c r="J47" s="21">
        <f t="shared" si="31"/>
        <v>2565.12</v>
      </c>
      <c r="K47" s="27">
        <f t="shared" si="31"/>
        <v>4067.62</v>
      </c>
      <c r="L47" s="21">
        <f>L40</f>
        <v>4398.93</v>
      </c>
      <c r="M47" s="28">
        <f>M40</f>
        <v>4825.28</v>
      </c>
      <c r="N47" s="28">
        <f>N40</f>
        <v>-1169.45</v>
      </c>
      <c r="O47" s="60"/>
      <c r="P47" s="15" t="s">
        <v>75</v>
      </c>
      <c r="Q47" s="61"/>
      <c r="R47" s="18"/>
      <c r="S47" s="18"/>
      <c r="T47" s="57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0</v>
      </c>
    </row>
    <row r="48" spans="1:29" s="6" customFormat="1" ht="18.5" x14ac:dyDescent="0.45">
      <c r="A48" s="46" t="s">
        <v>86</v>
      </c>
      <c r="B48" s="63"/>
      <c r="C48" s="63">
        <f>-(R17-Q17)</f>
        <v>0</v>
      </c>
      <c r="D48" s="63">
        <f>-(S17-R17)</f>
        <v>0</v>
      </c>
      <c r="E48" s="63">
        <v>-576.79999999999995</v>
      </c>
      <c r="F48" s="63"/>
      <c r="G48" s="63"/>
      <c r="H48" s="63">
        <f t="shared" ref="H48:N48" si="32">V17-W17+H20</f>
        <v>163.25999999999988</v>
      </c>
      <c r="I48" s="63">
        <f t="shared" si="32"/>
        <v>-56.319999999999936</v>
      </c>
      <c r="J48" s="63">
        <f t="shared" si="32"/>
        <v>-654.28000000000009</v>
      </c>
      <c r="K48" s="63">
        <f t="shared" si="32"/>
        <v>90.9500000000005</v>
      </c>
      <c r="L48" s="63">
        <f t="shared" si="32"/>
        <v>1522.07</v>
      </c>
      <c r="M48" s="97">
        <f t="shared" si="32"/>
        <v>1449.2099999999994</v>
      </c>
      <c r="N48" s="97">
        <f>AB17-AC17+N20</f>
        <v>-93.359999999999559</v>
      </c>
      <c r="O48" s="60"/>
      <c r="P48" s="15" t="s">
        <v>76</v>
      </c>
      <c r="Q48" s="34"/>
      <c r="R48" s="34"/>
      <c r="S48" s="34"/>
      <c r="T48" s="57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</row>
    <row r="49" spans="1:30" s="6" customFormat="1" ht="18.5" x14ac:dyDescent="0.45">
      <c r="A49" s="20" t="s">
        <v>88</v>
      </c>
      <c r="B49" s="21"/>
      <c r="C49" s="21" t="e">
        <f t="shared" ref="C49:G49" si="33">SUM(C47:C48)</f>
        <v>#REF!</v>
      </c>
      <c r="D49" s="21" t="e">
        <f t="shared" si="33"/>
        <v>#REF!</v>
      </c>
      <c r="E49" s="21" t="e">
        <f>SUM(E47:E48)</f>
        <v>#REF!</v>
      </c>
      <c r="F49" s="21"/>
      <c r="G49" s="21">
        <f t="shared" si="33"/>
        <v>1017.81</v>
      </c>
      <c r="H49" s="21">
        <f t="shared" ref="H49:K49" si="34">SUM(H47:H48)</f>
        <v>2304.8199999999997</v>
      </c>
      <c r="I49" s="21">
        <f t="shared" si="34"/>
        <v>1798.1000000000001</v>
      </c>
      <c r="J49" s="21">
        <f t="shared" si="34"/>
        <v>1910.8399999999997</v>
      </c>
      <c r="K49" s="27">
        <f t="shared" si="34"/>
        <v>4158.5700000000006</v>
      </c>
      <c r="L49" s="21">
        <f t="shared" ref="L49:M49" si="35">SUM(L47:L48)</f>
        <v>5921</v>
      </c>
      <c r="M49" s="28">
        <f t="shared" si="35"/>
        <v>6274.4899999999989</v>
      </c>
      <c r="N49" s="28">
        <f>SUM(N47:N48)</f>
        <v>-1262.8099999999995</v>
      </c>
      <c r="O49" s="60"/>
      <c r="P49" s="20" t="s">
        <v>78</v>
      </c>
      <c r="Q49" s="21">
        <f>(Q29-Q38-Q9)</f>
        <v>0</v>
      </c>
      <c r="R49" s="21">
        <f>(R29-R38-R9)</f>
        <v>0</v>
      </c>
      <c r="S49" s="21">
        <f>(S29-S38-S9)</f>
        <v>0</v>
      </c>
      <c r="T49" s="27">
        <f>(T29-T38-T9)</f>
        <v>9739.1999999999989</v>
      </c>
      <c r="U49" s="21">
        <f>(U29-U38-U9)</f>
        <v>0</v>
      </c>
      <c r="V49" s="21">
        <f t="shared" ref="V49:AC49" si="36">(V29-V38)</f>
        <v>3461.0800000000008</v>
      </c>
      <c r="W49" s="21">
        <f t="shared" si="36"/>
        <v>4197.7199999999993</v>
      </c>
      <c r="X49" s="21">
        <f t="shared" si="36"/>
        <v>4666.29</v>
      </c>
      <c r="Y49" s="21">
        <f t="shared" si="36"/>
        <v>5227.4399999999987</v>
      </c>
      <c r="Z49" s="21">
        <f t="shared" si="36"/>
        <v>7139.7799999999988</v>
      </c>
      <c r="AA49" s="21">
        <f t="shared" si="36"/>
        <v>10665.559999999998</v>
      </c>
      <c r="AB49" s="21">
        <f t="shared" si="36"/>
        <v>11189.599999999999</v>
      </c>
      <c r="AC49" s="21">
        <f t="shared" si="36"/>
        <v>10189.679999999997</v>
      </c>
    </row>
    <row r="50" spans="1:30" s="6" customFormat="1" ht="18.5" x14ac:dyDescent="0.45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1"/>
      <c r="N50" s="103"/>
      <c r="O50" s="60"/>
      <c r="P50" s="15" t="s">
        <v>79</v>
      </c>
      <c r="Q50" s="16"/>
      <c r="R50" s="16"/>
      <c r="S50" s="16"/>
      <c r="T50" s="17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</row>
    <row r="51" spans="1:30" s="6" customFormat="1" ht="18.5" x14ac:dyDescent="0.45">
      <c r="A51" s="15" t="s">
        <v>92</v>
      </c>
      <c r="B51" s="64"/>
      <c r="C51" s="64"/>
      <c r="D51" s="64"/>
      <c r="E51" s="65">
        <v>1239377194</v>
      </c>
      <c r="F51" s="65"/>
      <c r="G51" s="65">
        <v>148000000</v>
      </c>
      <c r="H51" s="65">
        <v>148000000</v>
      </c>
      <c r="I51" s="65">
        <v>148000000</v>
      </c>
      <c r="J51" s="65">
        <v>153152747</v>
      </c>
      <c r="K51" s="65">
        <v>154400078</v>
      </c>
      <c r="L51" s="65">
        <v>162762291</v>
      </c>
      <c r="M51" s="98">
        <v>164365041</v>
      </c>
      <c r="N51" s="98">
        <v>164472541</v>
      </c>
      <c r="O51" s="60"/>
      <c r="P51" s="15" t="s">
        <v>80</v>
      </c>
      <c r="Q51" s="16"/>
      <c r="R51" s="16"/>
      <c r="S51" s="16"/>
      <c r="T51" s="17">
        <v>2.1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8">
        <v>0</v>
      </c>
      <c r="AC51" s="18">
        <v>0</v>
      </c>
    </row>
    <row r="52" spans="1:30" s="6" customFormat="1" ht="18.5" x14ac:dyDescent="0.45">
      <c r="A52" s="46" t="s">
        <v>94</v>
      </c>
      <c r="B52" s="63">
        <f t="shared" ref="B52:N52" si="37">B51*Q59/1000000</f>
        <v>0</v>
      </c>
      <c r="C52" s="63" t="e">
        <f t="shared" si="37"/>
        <v>#VALUE!</v>
      </c>
      <c r="D52" s="63" t="e">
        <f t="shared" si="37"/>
        <v>#VALUE!</v>
      </c>
      <c r="E52" s="63">
        <f t="shared" si="37"/>
        <v>18776.564489100001</v>
      </c>
      <c r="F52" s="63">
        <f t="shared" si="37"/>
        <v>0</v>
      </c>
      <c r="G52" s="63">
        <f t="shared" si="37"/>
        <v>0</v>
      </c>
      <c r="H52" s="63">
        <f t="shared" si="37"/>
        <v>0</v>
      </c>
      <c r="I52" s="63">
        <f t="shared" si="37"/>
        <v>0</v>
      </c>
      <c r="J52" s="63">
        <f t="shared" si="37"/>
        <v>40570.162680299996</v>
      </c>
      <c r="K52" s="63">
        <f t="shared" si="37"/>
        <v>42730.221586500003</v>
      </c>
      <c r="L52" s="63">
        <f t="shared" si="37"/>
        <v>63550.536520949994</v>
      </c>
      <c r="M52" s="97">
        <f t="shared" si="37"/>
        <v>75764.065648949996</v>
      </c>
      <c r="N52" s="97">
        <f t="shared" si="37"/>
        <v>61315.363284800005</v>
      </c>
      <c r="O52" s="60"/>
      <c r="P52" s="15" t="s">
        <v>81</v>
      </c>
      <c r="Q52" s="16"/>
      <c r="R52" s="16"/>
      <c r="S52" s="16"/>
      <c r="T52" s="17">
        <v>126.8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</row>
    <row r="53" spans="1:30" s="6" customFormat="1" ht="18.5" x14ac:dyDescent="0.45">
      <c r="A53" s="46" t="s">
        <v>96</v>
      </c>
      <c r="B53" s="63">
        <f t="shared" ref="B53:F53" si="38">Q11</f>
        <v>0</v>
      </c>
      <c r="C53" s="63">
        <f t="shared" si="38"/>
        <v>0</v>
      </c>
      <c r="D53" s="63">
        <f t="shared" si="38"/>
        <v>0</v>
      </c>
      <c r="E53" s="63">
        <f t="shared" si="38"/>
        <v>4931.8999999999996</v>
      </c>
      <c r="F53" s="63">
        <f t="shared" si="38"/>
        <v>0</v>
      </c>
      <c r="G53" s="63">
        <v>0</v>
      </c>
      <c r="H53" s="63">
        <v>0</v>
      </c>
      <c r="I53" s="63">
        <v>0</v>
      </c>
      <c r="J53" s="63">
        <v>0</v>
      </c>
      <c r="K53" s="63">
        <v>0</v>
      </c>
      <c r="L53" s="63">
        <v>0</v>
      </c>
      <c r="M53" s="97">
        <v>0</v>
      </c>
      <c r="N53" s="97">
        <v>0</v>
      </c>
      <c r="O53" s="60"/>
      <c r="P53" s="15" t="s">
        <v>82</v>
      </c>
      <c r="Q53" s="31"/>
      <c r="R53" s="31"/>
      <c r="S53" s="31"/>
      <c r="T53" s="66"/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0</v>
      </c>
      <c r="AC53" s="18">
        <v>0</v>
      </c>
    </row>
    <row r="54" spans="1:30" s="6" customFormat="1" ht="18.5" x14ac:dyDescent="0.45">
      <c r="A54" s="46" t="s">
        <v>98</v>
      </c>
      <c r="B54" s="63">
        <f t="shared" ref="B54:I54" si="39">Q33</f>
        <v>0</v>
      </c>
      <c r="C54" s="63">
        <f t="shared" si="39"/>
        <v>0</v>
      </c>
      <c r="D54" s="63">
        <f t="shared" si="39"/>
        <v>0</v>
      </c>
      <c r="E54" s="63">
        <f t="shared" si="39"/>
        <v>869.90000000000009</v>
      </c>
      <c r="F54" s="68">
        <f t="shared" si="39"/>
        <v>0</v>
      </c>
      <c r="G54" s="68">
        <f t="shared" si="39"/>
        <v>1220.3399999999999</v>
      </c>
      <c r="H54" s="68">
        <f t="shared" si="39"/>
        <v>1591.3</v>
      </c>
      <c r="I54" s="68">
        <f t="shared" si="39"/>
        <v>1335.14</v>
      </c>
      <c r="J54" s="63">
        <f>Y33</f>
        <v>643.47</v>
      </c>
      <c r="K54" s="63">
        <f>Z33</f>
        <v>963.14</v>
      </c>
      <c r="L54" s="63">
        <f>AA33</f>
        <v>1590.08</v>
      </c>
      <c r="M54" s="97">
        <f>AB33</f>
        <v>2308.52</v>
      </c>
      <c r="N54" s="97">
        <f>AC33</f>
        <v>573</v>
      </c>
      <c r="O54" s="60"/>
      <c r="P54" s="20" t="s">
        <v>83</v>
      </c>
      <c r="Q54" s="28">
        <f t="shared" ref="Q54:AC54" si="40">SUM(Q17:Q28)+Q29</f>
        <v>0</v>
      </c>
      <c r="R54" s="28">
        <f t="shared" si="40"/>
        <v>0</v>
      </c>
      <c r="S54" s="28">
        <f t="shared" si="40"/>
        <v>0</v>
      </c>
      <c r="T54" s="67">
        <f t="shared" si="40"/>
        <v>19751.2</v>
      </c>
      <c r="U54" s="28">
        <f t="shared" si="40"/>
        <v>0</v>
      </c>
      <c r="V54" s="28">
        <f t="shared" si="40"/>
        <v>11112.75</v>
      </c>
      <c r="W54" s="28">
        <f t="shared" si="40"/>
        <v>13327.38</v>
      </c>
      <c r="X54" s="28">
        <f t="shared" si="40"/>
        <v>16118.099999999999</v>
      </c>
      <c r="Y54" s="28">
        <f t="shared" si="40"/>
        <v>18556.96</v>
      </c>
      <c r="Z54" s="28">
        <f t="shared" si="40"/>
        <v>21012.259999999995</v>
      </c>
      <c r="AA54" s="28">
        <f t="shared" si="40"/>
        <v>26585.239999999998</v>
      </c>
      <c r="AB54" s="28">
        <f t="shared" si="40"/>
        <v>31199.239999999998</v>
      </c>
      <c r="AC54" s="28">
        <f t="shared" si="40"/>
        <v>31713.649999999998</v>
      </c>
    </row>
    <row r="55" spans="1:30" s="6" customFormat="1" ht="18.5" x14ac:dyDescent="0.45">
      <c r="A55" s="109" t="s">
        <v>100</v>
      </c>
      <c r="B55" s="110">
        <f t="shared" ref="B55:E55" si="41">B52+B53-B54</f>
        <v>0</v>
      </c>
      <c r="C55" s="110" t="e">
        <f t="shared" si="41"/>
        <v>#VALUE!</v>
      </c>
      <c r="D55" s="110" t="e">
        <f t="shared" si="41"/>
        <v>#VALUE!</v>
      </c>
      <c r="E55" s="110">
        <f t="shared" si="41"/>
        <v>22838.564489099997</v>
      </c>
      <c r="F55" s="110"/>
      <c r="G55" s="110" t="s">
        <v>112</v>
      </c>
      <c r="H55" s="110" t="s">
        <v>112</v>
      </c>
      <c r="I55" s="110" t="s">
        <v>112</v>
      </c>
      <c r="J55" s="110">
        <f>J52+J53-J54</f>
        <v>39926.692680299995</v>
      </c>
      <c r="K55" s="110">
        <f>K52+K53-K54</f>
        <v>41767.081586500004</v>
      </c>
      <c r="L55" s="110">
        <f>L52+L53-L54</f>
        <v>61960.456520949992</v>
      </c>
      <c r="M55" s="111">
        <f>M52+M53-M54</f>
        <v>73455.545648949992</v>
      </c>
      <c r="N55" s="111">
        <f>N52+N53-N54</f>
        <v>60742.363284800005</v>
      </c>
      <c r="O55" s="60"/>
      <c r="P55" s="20" t="s">
        <v>85</v>
      </c>
      <c r="Q55" s="28">
        <f t="shared" ref="Q55:AC55" si="42">Q52+Q38+Q11+Q7+Q50+Q51+Q53</f>
        <v>0</v>
      </c>
      <c r="R55" s="28">
        <f t="shared" si="42"/>
        <v>0</v>
      </c>
      <c r="S55" s="28">
        <f t="shared" si="42"/>
        <v>0</v>
      </c>
      <c r="T55" s="67">
        <f t="shared" si="42"/>
        <v>19541.599999999999</v>
      </c>
      <c r="U55" s="28">
        <f t="shared" si="42"/>
        <v>0</v>
      </c>
      <c r="V55" s="28">
        <f t="shared" si="42"/>
        <v>10927.039999999999</v>
      </c>
      <c r="W55" s="28">
        <f t="shared" si="42"/>
        <v>13327.380000000001</v>
      </c>
      <c r="X55" s="28">
        <f t="shared" si="42"/>
        <v>16118.11</v>
      </c>
      <c r="Y55" s="28">
        <f t="shared" si="42"/>
        <v>18556.96</v>
      </c>
      <c r="Z55" s="28">
        <f t="shared" si="42"/>
        <v>21012.26</v>
      </c>
      <c r="AA55" s="28">
        <f t="shared" si="42"/>
        <v>26585.239999999998</v>
      </c>
      <c r="AB55" s="28">
        <f t="shared" si="42"/>
        <v>31199.240000000005</v>
      </c>
      <c r="AC55" s="28">
        <f t="shared" si="42"/>
        <v>31713.65</v>
      </c>
    </row>
    <row r="56" spans="1:30" s="6" customFormat="1" ht="18.5" x14ac:dyDescent="0.45">
      <c r="A56" s="116"/>
      <c r="B56" s="116"/>
      <c r="C56" s="116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60"/>
      <c r="AB56" s="100"/>
    </row>
    <row r="57" spans="1:30" s="6" customFormat="1" ht="18.5" x14ac:dyDescent="0.45">
      <c r="K57" s="60"/>
      <c r="L57" s="60"/>
      <c r="M57" s="99"/>
      <c r="N57" s="99"/>
      <c r="O57" s="60"/>
      <c r="P57" s="117" t="s">
        <v>87</v>
      </c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</row>
    <row r="58" spans="1:30" s="6" customFormat="1" ht="18.5" x14ac:dyDescent="0.45">
      <c r="K58" s="60"/>
      <c r="L58" s="60"/>
      <c r="M58" s="99"/>
      <c r="N58" s="99"/>
      <c r="O58" s="60"/>
      <c r="P58" s="9" t="s">
        <v>89</v>
      </c>
      <c r="Q58" s="10" t="s">
        <v>3</v>
      </c>
      <c r="R58" s="10" t="s">
        <v>4</v>
      </c>
      <c r="S58" s="10" t="s">
        <v>5</v>
      </c>
      <c r="T58" s="69" t="s">
        <v>6</v>
      </c>
      <c r="U58" s="12" t="s">
        <v>7</v>
      </c>
      <c r="V58" s="12" t="s">
        <v>8</v>
      </c>
      <c r="W58" s="12" t="s">
        <v>9</v>
      </c>
      <c r="X58" s="12" t="s">
        <v>10</v>
      </c>
      <c r="Y58" s="12" t="s">
        <v>109</v>
      </c>
      <c r="Z58" s="12" t="s">
        <v>115</v>
      </c>
      <c r="AA58" s="12" t="s">
        <v>118</v>
      </c>
      <c r="AB58" s="96" t="s">
        <v>122</v>
      </c>
      <c r="AC58" s="96" t="s">
        <v>126</v>
      </c>
    </row>
    <row r="59" spans="1:30" s="6" customFormat="1" ht="18.5" x14ac:dyDescent="0.45">
      <c r="B59" s="39"/>
      <c r="C59" s="39"/>
      <c r="D59" s="39"/>
      <c r="E59" s="39"/>
      <c r="K59" s="19"/>
      <c r="L59" s="60"/>
      <c r="M59" s="99"/>
      <c r="N59" s="99"/>
      <c r="O59" s="60"/>
      <c r="P59" s="70" t="s">
        <v>90</v>
      </c>
      <c r="Q59" s="71"/>
      <c r="R59" s="72" t="s">
        <v>53</v>
      </c>
      <c r="S59" s="72" t="s">
        <v>53</v>
      </c>
      <c r="T59" s="73">
        <v>15.15</v>
      </c>
      <c r="U59" s="18">
        <v>0</v>
      </c>
      <c r="V59" s="18">
        <v>0</v>
      </c>
      <c r="W59" s="18">
        <v>0</v>
      </c>
      <c r="X59" s="18">
        <v>0</v>
      </c>
      <c r="Y59" s="18">
        <v>264.89999999999998</v>
      </c>
      <c r="Z59" s="18">
        <v>276.75</v>
      </c>
      <c r="AA59" s="18">
        <v>390.45</v>
      </c>
      <c r="AB59" s="19">
        <v>460.95</v>
      </c>
      <c r="AC59" s="19">
        <v>372.8</v>
      </c>
    </row>
    <row r="60" spans="1:30" s="6" customFormat="1" ht="18.5" x14ac:dyDescent="0.45">
      <c r="B60" s="39"/>
      <c r="C60" s="39"/>
      <c r="D60" s="39"/>
      <c r="E60" s="39"/>
      <c r="M60" s="100"/>
      <c r="N60" s="100"/>
      <c r="O60" s="60"/>
      <c r="P60" s="42" t="s">
        <v>91</v>
      </c>
      <c r="Q60" s="74">
        <f t="shared" ref="Q60:AB60" si="43">B32</f>
        <v>0</v>
      </c>
      <c r="R60" s="74">
        <f t="shared" si="43"/>
        <v>0</v>
      </c>
      <c r="S60" s="74">
        <f t="shared" si="43"/>
        <v>0</v>
      </c>
      <c r="T60" s="75">
        <f t="shared" si="43"/>
        <v>1.21</v>
      </c>
      <c r="U60" s="74">
        <f t="shared" si="43"/>
        <v>0</v>
      </c>
      <c r="V60" s="74">
        <f t="shared" si="43"/>
        <v>6.33</v>
      </c>
      <c r="W60" s="74">
        <f t="shared" si="43"/>
        <v>8.8699999999999992</v>
      </c>
      <c r="X60" s="74">
        <f t="shared" si="43"/>
        <v>11.09</v>
      </c>
      <c r="Y60" s="74">
        <f t="shared" si="43"/>
        <v>14.33</v>
      </c>
      <c r="Z60" s="74">
        <f t="shared" si="43"/>
        <v>18.670000000000002</v>
      </c>
      <c r="AA60" s="74">
        <f t="shared" si="43"/>
        <v>21.39</v>
      </c>
      <c r="AB60" s="74">
        <f t="shared" si="43"/>
        <v>22.36</v>
      </c>
      <c r="AC60" s="74">
        <f>N32+M32-10.84</f>
        <v>21.529999999999998</v>
      </c>
      <c r="AD60" s="6" t="s">
        <v>125</v>
      </c>
    </row>
    <row r="61" spans="1:30" s="6" customFormat="1" ht="18.5" x14ac:dyDescent="0.45">
      <c r="B61" s="39"/>
      <c r="C61" s="39"/>
      <c r="D61" s="39"/>
      <c r="E61" s="39"/>
      <c r="M61" s="100"/>
      <c r="N61" s="100"/>
      <c r="O61" s="60"/>
      <c r="P61" s="76" t="s">
        <v>93</v>
      </c>
      <c r="Q61" s="77" t="e">
        <f>(Q7*1000000)/B51</f>
        <v>#DIV/0!</v>
      </c>
      <c r="R61" s="77" t="e">
        <f>(R7*1000000)/C51</f>
        <v>#DIV/0!</v>
      </c>
      <c r="S61" s="77" t="e">
        <f>(S7*1000000)/D51</f>
        <v>#DIV/0!</v>
      </c>
      <c r="T61" s="78">
        <f>(T7*1000000)/E51</f>
        <v>6.77856591251751</v>
      </c>
      <c r="U61" s="77">
        <v>0</v>
      </c>
      <c r="V61" s="77">
        <f t="shared" ref="V61:AC61" si="44">(V7*1000000)/G51</f>
        <v>50.398513513513514</v>
      </c>
      <c r="W61" s="77">
        <f t="shared" si="44"/>
        <v>57.458851351351349</v>
      </c>
      <c r="X61" s="77">
        <f t="shared" si="44"/>
        <v>66.51864864864865</v>
      </c>
      <c r="Y61" s="77">
        <f t="shared" si="44"/>
        <v>82.018117507223053</v>
      </c>
      <c r="Z61" s="77">
        <f t="shared" si="44"/>
        <v>101.19522089878737</v>
      </c>
      <c r="AA61" s="77">
        <f t="shared" si="44"/>
        <v>119.60749557156332</v>
      </c>
      <c r="AB61" s="77">
        <f t="shared" si="44"/>
        <v>137.89513793264592</v>
      </c>
      <c r="AC61" s="77">
        <f t="shared" si="44"/>
        <v>141.86137003866196</v>
      </c>
    </row>
    <row r="62" spans="1:30" s="6" customFormat="1" ht="18.5" x14ac:dyDescent="0.45">
      <c r="B62" s="39"/>
      <c r="C62" s="39"/>
      <c r="D62" s="39"/>
      <c r="E62" s="39"/>
      <c r="M62" s="100"/>
      <c r="N62" s="100"/>
      <c r="O62" s="60"/>
      <c r="P62" s="41" t="s">
        <v>95</v>
      </c>
      <c r="Q62" s="72"/>
      <c r="R62" s="59"/>
      <c r="S62" s="59"/>
      <c r="T62" s="79">
        <v>0</v>
      </c>
      <c r="U62" s="59">
        <v>0</v>
      </c>
      <c r="V62" s="59">
        <v>1.6</v>
      </c>
      <c r="W62" s="59">
        <v>1.8</v>
      </c>
      <c r="X62" s="59">
        <v>2.4500000000000002</v>
      </c>
      <c r="Y62" s="59">
        <v>1</v>
      </c>
      <c r="Z62" s="59">
        <v>4.75</v>
      </c>
      <c r="AA62" s="59">
        <v>5.75</v>
      </c>
      <c r="AB62" s="59">
        <v>9.5</v>
      </c>
      <c r="AC62" s="59"/>
    </row>
    <row r="63" spans="1:30" s="6" customFormat="1" ht="18.5" x14ac:dyDescent="0.45">
      <c r="B63" s="39"/>
      <c r="C63" s="39"/>
      <c r="D63" s="39"/>
      <c r="E63" s="39"/>
      <c r="M63" s="100"/>
      <c r="N63" s="100"/>
      <c r="O63" s="60"/>
      <c r="P63" s="76" t="s">
        <v>97</v>
      </c>
      <c r="Q63" s="77" t="e">
        <f t="shared" ref="Q63:V63" si="45">(Q59/Q60)</f>
        <v>#DIV/0!</v>
      </c>
      <c r="R63" s="77" t="e">
        <f t="shared" si="45"/>
        <v>#VALUE!</v>
      </c>
      <c r="S63" s="77" t="e">
        <f t="shared" si="45"/>
        <v>#VALUE!</v>
      </c>
      <c r="T63" s="80">
        <f t="shared" si="45"/>
        <v>12.520661157024794</v>
      </c>
      <c r="U63" s="81" t="s">
        <v>53</v>
      </c>
      <c r="V63" s="82">
        <f t="shared" si="45"/>
        <v>0</v>
      </c>
      <c r="W63" s="82">
        <f t="shared" ref="W63:AA63" si="46">(W59/W60)</f>
        <v>0</v>
      </c>
      <c r="X63" s="82">
        <f t="shared" si="46"/>
        <v>0</v>
      </c>
      <c r="Y63" s="82">
        <f t="shared" si="46"/>
        <v>18.485694347522678</v>
      </c>
      <c r="Z63" s="82">
        <f t="shared" si="46"/>
        <v>14.823245848955542</v>
      </c>
      <c r="AA63" s="82">
        <f t="shared" si="46"/>
        <v>18.253856942496494</v>
      </c>
      <c r="AB63" s="102">
        <f>(AB59/AB60)</f>
        <v>20.614937388193201</v>
      </c>
      <c r="AC63" s="102">
        <f>(AC59/AC60)</f>
        <v>17.315373896888065</v>
      </c>
    </row>
    <row r="64" spans="1:30" s="6" customFormat="1" ht="18.5" x14ac:dyDescent="0.45">
      <c r="M64" s="100"/>
      <c r="N64" s="100"/>
      <c r="O64" s="60"/>
      <c r="P64" s="76" t="s">
        <v>99</v>
      </c>
      <c r="Q64" s="77" t="e">
        <f t="shared" ref="Q64:V64" si="47">(Q59/Q61)</f>
        <v>#DIV/0!</v>
      </c>
      <c r="R64" s="77" t="e">
        <f t="shared" si="47"/>
        <v>#VALUE!</v>
      </c>
      <c r="S64" s="77" t="e">
        <f t="shared" si="47"/>
        <v>#VALUE!</v>
      </c>
      <c r="T64" s="80">
        <f>(T59/T61)</f>
        <v>2.2349860126053418</v>
      </c>
      <c r="U64" s="81" t="s">
        <v>53</v>
      </c>
      <c r="V64" s="82">
        <f t="shared" si="47"/>
        <v>0</v>
      </c>
      <c r="W64" s="82">
        <f t="shared" ref="W64:Z64" si="48">(W59/W61)</f>
        <v>0</v>
      </c>
      <c r="X64" s="82">
        <f t="shared" si="48"/>
        <v>0</v>
      </c>
      <c r="Y64" s="82">
        <f t="shared" si="48"/>
        <v>3.2297742017386724</v>
      </c>
      <c r="Z64" s="82">
        <f t="shared" si="48"/>
        <v>2.7348129441487914</v>
      </c>
      <c r="AA64" s="82">
        <f>(AA59/AA61)</f>
        <v>3.2644275188120355</v>
      </c>
      <c r="AB64" s="82">
        <f>(AB59/AB61)</f>
        <v>3.3427574525879828</v>
      </c>
      <c r="AC64" s="82">
        <f>(AC59/AC61)</f>
        <v>2.6279176628450687</v>
      </c>
    </row>
    <row r="65" spans="1:29" s="6" customFormat="1" ht="18.5" x14ac:dyDescent="0.45">
      <c r="M65" s="100"/>
      <c r="N65" s="100"/>
      <c r="O65" s="60"/>
      <c r="P65" s="76" t="s">
        <v>101</v>
      </c>
      <c r="Q65" s="77" t="e">
        <f>B55/B16</f>
        <v>#DIV/0!</v>
      </c>
      <c r="R65" s="77" t="e">
        <f>C55/C16</f>
        <v>#VALUE!</v>
      </c>
      <c r="S65" s="77" t="e">
        <f>D55/D16</f>
        <v>#VALUE!</v>
      </c>
      <c r="T65" s="80">
        <f>E55/E16</f>
        <v>6.5096809055694873</v>
      </c>
      <c r="U65" s="81" t="s">
        <v>53</v>
      </c>
      <c r="V65" s="83" t="s">
        <v>53</v>
      </c>
      <c r="W65" s="83" t="s">
        <v>53</v>
      </c>
      <c r="X65" s="83" t="s">
        <v>53</v>
      </c>
      <c r="Y65" s="82">
        <f>J55/J16</f>
        <v>9.9874659002971757</v>
      </c>
      <c r="Z65" s="82">
        <f>K55/K16</f>
        <v>7.7672672607358324</v>
      </c>
      <c r="AA65" s="82">
        <f>L55/L16</f>
        <v>10.335872774442421</v>
      </c>
      <c r="AB65" s="82">
        <f>M55/M16</f>
        <v>11.718930530726166</v>
      </c>
      <c r="AC65" s="82" t="s">
        <v>53</v>
      </c>
    </row>
    <row r="66" spans="1:29" s="6" customFormat="1" ht="18.5" x14ac:dyDescent="0.45">
      <c r="M66" s="100"/>
      <c r="N66" s="100"/>
      <c r="O66" s="60"/>
      <c r="P66" s="50" t="s">
        <v>102</v>
      </c>
      <c r="Q66" s="48" t="e">
        <f>(B25/Q7)</f>
        <v>#REF!</v>
      </c>
      <c r="R66" s="48" t="e">
        <f>(C25/R7)</f>
        <v>#REF!</v>
      </c>
      <c r="S66" s="48" t="e">
        <f>(D25/S7)</f>
        <v>#REF!</v>
      </c>
      <c r="T66" s="84" t="e">
        <f>E25/T7</f>
        <v>#REF!</v>
      </c>
      <c r="U66" s="81" t="s">
        <v>53</v>
      </c>
      <c r="V66" s="83">
        <f>G25/AVERAGE(V7)</f>
        <v>0.12889295855465491</v>
      </c>
      <c r="W66" s="83">
        <f t="shared" ref="W66:AB66" si="49">H25/AVERAGE(V7,W7)</f>
        <v>0.16877770879834414</v>
      </c>
      <c r="X66" s="83">
        <f t="shared" si="49"/>
        <v>0.18369069801789423</v>
      </c>
      <c r="Y66" s="83">
        <f t="shared" si="49"/>
        <v>0.19997982688611904</v>
      </c>
      <c r="Z66" s="83">
        <f t="shared" si="49"/>
        <v>0.21091150346716522</v>
      </c>
      <c r="AA66" s="83">
        <f t="shared" si="49"/>
        <v>0.1978454434525794</v>
      </c>
      <c r="AB66" s="83">
        <f t="shared" si="49"/>
        <v>0.17680174059454493</v>
      </c>
      <c r="AC66" s="83" t="s">
        <v>53</v>
      </c>
    </row>
    <row r="67" spans="1:29" s="6" customFormat="1" ht="18.5" x14ac:dyDescent="0.45">
      <c r="M67" s="100"/>
      <c r="N67" s="100"/>
      <c r="O67" s="60"/>
      <c r="P67" s="50" t="s">
        <v>103</v>
      </c>
      <c r="Q67" s="48" t="e">
        <f>(B22+B21)/Q13</f>
        <v>#REF!</v>
      </c>
      <c r="R67" s="48" t="e">
        <f>(C22+C21)/R13</f>
        <v>#REF!</v>
      </c>
      <c r="S67" s="48" t="e">
        <f>(D16-D20)/S13</f>
        <v>#DIV/0!</v>
      </c>
      <c r="T67" s="84">
        <f>(E16-E20)/T13</f>
        <v>0.27409727557472974</v>
      </c>
      <c r="U67" s="81" t="s">
        <v>53</v>
      </c>
      <c r="V67" s="83">
        <f t="shared" ref="V67:AB67" si="50">(G16-G20)/V13</f>
        <v>0.17531247188907823</v>
      </c>
      <c r="W67" s="83">
        <f t="shared" si="50"/>
        <v>0.2115231445897692</v>
      </c>
      <c r="X67" s="83">
        <f t="shared" si="50"/>
        <v>0.20958824895388897</v>
      </c>
      <c r="Y67" s="83">
        <f t="shared" si="50"/>
        <v>0.21625161525928413</v>
      </c>
      <c r="Z67" s="83">
        <f t="shared" si="50"/>
        <v>0.23368896892544774</v>
      </c>
      <c r="AA67" s="83">
        <f t="shared" si="50"/>
        <v>0.21322439882408448</v>
      </c>
      <c r="AB67" s="83">
        <f t="shared" si="50"/>
        <v>0.19151521037889518</v>
      </c>
      <c r="AC67" s="82" t="s">
        <v>53</v>
      </c>
    </row>
    <row r="68" spans="1:29" s="6" customFormat="1" ht="18.5" x14ac:dyDescent="0.45">
      <c r="M68" s="100"/>
      <c r="N68" s="100"/>
      <c r="O68" s="60"/>
      <c r="P68" s="76" t="s">
        <v>104</v>
      </c>
      <c r="Q68" s="85" t="e">
        <f>(Q11/Q7)</f>
        <v>#DIV/0!</v>
      </c>
      <c r="R68" s="85" t="e">
        <f>(R11/R7)</f>
        <v>#DIV/0!</v>
      </c>
      <c r="S68" s="85" t="e">
        <f>(S11/S7)</f>
        <v>#DIV/0!</v>
      </c>
      <c r="T68" s="86">
        <f>(T11/T7)</f>
        <v>0.58704708851116494</v>
      </c>
      <c r="U68" s="81" t="s">
        <v>53</v>
      </c>
      <c r="V68" s="83" t="s">
        <v>53</v>
      </c>
      <c r="W68" s="83" t="s">
        <v>53</v>
      </c>
      <c r="X68" s="83" t="s">
        <v>53</v>
      </c>
      <c r="Y68" s="83" t="s">
        <v>53</v>
      </c>
      <c r="Z68" s="83" t="s">
        <v>53</v>
      </c>
      <c r="AA68" s="83" t="s">
        <v>53</v>
      </c>
      <c r="AB68" s="83" t="s">
        <v>53</v>
      </c>
      <c r="AC68" s="83" t="s">
        <v>53</v>
      </c>
    </row>
    <row r="69" spans="1:29" s="6" customFormat="1" ht="18.5" x14ac:dyDescent="0.45">
      <c r="B69" s="39"/>
      <c r="C69" s="39"/>
      <c r="D69" s="39"/>
      <c r="E69" s="39"/>
      <c r="M69" s="100"/>
      <c r="N69" s="100"/>
      <c r="O69" s="60"/>
      <c r="P69" s="76" t="s">
        <v>105</v>
      </c>
      <c r="Q69" s="85" t="e">
        <f>(Q11-Q33)/Q7</f>
        <v>#DIV/0!</v>
      </c>
      <c r="R69" s="85" t="e">
        <f>(R11-R33)/R7</f>
        <v>#DIV/0!</v>
      </c>
      <c r="S69" s="85" t="e">
        <f>(S11-S33)/S7</f>
        <v>#DIV/0!</v>
      </c>
      <c r="T69" s="86">
        <f>(T11-T33)/T7</f>
        <v>0.48350235680617043</v>
      </c>
      <c r="U69" s="81" t="s">
        <v>53</v>
      </c>
      <c r="V69" s="83" t="s">
        <v>53</v>
      </c>
      <c r="W69" s="83" t="s">
        <v>53</v>
      </c>
      <c r="X69" s="83" t="s">
        <v>53</v>
      </c>
      <c r="Y69" s="83" t="s">
        <v>53</v>
      </c>
      <c r="Z69" s="83" t="s">
        <v>53</v>
      </c>
      <c r="AA69" s="83" t="s">
        <v>53</v>
      </c>
      <c r="AB69" s="83" t="s">
        <v>53</v>
      </c>
      <c r="AC69" s="83" t="s">
        <v>53</v>
      </c>
    </row>
    <row r="70" spans="1:29" s="6" customFormat="1" ht="18.5" x14ac:dyDescent="0.45">
      <c r="B70" s="39"/>
      <c r="C70" s="39"/>
      <c r="D70" s="39"/>
      <c r="E70" s="39"/>
      <c r="M70" s="100"/>
      <c r="N70" s="100"/>
      <c r="P70" s="76" t="s">
        <v>106</v>
      </c>
      <c r="Q70" s="87" t="e">
        <f t="shared" ref="Q70:S70" si="51">(Q62/Q59)</f>
        <v>#DIV/0!</v>
      </c>
      <c r="R70" s="87" t="e">
        <f t="shared" si="51"/>
        <v>#VALUE!</v>
      </c>
      <c r="S70" s="87" t="e">
        <f t="shared" si="51"/>
        <v>#VALUE!</v>
      </c>
      <c r="T70" s="88" t="s">
        <v>107</v>
      </c>
      <c r="U70" s="81" t="s">
        <v>53</v>
      </c>
      <c r="V70" s="113" t="s">
        <v>53</v>
      </c>
      <c r="W70" s="113" t="s">
        <v>53</v>
      </c>
      <c r="X70" s="113" t="s">
        <v>53</v>
      </c>
      <c r="Y70" s="113">
        <f t="shared" ref="Y70:Z70" si="52">(Y62/Y59)</f>
        <v>3.7750094375235939E-3</v>
      </c>
      <c r="Z70" s="113">
        <f t="shared" si="52"/>
        <v>1.7163504968383016E-2</v>
      </c>
      <c r="AA70" s="113">
        <f>(AA62/AA59)</f>
        <v>1.4726597515687029E-2</v>
      </c>
      <c r="AB70" s="113">
        <f>(AB62/AB59)</f>
        <v>2.0609610586831546E-2</v>
      </c>
      <c r="AC70" s="113">
        <f>(AC62/AC59)</f>
        <v>0</v>
      </c>
    </row>
    <row r="71" spans="1:29" s="6" customFormat="1" ht="18.5" x14ac:dyDescent="0.45">
      <c r="B71" s="39"/>
      <c r="C71" s="39"/>
      <c r="D71" s="39"/>
      <c r="E71" s="39"/>
      <c r="M71" s="100"/>
      <c r="N71" s="100"/>
      <c r="P71" s="89" t="s">
        <v>108</v>
      </c>
      <c r="Q71" s="90"/>
      <c r="R71" s="91"/>
      <c r="S71" s="91"/>
      <c r="T71" s="91"/>
      <c r="U71" s="89"/>
      <c r="V71" s="116" t="s">
        <v>124</v>
      </c>
      <c r="W71" s="116"/>
      <c r="X71" s="116"/>
      <c r="Y71" s="116"/>
      <c r="Z71" s="116"/>
      <c r="AA71" s="116"/>
      <c r="AB71" s="116"/>
      <c r="AC71" s="116"/>
    </row>
    <row r="72" spans="1:29" s="6" customFormat="1" ht="18.5" x14ac:dyDescent="0.45">
      <c r="B72" s="39"/>
      <c r="C72" s="39"/>
      <c r="D72" s="39"/>
      <c r="E72" s="39"/>
      <c r="M72" s="100"/>
      <c r="N72" s="100"/>
      <c r="Q72" s="39"/>
      <c r="R72" s="39"/>
      <c r="S72" s="39"/>
      <c r="T72" s="39"/>
      <c r="Z72" s="92"/>
      <c r="AA72" s="92"/>
      <c r="AB72" s="100"/>
    </row>
    <row r="73" spans="1:29" s="6" customFormat="1" ht="18.5" x14ac:dyDescent="0.45">
      <c r="B73" s="39"/>
      <c r="C73" s="39"/>
      <c r="D73" s="39"/>
      <c r="E73" s="39"/>
      <c r="M73" s="100"/>
      <c r="N73" s="100"/>
      <c r="Q73" s="39"/>
      <c r="R73" s="39"/>
      <c r="S73" s="39"/>
      <c r="T73" s="39"/>
      <c r="Z73" s="92"/>
      <c r="AA73" s="92"/>
      <c r="AB73" s="100"/>
    </row>
    <row r="74" spans="1:29" ht="18.5" x14ac:dyDescent="0.45">
      <c r="A74" s="6"/>
      <c r="B74" s="39"/>
      <c r="C74" s="39"/>
      <c r="D74" s="39"/>
      <c r="E74" s="39"/>
      <c r="F74" s="6"/>
      <c r="G74" s="6"/>
      <c r="H74" s="6"/>
      <c r="I74" s="6"/>
      <c r="J74" s="6"/>
      <c r="K74" s="6"/>
      <c r="L74" s="6"/>
      <c r="M74" s="100"/>
      <c r="N74" s="100"/>
      <c r="P74" s="6"/>
      <c r="Q74" s="39"/>
      <c r="R74" s="39"/>
      <c r="S74" s="39"/>
      <c r="T74" s="39"/>
      <c r="U74" s="6"/>
      <c r="V74" s="6"/>
      <c r="W74" s="6"/>
      <c r="X74" s="6"/>
      <c r="Y74" s="6"/>
      <c r="Z74" s="92"/>
      <c r="AA74" s="92"/>
      <c r="AB74" s="100"/>
      <c r="AC74" s="6"/>
    </row>
    <row r="75" spans="1:29" ht="18.5" x14ac:dyDescent="0.45">
      <c r="P75" s="6"/>
      <c r="Q75" s="39"/>
      <c r="R75" s="39"/>
      <c r="S75" s="39"/>
      <c r="T75" s="39"/>
      <c r="U75" s="6"/>
      <c r="V75" s="6"/>
      <c r="W75" s="6"/>
      <c r="X75" s="6"/>
      <c r="Y75" s="6"/>
      <c r="Z75" s="92"/>
      <c r="AA75" s="92"/>
      <c r="AB75" s="100"/>
    </row>
    <row r="76" spans="1:29" x14ac:dyDescent="0.35">
      <c r="Z76" s="3"/>
      <c r="AA76" s="3"/>
    </row>
    <row r="77" spans="1:29" x14ac:dyDescent="0.35">
      <c r="Q77" s="1"/>
      <c r="Z77" s="4"/>
      <c r="AA77" s="4"/>
    </row>
    <row r="78" spans="1:29" x14ac:dyDescent="0.35">
      <c r="Q78" s="1"/>
    </row>
    <row r="79" spans="1:29" x14ac:dyDescent="0.35">
      <c r="Q79" s="1"/>
    </row>
    <row r="80" spans="1:29" hidden="1" x14ac:dyDescent="0.35">
      <c r="Q80" s="5"/>
    </row>
  </sheetData>
  <mergeCells count="11">
    <mergeCell ref="A56:N56"/>
    <mergeCell ref="P57:AC57"/>
    <mergeCell ref="V71:AC71"/>
    <mergeCell ref="A1:AC1"/>
    <mergeCell ref="A2:AC2"/>
    <mergeCell ref="A36:N36"/>
    <mergeCell ref="P3:AC3"/>
    <mergeCell ref="A35:M35"/>
    <mergeCell ref="A45:M45"/>
    <mergeCell ref="A50:M50"/>
    <mergeCell ref="A3:N3"/>
  </mergeCells>
  <printOptions horizontalCentered="1"/>
  <pageMargins left="0" right="0" top="0" bottom="0" header="0" footer="0"/>
  <pageSetup paperSize="9" scale="54" fitToWidth="0" orientation="landscape" r:id="rId1"/>
  <ignoredErrors>
    <ignoredError sqref="G43 L43:M43 H43:K43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2022-04-21T08:47:11Z</dcterms:created>
  <dcterms:modified xsi:type="dcterms:W3CDTF">2025-11-25T11:32:52Z</dcterms:modified>
</cp:coreProperties>
</file>