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Summary Q2\"/>
    </mc:Choice>
  </mc:AlternateContent>
  <xr:revisionPtr revIDLastSave="0" documentId="8_{4B74BC62-A460-4641-887A-9E2D4F02DBEC}" xr6:coauthVersionLast="47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0" i="1" l="1"/>
  <c r="V77" i="1"/>
  <c r="V76" i="1"/>
  <c r="V68" i="1"/>
  <c r="V45" i="1"/>
  <c r="V32" i="1"/>
  <c r="V14" i="1"/>
  <c r="V12" i="1"/>
  <c r="L72" i="1"/>
  <c r="L74" i="1"/>
  <c r="L73" i="1"/>
  <c r="L71" i="1"/>
  <c r="L66" i="1"/>
  <c r="K65" i="1"/>
  <c r="L65" i="1"/>
  <c r="L14" i="1"/>
  <c r="L21" i="1"/>
  <c r="L23" i="1"/>
  <c r="K21" i="1"/>
  <c r="L29" i="1"/>
  <c r="K23" i="1"/>
  <c r="K29" i="1"/>
  <c r="L15" i="1"/>
  <c r="L77" i="1"/>
  <c r="L81" i="1"/>
  <c r="L78" i="1"/>
  <c r="L82" i="1"/>
  <c r="L79" i="1"/>
  <c r="L83" i="1"/>
  <c r="K78" i="1"/>
  <c r="K82" i="1"/>
  <c r="K79" i="1"/>
  <c r="K83" i="1"/>
  <c r="K77" i="1"/>
  <c r="K81" i="1"/>
  <c r="J81" i="1"/>
  <c r="J82" i="1"/>
  <c r="J83" i="1"/>
  <c r="I81" i="1"/>
  <c r="L69" i="1"/>
  <c r="L60" i="1"/>
  <c r="L61" i="1"/>
  <c r="L64" i="1"/>
  <c r="V79" i="1"/>
  <c r="U89" i="1"/>
  <c r="V66" i="1"/>
  <c r="V8" i="1"/>
  <c r="V86" i="1"/>
  <c r="V85" i="1"/>
  <c r="L27" i="1"/>
  <c r="L33" i="1"/>
  <c r="U48" i="1"/>
  <c r="U54" i="1"/>
  <c r="U66" i="1"/>
  <c r="U71" i="1"/>
  <c r="U7" i="1"/>
  <c r="U72" i="1"/>
  <c r="V48" i="1"/>
  <c r="V54" i="1"/>
  <c r="V71" i="1"/>
  <c r="V7" i="1"/>
  <c r="V72" i="1"/>
  <c r="K69" i="1"/>
  <c r="L44" i="1"/>
  <c r="V70" i="1"/>
  <c r="K6" i="1"/>
  <c r="L28" i="1"/>
  <c r="U76" i="1"/>
  <c r="U79" i="1"/>
  <c r="U87" i="1"/>
  <c r="U90" i="1"/>
  <c r="U91" i="1"/>
  <c r="T91" i="1"/>
  <c r="T90" i="1"/>
  <c r="T89" i="1"/>
  <c r="T87" i="1"/>
  <c r="T76" i="1"/>
  <c r="T79" i="1"/>
  <c r="U12" i="1"/>
  <c r="T12" i="1"/>
  <c r="J72" i="1"/>
  <c r="U8" i="1"/>
  <c r="T8" i="1"/>
  <c r="T77" i="1"/>
  <c r="T80" i="1"/>
  <c r="S8" i="1"/>
  <c r="T7" i="1"/>
  <c r="J69" i="1"/>
  <c r="J71" i="1"/>
  <c r="J73" i="1"/>
  <c r="J56" i="1"/>
  <c r="J65" i="1"/>
  <c r="K64" i="1"/>
  <c r="J64" i="1"/>
  <c r="K60" i="1"/>
  <c r="K61" i="1"/>
  <c r="J60" i="1"/>
  <c r="K53" i="1"/>
  <c r="J53" i="1"/>
  <c r="K52" i="1"/>
  <c r="J52" i="1"/>
  <c r="K32" i="1"/>
  <c r="K14" i="1"/>
  <c r="J14" i="1"/>
  <c r="K16" i="1"/>
  <c r="K7" i="1"/>
  <c r="J7" i="1"/>
  <c r="J6" i="1"/>
  <c r="U14" i="1"/>
  <c r="K15" i="1"/>
  <c r="U85" i="1"/>
  <c r="T92" i="1"/>
  <c r="T85" i="1"/>
  <c r="J66" i="1"/>
  <c r="U92" i="1"/>
  <c r="T86" i="1"/>
  <c r="J61" i="1"/>
  <c r="U77" i="1"/>
  <c r="U80" i="1"/>
  <c r="T14" i="1"/>
  <c r="J74" i="1"/>
  <c r="T81" i="1"/>
  <c r="J15" i="1"/>
  <c r="U45" i="1"/>
  <c r="U32" i="1"/>
  <c r="K71" i="1"/>
  <c r="L46" i="1"/>
  <c r="L34" i="1"/>
  <c r="K73" i="1"/>
  <c r="U86" i="1"/>
  <c r="K66" i="1"/>
  <c r="U93" i="1"/>
  <c r="K44" i="1"/>
  <c r="K27" i="1"/>
  <c r="U84" i="1"/>
  <c r="U88" i="1"/>
  <c r="U68" i="1"/>
  <c r="U70" i="1"/>
  <c r="K72" i="1"/>
  <c r="K74" i="1"/>
  <c r="U81" i="1"/>
  <c r="K28" i="1"/>
  <c r="K33" i="1"/>
  <c r="U83" i="1"/>
  <c r="I60" i="1"/>
  <c r="T32" i="1"/>
  <c r="I27" i="1"/>
  <c r="I65" i="1"/>
  <c r="T45" i="1"/>
  <c r="S45" i="1"/>
  <c r="S76" i="1"/>
  <c r="S79" i="1"/>
  <c r="I83" i="1"/>
  <c r="I82" i="1"/>
  <c r="J44" i="1"/>
  <c r="O12" i="1"/>
  <c r="E72" i="1"/>
  <c r="P12" i="1"/>
  <c r="Q12" i="1"/>
  <c r="R12" i="1"/>
  <c r="S12" i="1"/>
  <c r="I72" i="1"/>
  <c r="O7" i="1"/>
  <c r="P7" i="1"/>
  <c r="Q7" i="1"/>
  <c r="R7" i="1"/>
  <c r="S7" i="1"/>
  <c r="Q91" i="1"/>
  <c r="R91" i="1"/>
  <c r="S91" i="1"/>
  <c r="P91" i="1"/>
  <c r="Q90" i="1"/>
  <c r="R90" i="1"/>
  <c r="S90" i="1"/>
  <c r="P90" i="1"/>
  <c r="F114" i="1"/>
  <c r="G114" i="1"/>
  <c r="H114" i="1"/>
  <c r="I114" i="1"/>
  <c r="C65" i="1"/>
  <c r="D65" i="1"/>
  <c r="E65" i="1"/>
  <c r="F65" i="1"/>
  <c r="G65" i="1"/>
  <c r="H65" i="1"/>
  <c r="T57" i="1"/>
  <c r="T66" i="1"/>
  <c r="T48" i="1"/>
  <c r="T54" i="1"/>
  <c r="P87" i="1"/>
  <c r="Q87" i="1"/>
  <c r="R87" i="1"/>
  <c r="S87" i="1"/>
  <c r="O87" i="1"/>
  <c r="P89" i="1"/>
  <c r="Q89" i="1"/>
  <c r="R89" i="1"/>
  <c r="S89" i="1"/>
  <c r="O76" i="1"/>
  <c r="P76" i="1"/>
  <c r="P79" i="1"/>
  <c r="Q76" i="1"/>
  <c r="Q79" i="1"/>
  <c r="R76" i="1"/>
  <c r="R79" i="1"/>
  <c r="F71" i="1"/>
  <c r="G71" i="1"/>
  <c r="H71" i="1"/>
  <c r="I71" i="1"/>
  <c r="E71" i="1"/>
  <c r="F73" i="1"/>
  <c r="G73" i="1"/>
  <c r="H73" i="1"/>
  <c r="I73" i="1"/>
  <c r="E73" i="1"/>
  <c r="F64" i="1"/>
  <c r="G64" i="1"/>
  <c r="H64" i="1"/>
  <c r="I64" i="1"/>
  <c r="E64" i="1"/>
  <c r="D64" i="1"/>
  <c r="C64" i="1"/>
  <c r="G60" i="1"/>
  <c r="G61" i="1"/>
  <c r="F60" i="1"/>
  <c r="F61" i="1"/>
  <c r="H60" i="1"/>
  <c r="E60" i="1"/>
  <c r="E61" i="1"/>
  <c r="D60" i="1"/>
  <c r="D61" i="1"/>
  <c r="C60" i="1"/>
  <c r="C61" i="1"/>
  <c r="T93" i="1"/>
  <c r="T70" i="1"/>
  <c r="T68" i="1"/>
  <c r="T71" i="1"/>
  <c r="T72" i="1"/>
  <c r="U82" i="1"/>
  <c r="K34" i="1"/>
  <c r="K46" i="1"/>
  <c r="W42" i="1"/>
  <c r="F66" i="1"/>
  <c r="H61" i="1"/>
  <c r="I56" i="1"/>
  <c r="I61" i="1"/>
  <c r="G66" i="1"/>
  <c r="J21" i="1"/>
  <c r="E66" i="1"/>
  <c r="I66" i="1"/>
  <c r="H66" i="1"/>
  <c r="P92" i="1"/>
  <c r="C66" i="1"/>
  <c r="D66" i="1"/>
  <c r="Q92" i="1"/>
  <c r="S92" i="1"/>
  <c r="R92" i="1"/>
  <c r="J32" i="1"/>
  <c r="J27" i="1"/>
  <c r="I32" i="1"/>
  <c r="O57" i="1"/>
  <c r="O66" i="1"/>
  <c r="O48" i="1"/>
  <c r="O45" i="1"/>
  <c r="O32" i="1"/>
  <c r="P8" i="1"/>
  <c r="P77" i="1"/>
  <c r="P80" i="1"/>
  <c r="O8" i="1"/>
  <c r="G7" i="1"/>
  <c r="H7" i="1"/>
  <c r="I7" i="1"/>
  <c r="F7" i="1"/>
  <c r="G53" i="1"/>
  <c r="H53" i="1"/>
  <c r="I53" i="1"/>
  <c r="F53" i="1"/>
  <c r="G6" i="1"/>
  <c r="H6" i="1"/>
  <c r="I6" i="1"/>
  <c r="F6" i="1"/>
  <c r="G52" i="1"/>
  <c r="H52" i="1"/>
  <c r="I52" i="1"/>
  <c r="F52" i="1"/>
  <c r="F44" i="1"/>
  <c r="H44" i="1"/>
  <c r="I44" i="1"/>
  <c r="G44" i="1"/>
  <c r="F32" i="1"/>
  <c r="G32" i="1"/>
  <c r="H32" i="1"/>
  <c r="F27" i="1"/>
  <c r="G27" i="1"/>
  <c r="H27" i="1"/>
  <c r="F14" i="1"/>
  <c r="G14" i="1"/>
  <c r="J17" i="1"/>
  <c r="H14" i="1"/>
  <c r="K17" i="1"/>
  <c r="I14" i="1"/>
  <c r="J16" i="1"/>
  <c r="P45" i="1"/>
  <c r="Q45" i="1"/>
  <c r="Q57" i="1"/>
  <c r="Q66" i="1"/>
  <c r="S32" i="1"/>
  <c r="S70" i="1"/>
  <c r="P57" i="1"/>
  <c r="P66" i="1"/>
  <c r="R57" i="1"/>
  <c r="R66" i="1"/>
  <c r="S57" i="1"/>
  <c r="S66" i="1"/>
  <c r="P48" i="1"/>
  <c r="P54" i="1"/>
  <c r="Q48" i="1"/>
  <c r="Q54" i="1"/>
  <c r="R48" i="1"/>
  <c r="R54" i="1"/>
  <c r="S48" i="1"/>
  <c r="S54" i="1"/>
  <c r="R45" i="1"/>
  <c r="P32" i="1"/>
  <c r="Q32" i="1"/>
  <c r="R32" i="1"/>
  <c r="Q8" i="1"/>
  <c r="S86" i="1"/>
  <c r="R8" i="1"/>
  <c r="J23" i="1"/>
  <c r="J28" i="1"/>
  <c r="T88" i="1"/>
  <c r="T84" i="1"/>
  <c r="X46" i="1"/>
  <c r="P14" i="1"/>
  <c r="O70" i="1"/>
  <c r="Q68" i="1"/>
  <c r="O54" i="1"/>
  <c r="O71" i="1"/>
  <c r="O72" i="1"/>
  <c r="P71" i="1"/>
  <c r="P72" i="1"/>
  <c r="Q70" i="1"/>
  <c r="O93" i="1"/>
  <c r="I16" i="1"/>
  <c r="P68" i="1"/>
  <c r="R93" i="1"/>
  <c r="S71" i="1"/>
  <c r="S72" i="1"/>
  <c r="T82" i="1"/>
  <c r="R71" i="1"/>
  <c r="R72" i="1"/>
  <c r="P70" i="1"/>
  <c r="Q71" i="1"/>
  <c r="Q72" i="1"/>
  <c r="Q82" i="1"/>
  <c r="S77" i="1"/>
  <c r="S80" i="1"/>
  <c r="S14" i="1"/>
  <c r="Q93" i="1"/>
  <c r="P93" i="1"/>
  <c r="S93" i="1"/>
  <c r="O68" i="1"/>
  <c r="R14" i="1"/>
  <c r="R77" i="1"/>
  <c r="R80" i="1"/>
  <c r="Q14" i="1"/>
  <c r="Q77" i="1"/>
  <c r="Q80" i="1"/>
  <c r="Q86" i="1"/>
  <c r="Q85" i="1"/>
  <c r="G72" i="1"/>
  <c r="G74" i="1"/>
  <c r="Q81" i="1"/>
  <c r="S85" i="1"/>
  <c r="I74" i="1"/>
  <c r="S81" i="1"/>
  <c r="R86" i="1"/>
  <c r="R85" i="1"/>
  <c r="H72" i="1"/>
  <c r="H74" i="1"/>
  <c r="R81" i="1"/>
  <c r="O83" i="1"/>
  <c r="O77" i="1"/>
  <c r="O80" i="1"/>
  <c r="P86" i="1"/>
  <c r="P85" i="1"/>
  <c r="F72" i="1"/>
  <c r="F74" i="1"/>
  <c r="P81" i="1"/>
  <c r="O86" i="1"/>
  <c r="O85" i="1"/>
  <c r="E74" i="1"/>
  <c r="O81" i="1"/>
  <c r="O14" i="1"/>
  <c r="I15" i="1"/>
  <c r="I17" i="1"/>
  <c r="H15" i="1"/>
  <c r="H17" i="1"/>
  <c r="H16" i="1"/>
  <c r="G15" i="1"/>
  <c r="G17" i="1"/>
  <c r="G16" i="1"/>
  <c r="F15" i="1"/>
  <c r="F17" i="1"/>
  <c r="F16" i="1"/>
  <c r="I21" i="1"/>
  <c r="I23" i="1"/>
  <c r="H21" i="1"/>
  <c r="G21" i="1"/>
  <c r="F21" i="1"/>
  <c r="R70" i="1"/>
  <c r="R68" i="1"/>
  <c r="S68" i="1"/>
  <c r="J29" i="1"/>
  <c r="J33" i="1"/>
  <c r="T83" i="1"/>
  <c r="R82" i="1"/>
  <c r="S82" i="1"/>
  <c r="I29" i="1"/>
  <c r="I33" i="1"/>
  <c r="S83" i="1"/>
  <c r="I28" i="1"/>
  <c r="Q84" i="1"/>
  <c r="G23" i="1"/>
  <c r="P84" i="1"/>
  <c r="F23" i="1"/>
  <c r="R84" i="1"/>
  <c r="H23" i="1"/>
  <c r="S88" i="1"/>
  <c r="S84" i="1"/>
  <c r="P88" i="1"/>
  <c r="Q88" i="1"/>
  <c r="R88" i="1"/>
  <c r="O82" i="1"/>
  <c r="P82" i="1"/>
  <c r="J35" i="1"/>
  <c r="J34" i="1"/>
  <c r="K35" i="1"/>
  <c r="G29" i="1"/>
  <c r="G33" i="1"/>
  <c r="G46" i="1"/>
  <c r="G48" i="1"/>
  <c r="G28" i="1"/>
  <c r="H29" i="1"/>
  <c r="H33" i="1"/>
  <c r="K36" i="1"/>
  <c r="H28" i="1"/>
  <c r="F29" i="1"/>
  <c r="F33" i="1"/>
  <c r="P83" i="1"/>
  <c r="F28" i="1"/>
  <c r="J46" i="1"/>
  <c r="I46" i="1"/>
  <c r="I34" i="1"/>
  <c r="G36" i="1"/>
  <c r="Q83" i="1"/>
  <c r="F34" i="1"/>
  <c r="J48" i="1"/>
  <c r="J47" i="1"/>
  <c r="K47" i="1"/>
  <c r="J36" i="1"/>
  <c r="I35" i="1"/>
  <c r="G35" i="1"/>
  <c r="G34" i="1"/>
  <c r="R83" i="1"/>
  <c r="H46" i="1"/>
  <c r="K48" i="1"/>
  <c r="H34" i="1"/>
  <c r="H36" i="1"/>
  <c r="F46" i="1"/>
  <c r="F35" i="1"/>
  <c r="H35" i="1"/>
  <c r="F36" i="1"/>
  <c r="I36" i="1"/>
  <c r="I47" i="1"/>
  <c r="F48" i="1"/>
  <c r="G47" i="1"/>
  <c r="F47" i="1"/>
  <c r="I48" i="1"/>
  <c r="H48" i="1"/>
  <c r="H47" i="1"/>
</calcChain>
</file>

<file path=xl/sharedStrings.xml><?xml version="1.0" encoding="utf-8"?>
<sst xmlns="http://schemas.openxmlformats.org/spreadsheetml/2006/main" count="243" uniqueCount="161">
  <si>
    <t>March Year Ended (INR Mn)</t>
  </si>
  <si>
    <t>FY17</t>
  </si>
  <si>
    <t>FY18</t>
  </si>
  <si>
    <t>FY19</t>
  </si>
  <si>
    <t>FY20</t>
  </si>
  <si>
    <t>FY21</t>
  </si>
  <si>
    <t>FY22</t>
  </si>
  <si>
    <t>FY23</t>
  </si>
  <si>
    <t>Share Capital</t>
  </si>
  <si>
    <t>Long Term Debt</t>
  </si>
  <si>
    <t>Short Term Debt</t>
  </si>
  <si>
    <t>Capital Employed</t>
  </si>
  <si>
    <t>Other Equity</t>
  </si>
  <si>
    <t>Total Equity</t>
  </si>
  <si>
    <t xml:space="preserve">Networth/Shareholder's Fund/Book value </t>
  </si>
  <si>
    <t>Minority Interest/Non Controlling Interest</t>
  </si>
  <si>
    <t>Total Loans</t>
  </si>
  <si>
    <t xml:space="preserve">Gross Block </t>
  </si>
  <si>
    <t xml:space="preserve">a) Property Plant &amp; Equipment </t>
  </si>
  <si>
    <t xml:space="preserve">b) Right-of-use Assets </t>
  </si>
  <si>
    <t>c) Capital Work in Progress</t>
  </si>
  <si>
    <t>d) Other Intangible Assets</t>
  </si>
  <si>
    <t xml:space="preserve">e) Intangible Assets under Development </t>
  </si>
  <si>
    <t xml:space="preserve">f) Goodwill on Consolidation </t>
  </si>
  <si>
    <t>g) Financial Assets:</t>
  </si>
  <si>
    <t xml:space="preserve">i)   Investments </t>
  </si>
  <si>
    <t xml:space="preserve">ii)  Loans </t>
  </si>
  <si>
    <t>iii)Other Financial Assets</t>
  </si>
  <si>
    <t>h) Income Tax Assets (Net)</t>
  </si>
  <si>
    <t>Total Non Current Assets</t>
  </si>
  <si>
    <t>Current Assets:</t>
  </si>
  <si>
    <t>Non-Current Assets:</t>
  </si>
  <si>
    <t xml:space="preserve">a) Inventories </t>
  </si>
  <si>
    <t>b) Financial Assets</t>
  </si>
  <si>
    <t>ii) Trade Recievables</t>
  </si>
  <si>
    <t xml:space="preserve">iii)Cash &amp; Cash Equivalents </t>
  </si>
  <si>
    <t xml:space="preserve">i)  Investments </t>
  </si>
  <si>
    <t xml:space="preserve">iv)Bank Balances other than (iii) above </t>
  </si>
  <si>
    <t>v) Loans</t>
  </si>
  <si>
    <t>vi)Other Financial Assets</t>
  </si>
  <si>
    <t>c) Other Current Assets</t>
  </si>
  <si>
    <t xml:space="preserve">Total Current Assets </t>
  </si>
  <si>
    <t>Non-Current Liabilities:</t>
  </si>
  <si>
    <t xml:space="preserve">a) Financial Liabilities </t>
  </si>
  <si>
    <t xml:space="preserve">i)  Borrowings </t>
  </si>
  <si>
    <t xml:space="preserve">b) Provisions </t>
  </si>
  <si>
    <t>c) Deferred Tax Liabilities (Net)</t>
  </si>
  <si>
    <t xml:space="preserve">d) Other Non-current Liabilities </t>
  </si>
  <si>
    <t xml:space="preserve">Total Non-current Liabilities </t>
  </si>
  <si>
    <t>Current Liabilities:</t>
  </si>
  <si>
    <t>ia) Lease Liabilities</t>
  </si>
  <si>
    <t>ii) Trade Payables</t>
  </si>
  <si>
    <t>Total Outstanding Dues of Micro &amp; Small Enterprises</t>
  </si>
  <si>
    <t>Total Outstanding Dues of Creditors Other Than
 Micro &amp; Small Enterprises</t>
  </si>
  <si>
    <t xml:space="preserve">b) Other Current Liabilities </t>
  </si>
  <si>
    <t>c) Provisions</t>
  </si>
  <si>
    <t>d) Income Tax Liabilities (Net)</t>
  </si>
  <si>
    <t xml:space="preserve">Total Current Liabilities </t>
  </si>
  <si>
    <t xml:space="preserve">Net Current Assets </t>
  </si>
  <si>
    <t xml:space="preserve">Total Assets </t>
  </si>
  <si>
    <t xml:space="preserve">Total Liabilities  </t>
  </si>
  <si>
    <t>Total Liabilities &amp; Equity</t>
  </si>
  <si>
    <t>Consolidated Balance Sheet</t>
  </si>
  <si>
    <t xml:space="preserve">Consolidated Income Statement </t>
  </si>
  <si>
    <t>Indoco Remedies Limited</t>
  </si>
  <si>
    <t>j) Other Non Current Assets</t>
  </si>
  <si>
    <t>i) Deferred Tax Assets (Net)</t>
  </si>
  <si>
    <t>iii)Other Financial Liabilities</t>
  </si>
  <si>
    <t xml:space="preserve">Revenue from Operations </t>
  </si>
  <si>
    <t>Growth (%)</t>
  </si>
  <si>
    <t xml:space="preserve">CAGR % - 3 Years </t>
  </si>
  <si>
    <t>Cost of Materials Consumed</t>
  </si>
  <si>
    <t>Changes in Inventories of FG, SIT and WIP</t>
  </si>
  <si>
    <t>Purchases of Stock in trade</t>
  </si>
  <si>
    <t>Employee Benefit Expense</t>
  </si>
  <si>
    <t>Other Expenses</t>
  </si>
  <si>
    <t>R&amp;D Expenses</t>
  </si>
  <si>
    <t>EBITDA</t>
  </si>
  <si>
    <t>EBITDA margin (%)</t>
  </si>
  <si>
    <t>CAGR (%) - 3 Years</t>
  </si>
  <si>
    <t>Other Income</t>
  </si>
  <si>
    <t>Depreciation</t>
  </si>
  <si>
    <t>Finance Cost</t>
  </si>
  <si>
    <t>PBT</t>
  </si>
  <si>
    <t>Tax</t>
  </si>
  <si>
    <t>Tax Expense</t>
  </si>
  <si>
    <t>a) Current</t>
  </si>
  <si>
    <t>b) Deferred</t>
  </si>
  <si>
    <t>Effective tax rate (%)</t>
  </si>
  <si>
    <t>Total Taxes</t>
  </si>
  <si>
    <t>PBT from Discontinuing Operations</t>
  </si>
  <si>
    <t>PAT from Discontinuing Operations</t>
  </si>
  <si>
    <t>Net Profit for the Year</t>
  </si>
  <si>
    <t>PAT margin (%)</t>
  </si>
  <si>
    <t>i) Remeasurements of post-employment
 benefit obligations</t>
  </si>
  <si>
    <t>Other Comprehensive Income:</t>
  </si>
  <si>
    <t>ii) Income tax relating to this item</t>
  </si>
  <si>
    <t>a) Items that will not be reclassified to P&amp;L</t>
  </si>
  <si>
    <t>b) Items that may be reclassified to P&amp;L</t>
  </si>
  <si>
    <t xml:space="preserve">Exchange differences or translations of  foreign operations </t>
  </si>
  <si>
    <t xml:space="preserve">Total Other Comprehensive Income </t>
  </si>
  <si>
    <t>Total Comprehensive Income for the Year</t>
  </si>
  <si>
    <t>Basic EPS</t>
  </si>
  <si>
    <t xml:space="preserve">Diluted EPS </t>
  </si>
  <si>
    <t>Earning Per Share:</t>
  </si>
  <si>
    <t xml:space="preserve">ii) Other Financial Liabilities </t>
  </si>
  <si>
    <t>Cash Flow From Operating Activities</t>
  </si>
  <si>
    <t>Cash Flow from Investing Activities</t>
  </si>
  <si>
    <t>Cash Flow From Financing Activities</t>
  </si>
  <si>
    <t>Cash and Cash Equivalents at End of the year</t>
  </si>
  <si>
    <t>Cash and Cash Equivalents at Beginning of the year:</t>
  </si>
  <si>
    <t>Net in Cash and Cash Equivalent</t>
  </si>
  <si>
    <t xml:space="preserve">Operating Cash Inflow </t>
  </si>
  <si>
    <t>Capital Expenditure</t>
  </si>
  <si>
    <t>FCFF</t>
  </si>
  <si>
    <t>Free Cash Flow (INR MN)</t>
  </si>
  <si>
    <t>CASH FLOW STATEMENT (INR Mn)</t>
  </si>
  <si>
    <t>Total Debt</t>
  </si>
  <si>
    <t>Cash &amp; cash equivalent and other bank balance</t>
  </si>
  <si>
    <t>Enterprise Value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</si>
  <si>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</si>
  <si>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</si>
  <si>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</si>
  <si>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</si>
  <si>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</si>
  <si>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</si>
  <si>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</si>
  <si>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</si>
  <si>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</si>
  <si>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</si>
  <si>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</si>
  <si>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</si>
  <si>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</si>
  <si>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Coverage</t>
  </si>
  <si>
    <t>INR MN</t>
  </si>
  <si>
    <t>N.A</t>
  </si>
  <si>
    <t>BVPS (₹)</t>
  </si>
  <si>
    <t>DPS (₹)</t>
  </si>
  <si>
    <t>EPS (₹)</t>
  </si>
  <si>
    <t>CMP (As per Stock Price at BSE) (₹)</t>
  </si>
  <si>
    <t>Asset Tunover</t>
  </si>
  <si>
    <t>Ratios</t>
  </si>
  <si>
    <t>N.A.</t>
  </si>
  <si>
    <t>PAT</t>
  </si>
  <si>
    <t xml:space="preserve">PBT Before Exceptional Items &amp; Tax </t>
  </si>
  <si>
    <t xml:space="preserve">Exceptional Items </t>
  </si>
  <si>
    <t xml:space="preserve">International </t>
  </si>
  <si>
    <t xml:space="preserve">Domestic </t>
  </si>
  <si>
    <t>API</t>
  </si>
  <si>
    <t>FY24</t>
  </si>
  <si>
    <t>-</t>
  </si>
  <si>
    <t>d) Current Tax Assets (Net)</t>
  </si>
  <si>
    <t>i) Income Tax relating to this item</t>
  </si>
  <si>
    <t>FY25</t>
  </si>
  <si>
    <t xml:space="preserve"> FY25</t>
  </si>
  <si>
    <t xml:space="preserve">No. of Shares </t>
  </si>
  <si>
    <t xml:space="preserve">Face Value per share </t>
  </si>
  <si>
    <t xml:space="preserve">Market Cap </t>
  </si>
  <si>
    <t>TTM</t>
  </si>
  <si>
    <t>H1-FY26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</si>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</sst>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 * #,##0.0_ ;_ * \-#,##0.0_ ;_ * &quot;-&quot;?_ ;_ @_ "/>
    <numFmt numFmtId="166" formatCode="#,##0.0_ ;\-#,##0.0\ "/>
    <numFmt numFmtId="167" formatCode="0.0%"/>
    <numFmt numFmtId="168" formatCode="#,##0.0;\-#,##0.0"/>
  </numFmts>
  <fonts count="1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i/>
      <sz val="11"/>
      <color theme="8" tint="-0.249977111117893"/>
      <name val="Calibri"/>
      <family val="2"/>
    </font>
    <font>
      <i/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MyFirstFont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indent="1"/>
    </xf>
    <xf numFmtId="2" fontId="0" fillId="0" borderId="1" xfId="0" applyNumberFormat="1" applyBorder="1"/>
    <xf numFmtId="164" fontId="0" fillId="0" borderId="1" xfId="0" applyNumberFormat="1" applyBorder="1"/>
    <xf numFmtId="164" fontId="0" fillId="2" borderId="1" xfId="0" applyNumberFormat="1" applyFill="1" applyBorder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right"/>
    </xf>
    <xf numFmtId="43" fontId="0" fillId="2" borderId="1" xfId="1" applyFont="1" applyFill="1" applyBorder="1"/>
    <xf numFmtId="43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left" indent="1"/>
    </xf>
    <xf numFmtId="166" fontId="0" fillId="0" borderId="1" xfId="0" applyNumberFormat="1" applyBorder="1"/>
    <xf numFmtId="166" fontId="2" fillId="2" borderId="1" xfId="0" applyNumberFormat="1" applyFont="1" applyFill="1" applyBorder="1"/>
    <xf numFmtId="166" fontId="2" fillId="0" borderId="1" xfId="0" applyNumberFormat="1" applyFont="1" applyBorder="1"/>
    <xf numFmtId="0" fontId="3" fillId="2" borderId="1" xfId="0" applyFont="1" applyFill="1" applyBorder="1" applyAlignment="1">
      <alignment horizontal="left" vertical="center"/>
    </xf>
    <xf numFmtId="0" fontId="2" fillId="3" borderId="1" xfId="0" applyFont="1" applyFill="1" applyBorder="1"/>
    <xf numFmtId="43" fontId="0" fillId="0" borderId="1" xfId="1" applyFont="1" applyBorder="1"/>
    <xf numFmtId="0" fontId="0" fillId="4" borderId="1" xfId="0" applyFill="1" applyBorder="1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43" fontId="0" fillId="0" borderId="0" xfId="1" applyFont="1" applyFill="1" applyAlignment="1">
      <alignment horizontal="center"/>
    </xf>
    <xf numFmtId="167" fontId="0" fillId="0" borderId="0" xfId="2" applyNumberFormat="1" applyFont="1" applyFill="1"/>
    <xf numFmtId="10" fontId="0" fillId="0" borderId="0" xfId="2" applyNumberFormat="1" applyFont="1" applyFill="1"/>
    <xf numFmtId="9" fontId="0" fillId="0" borderId="0" xfId="2" applyFont="1" applyFill="1"/>
    <xf numFmtId="0" fontId="0" fillId="6" borderId="0" xfId="0" applyFill="1"/>
    <xf numFmtId="0" fontId="0" fillId="2" borderId="1" xfId="0" applyFill="1" applyBorder="1"/>
    <xf numFmtId="167" fontId="0" fillId="2" borderId="1" xfId="2" applyNumberFormat="1" applyFont="1" applyFill="1" applyBorder="1"/>
    <xf numFmtId="167" fontId="0" fillId="2" borderId="1" xfId="2" applyNumberFormat="1" applyFont="1" applyFill="1" applyBorder="1" applyAlignment="1">
      <alignment horizontal="right"/>
    </xf>
    <xf numFmtId="10" fontId="0" fillId="2" borderId="1" xfId="2" applyNumberFormat="1" applyFont="1" applyFill="1" applyBorder="1"/>
    <xf numFmtId="43" fontId="0" fillId="2" borderId="1" xfId="1" applyFont="1" applyFill="1" applyBorder="1" applyAlignment="1">
      <alignment horizontal="right"/>
    </xf>
    <xf numFmtId="166" fontId="0" fillId="0" borderId="1" xfId="1" applyNumberFormat="1" applyFont="1" applyBorder="1"/>
    <xf numFmtId="166" fontId="3" fillId="2" borderId="1" xfId="1" applyNumberFormat="1" applyFont="1" applyFill="1" applyBorder="1"/>
    <xf numFmtId="164" fontId="0" fillId="0" borderId="1" xfId="1" applyNumberFormat="1" applyFont="1" applyBorder="1"/>
    <xf numFmtId="164" fontId="0" fillId="4" borderId="1" xfId="1" applyNumberFormat="1" applyFont="1" applyFill="1" applyBorder="1"/>
    <xf numFmtId="164" fontId="3" fillId="2" borderId="1" xfId="1" applyNumberFormat="1" applyFont="1" applyFill="1" applyBorder="1"/>
    <xf numFmtId="164" fontId="2" fillId="2" borderId="1" xfId="0" applyNumberFormat="1" applyFont="1" applyFill="1" applyBorder="1"/>
    <xf numFmtId="164" fontId="8" fillId="7" borderId="1" xfId="0" applyNumberFormat="1" applyFont="1" applyFill="1" applyBorder="1"/>
    <xf numFmtId="10" fontId="8" fillId="7" borderId="1" xfId="0" applyNumberFormat="1" applyFont="1" applyFill="1" applyBorder="1" applyAlignment="1">
      <alignment horizontal="right"/>
    </xf>
    <xf numFmtId="164" fontId="0" fillId="7" borderId="1" xfId="0" applyNumberFormat="1" applyFill="1" applyBorder="1"/>
    <xf numFmtId="0" fontId="0" fillId="7" borderId="1" xfId="0" applyFill="1" applyBorder="1"/>
    <xf numFmtId="0" fontId="8" fillId="7" borderId="1" xfId="0" applyFont="1" applyFill="1" applyBorder="1"/>
    <xf numFmtId="166" fontId="7" fillId="7" borderId="1" xfId="1" applyNumberFormat="1" applyFont="1" applyFill="1" applyBorder="1"/>
    <xf numFmtId="10" fontId="0" fillId="0" borderId="0" xfId="0" applyNumberFormat="1"/>
    <xf numFmtId="0" fontId="0" fillId="0" borderId="1" xfId="0" applyBorder="1" applyAlignment="1">
      <alignment horizontal="right"/>
    </xf>
    <xf numFmtId="43" fontId="0" fillId="0" borderId="0" xfId="0" applyNumberFormat="1"/>
    <xf numFmtId="164" fontId="0" fillId="0" borderId="0" xfId="2" applyNumberFormat="1" applyFont="1" applyFill="1"/>
    <xf numFmtId="0" fontId="10" fillId="8" borderId="1" xfId="0" applyFont="1" applyFill="1" applyBorder="1" applyAlignment="1">
      <alignment horizontal="right" vertical="center" wrapText="1" indent="1"/>
    </xf>
    <xf numFmtId="168" fontId="0" fillId="0" borderId="1" xfId="0" applyNumberFormat="1" applyBorder="1" applyAlignment="1">
      <alignment horizontal="righ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Alignment="1">
      <alignment horizontal="right"/>
    </xf>
    <xf numFmtId="168" fontId="2" fillId="2" borderId="1" xfId="0" applyNumberFormat="1" applyFont="1" applyFill="1" applyBorder="1" applyAlignment="1">
      <alignment horizontal="right"/>
    </xf>
    <xf numFmtId="164" fontId="8" fillId="7" borderId="1" xfId="0" applyNumberFormat="1" applyFont="1" applyFill="1" applyBorder="1" applyAlignment="1">
      <alignment horizontal="right"/>
    </xf>
    <xf numFmtId="168" fontId="0" fillId="2" borderId="1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0" fillId="7" borderId="1" xfId="0" applyNumberFormat="1" applyFill="1" applyBorder="1" applyAlignment="1">
      <alignment horizontal="right"/>
    </xf>
    <xf numFmtId="0" fontId="0" fillId="7" borderId="1" xfId="0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8" fillId="7" borderId="1" xfId="0" applyFont="1" applyFill="1" applyBorder="1" applyAlignment="1">
      <alignment horizontal="right"/>
    </xf>
    <xf numFmtId="168" fontId="0" fillId="0" borderId="1" xfId="1" applyNumberFormat="1" applyFont="1" applyBorder="1" applyAlignment="1">
      <alignment horizontal="right"/>
    </xf>
    <xf numFmtId="168" fontId="7" fillId="7" borderId="1" xfId="1" applyNumberFormat="1" applyFont="1" applyFill="1" applyBorder="1" applyAlignment="1">
      <alignment horizontal="right"/>
    </xf>
    <xf numFmtId="168" fontId="3" fillId="2" borderId="1" xfId="1" applyNumberFormat="1" applyFont="1" applyFill="1" applyBorder="1" applyAlignment="1">
      <alignment horizontal="right"/>
    </xf>
    <xf numFmtId="168" fontId="0" fillId="4" borderId="1" xfId="1" applyNumberFormat="1" applyFont="1" applyFill="1" applyBorder="1" applyAlignment="1">
      <alignment horizontal="right"/>
    </xf>
    <xf numFmtId="164" fontId="0" fillId="4" borderId="1" xfId="1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0" fillId="2" borderId="1" xfId="0" applyFill="1" applyBorder="1" applyAlignment="1">
      <alignment horizontal="left"/>
    </xf>
    <xf numFmtId="168" fontId="0" fillId="0" borderId="1" xfId="0" applyNumberFormat="1" applyBorder="1" applyAlignment="1">
      <alignment horizontal="right" vertical="center"/>
    </xf>
    <xf numFmtId="10" fontId="0" fillId="2" borderId="1" xfId="2" applyNumberFormat="1" applyFont="1" applyFill="1" applyBorder="1" applyAlignment="1">
      <alignment horizontal="right"/>
    </xf>
    <xf numFmtId="2" fontId="0" fillId="2" borderId="1" xfId="2" applyNumberFormat="1" applyFont="1" applyFill="1" applyBorder="1" applyAlignment="1">
      <alignment horizontal="right"/>
    </xf>
    <xf numFmtId="168" fontId="0" fillId="0" borderId="4" xfId="0" applyNumberFormat="1" applyBorder="1" applyAlignment="1">
      <alignment horizontal="right"/>
    </xf>
    <xf numFmtId="168" fontId="2" fillId="2" borderId="2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166" fontId="2" fillId="3" borderId="1" xfId="0" applyNumberFormat="1" applyFont="1" applyFill="1" applyBorder="1"/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9" fontId="2" fillId="3" borderId="1" xfId="2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8" fontId="0" fillId="4" borderId="1" xfId="0" applyNumberFormat="1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14"/>
  <sheetViews>
    <sheetView tabSelected="1" topLeftCell="B1" zoomScale="75" zoomScaleNormal="75" workbookViewId="0">
      <pane ySplit="4" topLeftCell="A5" activePane="bottomLeft" state="frozen"/>
      <selection pane="bottomLeft" activeCell="Z91" sqref="Z91"/>
    </sheetView>
  </sheetViews>
  <sheetFormatPr defaultRowHeight="14.5"/>
  <cols>
    <col min="2" max="2" width="50.54296875" style="51" customWidth="1"/>
    <col min="3" max="3" width="9.453125" hidden="1" customWidth="1"/>
    <col min="4" max="4" width="10.81640625" hidden="1" customWidth="1"/>
    <col min="5" max="5" width="10.81640625" style="63" customWidth="1"/>
    <col min="6" max="12" width="10.54296875" style="63" customWidth="1"/>
    <col min="13" max="13" width="4.1796875" customWidth="1"/>
    <col min="14" max="14" width="50.54296875" style="51" customWidth="1"/>
    <col min="15" max="15" width="8.81640625" hidden="1" customWidth="1"/>
    <col min="16" max="21" width="10.54296875" style="63" customWidth="1"/>
    <col min="22" max="22" width="10.81640625" customWidth="1"/>
  </cols>
  <sheetData>
    <row r="1" spans="1:22">
      <c r="F1" s="77"/>
      <c r="G1" s="78"/>
    </row>
    <row r="2" spans="1:22" ht="21">
      <c r="B2" s="96" t="s">
        <v>64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spans="1:22">
      <c r="B3" s="97" t="s">
        <v>63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27"/>
      <c r="N3" s="93" t="s">
        <v>62</v>
      </c>
      <c r="O3" s="94"/>
      <c r="P3" s="94"/>
      <c r="Q3" s="94"/>
      <c r="R3" s="94"/>
      <c r="S3" s="94"/>
      <c r="T3" s="94"/>
      <c r="U3" s="95"/>
    </row>
    <row r="4" spans="1:22">
      <c r="B4" s="60" t="s">
        <v>0</v>
      </c>
      <c r="C4" s="18" t="s">
        <v>1</v>
      </c>
      <c r="D4" s="18" t="s">
        <v>2</v>
      </c>
      <c r="E4" s="86" t="s">
        <v>3</v>
      </c>
      <c r="F4" s="86" t="s">
        <v>4</v>
      </c>
      <c r="G4" s="86" t="s">
        <v>5</v>
      </c>
      <c r="H4" s="86" t="s">
        <v>6</v>
      </c>
      <c r="I4" s="86" t="s">
        <v>7</v>
      </c>
      <c r="J4" s="86" t="s">
        <v>149</v>
      </c>
      <c r="K4" s="86" t="s">
        <v>153</v>
      </c>
      <c r="L4" s="86" t="s">
        <v>159</v>
      </c>
      <c r="M4" s="27"/>
      <c r="N4" s="60" t="s">
        <v>0</v>
      </c>
      <c r="O4" s="87" t="s">
        <v>3</v>
      </c>
      <c r="P4" s="86" t="s">
        <v>4</v>
      </c>
      <c r="Q4" s="86" t="s">
        <v>5</v>
      </c>
      <c r="R4" s="86" t="s">
        <v>6</v>
      </c>
      <c r="S4" s="86" t="s">
        <v>7</v>
      </c>
      <c r="T4" s="88" t="s">
        <v>149</v>
      </c>
      <c r="U4" s="89" t="s">
        <v>153</v>
      </c>
      <c r="V4" s="89" t="s">
        <v>159</v>
      </c>
    </row>
    <row r="5" spans="1:22">
      <c r="B5" s="52" t="s">
        <v>68</v>
      </c>
      <c r="C5" s="38">
        <v>10967.707</v>
      </c>
      <c r="D5" s="38">
        <v>10452.99</v>
      </c>
      <c r="E5" s="64">
        <v>9684.4740000000002</v>
      </c>
      <c r="F5" s="64">
        <v>11065.811</v>
      </c>
      <c r="G5" s="64">
        <v>12415.277</v>
      </c>
      <c r="H5" s="64">
        <v>15407.535</v>
      </c>
      <c r="I5" s="64">
        <v>16686.111000000001</v>
      </c>
      <c r="J5" s="64">
        <v>18172.900000000001</v>
      </c>
      <c r="K5" s="64">
        <v>16649.2</v>
      </c>
      <c r="L5" s="64">
        <v>9243.5</v>
      </c>
      <c r="M5" s="27"/>
      <c r="N5" s="7" t="s">
        <v>8</v>
      </c>
      <c r="O5" s="14">
        <v>184.30099999999999</v>
      </c>
      <c r="P5" s="50">
        <v>184.30099999999999</v>
      </c>
      <c r="Q5" s="50">
        <v>184.30099999999999</v>
      </c>
      <c r="R5" s="50">
        <v>184.30099999999999</v>
      </c>
      <c r="S5" s="50">
        <v>184.30099999999999</v>
      </c>
      <c r="T5" s="50">
        <v>184.4</v>
      </c>
      <c r="U5" s="50">
        <v>184.5</v>
      </c>
      <c r="V5" s="50">
        <v>184.5</v>
      </c>
    </row>
    <row r="6" spans="1:22">
      <c r="B6" s="53" t="s">
        <v>69</v>
      </c>
      <c r="C6" s="39"/>
      <c r="D6" s="39"/>
      <c r="E6" s="65"/>
      <c r="F6" s="40">
        <f>IF(F5/E5-1&gt;100%,"N.A.",IF(F5/E5-1&lt;-100%,"N.A.",(F5/E5-1)))</f>
        <v>0.14263417920271149</v>
      </c>
      <c r="G6" s="40">
        <f t="shared" ref="G6:I6" si="0">IF(G5/F5-1&gt;100%,"N.A.",IF(G5/F5-1&lt;-100%,"N.A.",(G5/F5-1)))</f>
        <v>0.12194912781358735</v>
      </c>
      <c r="H6" s="40">
        <f t="shared" si="0"/>
        <v>0.24101419565588422</v>
      </c>
      <c r="I6" s="40">
        <f t="shared" si="0"/>
        <v>8.2983812790300426E-2</v>
      </c>
      <c r="J6" s="40">
        <f>IF(J5/I5-1&gt;100%,"N.A.",IF(J5/I5-1&lt;-100%,"N.A.",(J5/I5-1)))</f>
        <v>8.9103386642939153E-2</v>
      </c>
      <c r="K6" s="40">
        <f>IF(K5/J5-1&gt;100%,"N.A.",IF(K5/J5-1&lt;-100%,"N.A.",(K5/J5-1)))</f>
        <v>-8.3844625788949467E-2</v>
      </c>
      <c r="L6" s="40"/>
      <c r="M6" s="27"/>
      <c r="N6" s="7" t="s">
        <v>12</v>
      </c>
      <c r="O6" s="14">
        <v>6421.9229999999998</v>
      </c>
      <c r="P6" s="50">
        <v>6611.393</v>
      </c>
      <c r="Q6" s="50">
        <v>7505.6049999999996</v>
      </c>
      <c r="R6" s="50">
        <v>8862.1</v>
      </c>
      <c r="S6" s="50">
        <v>10098.192999999999</v>
      </c>
      <c r="T6" s="50">
        <v>10914.6</v>
      </c>
      <c r="U6" s="50">
        <v>10035.5</v>
      </c>
      <c r="V6" s="50">
        <v>9613.2000000000007</v>
      </c>
    </row>
    <row r="7" spans="1:22">
      <c r="B7" s="53" t="s">
        <v>70</v>
      </c>
      <c r="C7" s="39"/>
      <c r="D7" s="39"/>
      <c r="E7" s="65"/>
      <c r="F7" s="40">
        <f>IF((F5/C5)^(1/3)-1&gt;100%,"N.A.",IF((F5/C5)^(1/3)-1&lt;-100%,"N.A.",((F5/C5)^(1/3)-1)))</f>
        <v>2.9727556211374129E-3</v>
      </c>
      <c r="G7" s="40">
        <f t="shared" ref="G7:I7" si="1">IF((G5/D5)^(1/3)-1&gt;100%,"N.A.",IF((G5/D5)^(1/3)-1&lt;-100%,"N.A.",((G5/D5)^(1/3)-1)))</f>
        <v>5.9022757690739835E-2</v>
      </c>
      <c r="H7" s="40">
        <f t="shared" si="1"/>
        <v>0.167398260386874</v>
      </c>
      <c r="I7" s="40">
        <f t="shared" si="1"/>
        <v>0.1467197522942707</v>
      </c>
      <c r="J7" s="40">
        <f>IF((J5/G5)^(1/3)-1&gt;100%,"N.A.",IF((J5/G5)^(1/3)-1&lt;-100%,"N.A.",((J5/G5)^(1/3)-1)))</f>
        <v>0.13541843439838219</v>
      </c>
      <c r="K7" s="40">
        <f>IF((K5/H5)^(1/3)-1&gt;100%,"N.A.",IF((K5/H5)^(1/3)-1&lt;-100%,"N.A.",((K5/H5)^(1/3)-1)))</f>
        <v>2.6171784394370512E-2</v>
      </c>
      <c r="L7" s="40"/>
      <c r="M7" s="27"/>
      <c r="N7" s="52" t="s">
        <v>13</v>
      </c>
      <c r="O7" s="5">
        <f t="shared" ref="O7:S7" si="2">SUM(O5:O6)+O9</f>
        <v>6606.2240000000002</v>
      </c>
      <c r="P7" s="64">
        <f t="shared" si="2"/>
        <v>6795.6940000000004</v>
      </c>
      <c r="Q7" s="64">
        <f t="shared" si="2"/>
        <v>7689.9059999999999</v>
      </c>
      <c r="R7" s="64">
        <f t="shared" si="2"/>
        <v>9046.4009999999998</v>
      </c>
      <c r="S7" s="64">
        <f t="shared" si="2"/>
        <v>10282.493999999999</v>
      </c>
      <c r="T7" s="64">
        <f>SUM(T5:T6)+T9</f>
        <v>11105</v>
      </c>
      <c r="U7" s="64">
        <f>SUM(U5:U6)+U9</f>
        <v>10183.799999999999</v>
      </c>
      <c r="V7" s="64">
        <f>SUM(V5:V6)+V9</f>
        <v>9743.1</v>
      </c>
    </row>
    <row r="8" spans="1:22">
      <c r="B8" s="7" t="s">
        <v>71</v>
      </c>
      <c r="C8" s="4"/>
      <c r="D8" s="4"/>
      <c r="E8" s="50"/>
      <c r="F8" s="50">
        <v>2626.8220000000001</v>
      </c>
      <c r="G8" s="50">
        <v>3031.9760000000001</v>
      </c>
      <c r="H8" s="50">
        <v>3936.6149999999998</v>
      </c>
      <c r="I8" s="50">
        <v>4120.2380000000003</v>
      </c>
      <c r="J8" s="50">
        <v>4850.1000000000004</v>
      </c>
      <c r="K8" s="50">
        <v>3962.7</v>
      </c>
      <c r="L8" s="99">
        <v>2185.1</v>
      </c>
      <c r="M8" s="27"/>
      <c r="N8" s="52" t="s">
        <v>14</v>
      </c>
      <c r="O8" s="5">
        <f t="shared" ref="O8:Q8" si="3">SUM(O5:O6)</f>
        <v>6606.2240000000002</v>
      </c>
      <c r="P8" s="64">
        <f t="shared" si="3"/>
        <v>6795.6940000000004</v>
      </c>
      <c r="Q8" s="64">
        <f t="shared" si="3"/>
        <v>7689.9059999999999</v>
      </c>
      <c r="R8" s="64">
        <f>SUM(R5:R6)</f>
        <v>9046.4009999999998</v>
      </c>
      <c r="S8" s="64">
        <f>SUM(S5:S6)</f>
        <v>10282.493999999999</v>
      </c>
      <c r="T8" s="64">
        <f>SUM(T5:T6)+T9</f>
        <v>11105</v>
      </c>
      <c r="U8" s="64">
        <f>SUM(U5:U6)+U9</f>
        <v>10183.799999999999</v>
      </c>
      <c r="V8" s="64">
        <f>SUM(V5:V6)+V9</f>
        <v>9743.1</v>
      </c>
    </row>
    <row r="9" spans="1:22">
      <c r="B9" s="7" t="s">
        <v>73</v>
      </c>
      <c r="C9" s="4"/>
      <c r="D9" s="4"/>
      <c r="E9" s="50"/>
      <c r="F9" s="50">
        <v>757.96600000000001</v>
      </c>
      <c r="G9" s="50">
        <v>630.37199999999996</v>
      </c>
      <c r="H9" s="50">
        <v>894.3</v>
      </c>
      <c r="I9" s="50">
        <v>1027.1959999999999</v>
      </c>
      <c r="J9" s="50">
        <v>1156.5999999999999</v>
      </c>
      <c r="K9" s="50">
        <v>1409.3</v>
      </c>
      <c r="L9" s="99">
        <v>780.5</v>
      </c>
      <c r="M9" s="27"/>
      <c r="N9" s="7" t="s">
        <v>15</v>
      </c>
      <c r="O9" s="10">
        <v>0</v>
      </c>
      <c r="P9" s="80">
        <v>0</v>
      </c>
      <c r="Q9" s="80">
        <v>0</v>
      </c>
      <c r="R9" s="80">
        <v>0</v>
      </c>
      <c r="S9" s="80">
        <v>0</v>
      </c>
      <c r="T9" s="80">
        <v>6</v>
      </c>
      <c r="U9" s="80">
        <v>-36.200000000000003</v>
      </c>
      <c r="V9" s="80">
        <v>-54.6</v>
      </c>
    </row>
    <row r="10" spans="1:22">
      <c r="B10" s="7" t="s">
        <v>72</v>
      </c>
      <c r="C10" s="13"/>
      <c r="D10" s="4"/>
      <c r="E10" s="50"/>
      <c r="F10" s="50">
        <v>-80.503</v>
      </c>
      <c r="G10" s="50">
        <v>-121.306</v>
      </c>
      <c r="H10" s="50">
        <v>-263.03500000000003</v>
      </c>
      <c r="I10" s="50">
        <v>65.521000000000001</v>
      </c>
      <c r="J10" s="50">
        <v>-414.8</v>
      </c>
      <c r="K10" s="50">
        <v>-390.2</v>
      </c>
      <c r="L10" s="99">
        <v>-162.5</v>
      </c>
      <c r="M10" s="27"/>
      <c r="N10" s="7" t="s">
        <v>9</v>
      </c>
      <c r="O10" s="14">
        <v>1286.5709999999999</v>
      </c>
      <c r="P10" s="50">
        <v>969.30100000000004</v>
      </c>
      <c r="Q10" s="50">
        <v>969.39200000000005</v>
      </c>
      <c r="R10" s="50">
        <v>958.84900000000005</v>
      </c>
      <c r="S10" s="50">
        <v>1435</v>
      </c>
      <c r="T10" s="50">
        <v>3517.3</v>
      </c>
      <c r="U10" s="50">
        <v>5332</v>
      </c>
      <c r="V10" s="50">
        <v>4457.7</v>
      </c>
    </row>
    <row r="11" spans="1:22">
      <c r="B11" s="7" t="s">
        <v>74</v>
      </c>
      <c r="C11" s="4"/>
      <c r="D11" s="4"/>
      <c r="E11" s="50"/>
      <c r="F11" s="50">
        <v>2565.0700000000002</v>
      </c>
      <c r="G11" s="50">
        <v>2740.2150000000001</v>
      </c>
      <c r="H11" s="50">
        <v>2962.808</v>
      </c>
      <c r="I11" s="50">
        <v>3225.7919999999999</v>
      </c>
      <c r="J11" s="50">
        <v>3619.3</v>
      </c>
      <c r="K11" s="50">
        <v>3940.5</v>
      </c>
      <c r="L11" s="99">
        <v>2102.5</v>
      </c>
      <c r="M11" s="27"/>
      <c r="N11" s="7" t="s">
        <v>10</v>
      </c>
      <c r="O11" s="14">
        <v>1133.9369999999999</v>
      </c>
      <c r="P11" s="50">
        <v>1059.7860000000001</v>
      </c>
      <c r="Q11" s="50">
        <v>1163.2380000000001</v>
      </c>
      <c r="R11" s="50">
        <v>1483.212</v>
      </c>
      <c r="S11" s="50">
        <v>1710.0450000000001</v>
      </c>
      <c r="T11" s="50">
        <v>3034.2</v>
      </c>
      <c r="U11" s="50">
        <v>4448.3</v>
      </c>
      <c r="V11" s="50">
        <v>4922.1000000000004</v>
      </c>
    </row>
    <row r="12" spans="1:22">
      <c r="B12" s="7" t="s">
        <v>76</v>
      </c>
      <c r="C12" s="4"/>
      <c r="D12" s="4"/>
      <c r="E12" s="50"/>
      <c r="F12" s="50">
        <v>497.02</v>
      </c>
      <c r="G12" s="50">
        <v>597.03599999999994</v>
      </c>
      <c r="H12" s="50">
        <v>746.41899999999998</v>
      </c>
      <c r="I12" s="50">
        <v>809.69799999999998</v>
      </c>
      <c r="J12" s="50">
        <v>971.6</v>
      </c>
      <c r="K12" s="50">
        <v>760.1</v>
      </c>
      <c r="L12" s="99">
        <v>434.7</v>
      </c>
      <c r="M12" s="27"/>
      <c r="N12" s="52" t="s">
        <v>16</v>
      </c>
      <c r="O12" s="5">
        <f t="shared" ref="O12:S12" si="4">SUM(O10:O11)</f>
        <v>2420.5079999999998</v>
      </c>
      <c r="P12" s="64">
        <f t="shared" si="4"/>
        <v>2029.087</v>
      </c>
      <c r="Q12" s="64">
        <f t="shared" si="4"/>
        <v>2132.63</v>
      </c>
      <c r="R12" s="64">
        <f t="shared" si="4"/>
        <v>2442.0610000000001</v>
      </c>
      <c r="S12" s="64">
        <f t="shared" si="4"/>
        <v>3145.0450000000001</v>
      </c>
      <c r="T12" s="64">
        <f>SUM(T10:T11)</f>
        <v>6551.5</v>
      </c>
      <c r="U12" s="64">
        <f>SUM(U10:U11)</f>
        <v>9780.2999999999993</v>
      </c>
      <c r="V12" s="64">
        <f>SUM(V10:V11)</f>
        <v>9379.7999999999993</v>
      </c>
    </row>
    <row r="13" spans="1:22">
      <c r="A13" s="45"/>
      <c r="B13" s="7" t="s">
        <v>75</v>
      </c>
      <c r="C13" s="4"/>
      <c r="D13" s="4"/>
      <c r="E13" s="50"/>
      <c r="F13" s="50">
        <v>3467.37</v>
      </c>
      <c r="G13" s="50">
        <v>3294.3029999999999</v>
      </c>
      <c r="H13" s="50">
        <v>3857.0079999999998</v>
      </c>
      <c r="I13" s="50">
        <v>4576.74</v>
      </c>
      <c r="J13" s="50">
        <v>5547</v>
      </c>
      <c r="K13" s="50">
        <v>5974.2</v>
      </c>
      <c r="L13" s="99">
        <v>3297.3</v>
      </c>
      <c r="M13" s="27"/>
      <c r="N13" s="7"/>
      <c r="O13" s="14"/>
      <c r="P13" s="50"/>
      <c r="Q13" s="50"/>
      <c r="R13" s="50"/>
      <c r="S13" s="50"/>
      <c r="T13" s="50"/>
      <c r="U13" s="50"/>
      <c r="V13" s="50"/>
    </row>
    <row r="14" spans="1:22">
      <c r="B14" s="52" t="s">
        <v>77</v>
      </c>
      <c r="C14" s="5">
        <v>1564.64</v>
      </c>
      <c r="D14" s="5">
        <v>1349.3489999999999</v>
      </c>
      <c r="E14" s="66">
        <v>766.49300000000005</v>
      </c>
      <c r="F14" s="64">
        <f t="shared" ref="F14:H14" si="5">F5-SUM(F8:F13)</f>
        <v>1232.0660000000007</v>
      </c>
      <c r="G14" s="64">
        <f>G5-SUM(G8:G13)</f>
        <v>2242.6810000000005</v>
      </c>
      <c r="H14" s="64">
        <f t="shared" si="5"/>
        <v>3273.42</v>
      </c>
      <c r="I14" s="64">
        <f>I5-SUM(I8:I13)</f>
        <v>2860.9260000000013</v>
      </c>
      <c r="J14" s="64">
        <f>J5-SUM(J8:J13)</f>
        <v>2443.1000000000004</v>
      </c>
      <c r="K14" s="64">
        <f>K5-SUM(K8:K13)</f>
        <v>992.60000000000218</v>
      </c>
      <c r="L14" s="64">
        <f>L5-SUM(L8:L13)</f>
        <v>605.89999999999964</v>
      </c>
      <c r="M14" s="27"/>
      <c r="N14" s="52" t="s">
        <v>11</v>
      </c>
      <c r="O14" s="5">
        <f t="shared" ref="O14:R14" si="6">O8+O12</f>
        <v>9026.732</v>
      </c>
      <c r="P14" s="64">
        <f t="shared" si="6"/>
        <v>8824.7810000000009</v>
      </c>
      <c r="Q14" s="64">
        <f t="shared" si="6"/>
        <v>9822.5360000000001</v>
      </c>
      <c r="R14" s="64">
        <f t="shared" si="6"/>
        <v>11488.462</v>
      </c>
      <c r="S14" s="64">
        <f>S8+S12</f>
        <v>13427.538999999999</v>
      </c>
      <c r="T14" s="64">
        <f>T8+T12</f>
        <v>17656.5</v>
      </c>
      <c r="U14" s="64">
        <f>U8+U12</f>
        <v>19964.099999999999</v>
      </c>
      <c r="V14" s="64">
        <f>V8+V12</f>
        <v>19122.900000000001</v>
      </c>
    </row>
    <row r="15" spans="1:22">
      <c r="B15" s="54" t="s">
        <v>78</v>
      </c>
      <c r="C15" s="39"/>
      <c r="D15" s="39"/>
      <c r="E15" s="65"/>
      <c r="F15" s="40">
        <f>IF(F14/F5&gt;100%,"N.A",IF(F14/F5&lt;-100%,"N.A.",(F14/F5)))</f>
        <v>0.11133987377879495</v>
      </c>
      <c r="G15" s="40">
        <f t="shared" ref="G15:I15" si="7">IF(G14/G5&gt;100%,"N.A",IF(G14/G5&lt;-100%,"N.A.",(G14/G5)))</f>
        <v>0.1806388210267077</v>
      </c>
      <c r="H15" s="40">
        <f t="shared" si="7"/>
        <v>0.2124557886774231</v>
      </c>
      <c r="I15" s="40">
        <f t="shared" si="7"/>
        <v>0.17145552969172992</v>
      </c>
      <c r="J15" s="40">
        <f>IF(J14/J5&gt;100%,"N.A",IF(J14/J5&lt;-100%,"N.A.",(J14/J5)))</f>
        <v>0.13443644107434696</v>
      </c>
      <c r="K15" s="40">
        <f>IF(K14/K5&gt;100%,"N.A",IF(K14/K5&lt;-100%,"N.A.",(K14/K5)))</f>
        <v>5.9618480167215368E-2</v>
      </c>
      <c r="L15" s="40">
        <f>IF(L14/L5&gt;100%,"N.A",IF(L14/L5&lt;-100%,"N.A.",(L14/L5)))</f>
        <v>6.5548763996321702E-2</v>
      </c>
      <c r="M15" s="27"/>
      <c r="N15" s="7"/>
      <c r="O15" s="14"/>
      <c r="P15" s="50"/>
      <c r="Q15" s="50"/>
      <c r="R15" s="50"/>
      <c r="S15" s="50"/>
      <c r="T15" s="50"/>
      <c r="U15" s="50"/>
      <c r="V15" s="50"/>
    </row>
    <row r="16" spans="1:22">
      <c r="B16" s="54" t="s">
        <v>69</v>
      </c>
      <c r="C16" s="39"/>
      <c r="D16" s="39"/>
      <c r="E16" s="65"/>
      <c r="F16" s="40">
        <f>IF(F14/E14-1&gt;100%,("N.A."),IF(F14/E14-1&lt;-100%,("N.A."),(F14/E14-1)))</f>
        <v>0.60740672126164319</v>
      </c>
      <c r="G16" s="40">
        <f t="shared" ref="G16:H16" si="8">IF(G14/F14-1&gt;100%,("N.A."),IF(G14/F14-1&lt;-100%,("N.A."),(G14/F14-1)))</f>
        <v>0.82026044059327918</v>
      </c>
      <c r="H16" s="40">
        <f t="shared" si="8"/>
        <v>0.45960125403479113</v>
      </c>
      <c r="I16" s="40">
        <f>IF(I14/H14-1&gt;100%,("N.A."),IF(I14/H14-1&lt;-100%,("N.A."),(I14/H14-1)))</f>
        <v>-0.12601316054768374</v>
      </c>
      <c r="J16" s="40">
        <f>IF(J14/I14-1&gt;100%,("N.A."),IF(J14/I14-1&lt;-100%,("N.A."),(J14/I14-1)))</f>
        <v>-0.1460457208610082</v>
      </c>
      <c r="K16" s="40">
        <f>IF(K14/J14-1&gt;100%,("N.A."),IF(K14/J14-1&lt;-100%,("N.A."),(K14/J14-1)))</f>
        <v>-0.59371290573451674</v>
      </c>
      <c r="L16" s="40"/>
      <c r="M16" s="27"/>
      <c r="N16" s="52" t="s">
        <v>17</v>
      </c>
      <c r="O16" s="15"/>
      <c r="P16" s="66"/>
      <c r="Q16" s="66"/>
      <c r="R16" s="66"/>
      <c r="S16" s="66"/>
      <c r="T16" s="66"/>
      <c r="U16" s="66"/>
      <c r="V16" s="66"/>
    </row>
    <row r="17" spans="2:22">
      <c r="B17" s="54" t="s">
        <v>79</v>
      </c>
      <c r="C17" s="39"/>
      <c r="D17" s="39"/>
      <c r="E17" s="65"/>
      <c r="F17" s="40">
        <f t="shared" ref="F17" si="9">IF((F14/C14)^(1/3)-1&lt;-100%,"N.A.",IF((F14/C14)^(1/3)-1&gt;100%,"N.A.",((F14/C14)^(1/3)-1)))</f>
        <v>-7.6564609631795899E-2</v>
      </c>
      <c r="G17" s="40">
        <f t="shared" ref="G17" si="10">IF((G14/D14)^(1/3)-1&lt;-100%,"N.A.",IF((G14/D14)^(1/3)-1&gt;100%,"N.A.",((G14/D14)^(1/3)-1)))</f>
        <v>0.18453456319218131</v>
      </c>
      <c r="H17" s="40">
        <f t="shared" ref="H17:I17" si="11">IF((H14/E14)^(1/3)-1&lt;-100%,"N.A.",IF((H14/E14)^(1/3)-1&gt;100%,"N.A.",((H14/E14)^(1/3)-1)))</f>
        <v>0.62242456322138429</v>
      </c>
      <c r="I17" s="40">
        <f t="shared" si="11"/>
        <v>0.32421209574849152</v>
      </c>
      <c r="J17" s="40">
        <f>IF((J14/G14)^(1/3)-1&lt;-100%,"N.A.",IF((J14/G14)^(1/3)-1&gt;100%,"N.A.",((J14/G14)^(1/3)-1)))</f>
        <v>2.8942833427406223E-2</v>
      </c>
      <c r="K17" s="40">
        <f>IF((K14/H14)^(1/3)-1&lt;-100%,"N.A.",IF((K14/H14)^(1/3)-1&gt;100%,"N.A.",((K14/H14)^(1/3)-1)))</f>
        <v>-0.32817290807591515</v>
      </c>
      <c r="L17" s="40"/>
      <c r="M17" s="27"/>
      <c r="N17" s="7"/>
      <c r="O17" s="1"/>
      <c r="P17" s="50"/>
      <c r="Q17" s="50"/>
      <c r="R17" s="50"/>
      <c r="S17" s="50"/>
      <c r="T17" s="50"/>
      <c r="U17" s="50"/>
      <c r="V17" s="50"/>
    </row>
    <row r="18" spans="2:22">
      <c r="B18" s="7" t="s">
        <v>80</v>
      </c>
      <c r="C18" s="4"/>
      <c r="D18" s="4"/>
      <c r="E18" s="50"/>
      <c r="F18" s="50">
        <v>24.355</v>
      </c>
      <c r="G18" s="50">
        <v>31.158000000000001</v>
      </c>
      <c r="H18" s="50">
        <v>23.268999999999998</v>
      </c>
      <c r="I18" s="50">
        <v>23.350999999999999</v>
      </c>
      <c r="J18" s="50">
        <v>98.5</v>
      </c>
      <c r="K18" s="50">
        <v>54.5</v>
      </c>
      <c r="L18" s="50">
        <v>23.9</v>
      </c>
      <c r="M18" s="27"/>
      <c r="N18" s="59" t="s">
        <v>31</v>
      </c>
      <c r="O18" s="16"/>
      <c r="P18" s="50"/>
      <c r="Q18" s="50"/>
      <c r="R18" s="50"/>
      <c r="S18" s="50"/>
      <c r="T18" s="50"/>
      <c r="U18" s="50"/>
      <c r="V18" s="50"/>
    </row>
    <row r="19" spans="2:22">
      <c r="B19" s="7" t="s">
        <v>81</v>
      </c>
      <c r="C19" s="4"/>
      <c r="D19" s="4"/>
      <c r="E19" s="50"/>
      <c r="F19" s="50">
        <v>708.15899999999999</v>
      </c>
      <c r="G19" s="50">
        <v>731.25099999999998</v>
      </c>
      <c r="H19" s="50">
        <v>789.55899999999997</v>
      </c>
      <c r="I19" s="50">
        <v>706.06200000000001</v>
      </c>
      <c r="J19" s="50">
        <v>918.7</v>
      </c>
      <c r="K19" s="50">
        <v>1138.4000000000001</v>
      </c>
      <c r="L19" s="50">
        <v>619.5</v>
      </c>
      <c r="M19" s="27"/>
      <c r="N19" s="7" t="s">
        <v>18</v>
      </c>
      <c r="O19" s="14">
        <v>4166.1760000000004</v>
      </c>
      <c r="P19" s="50">
        <v>5363.5550000000003</v>
      </c>
      <c r="Q19" s="50">
        <v>5216.7420000000002</v>
      </c>
      <c r="R19" s="50">
        <v>5205.5290000000005</v>
      </c>
      <c r="S19" s="50">
        <v>5951.8559999999998</v>
      </c>
      <c r="T19" s="50">
        <v>7726.2</v>
      </c>
      <c r="U19" s="50">
        <v>8341.5</v>
      </c>
      <c r="V19" s="50">
        <v>8898.2999999999993</v>
      </c>
    </row>
    <row r="20" spans="2:22">
      <c r="B20" s="7" t="s">
        <v>82</v>
      </c>
      <c r="C20" s="4"/>
      <c r="D20" s="4"/>
      <c r="E20" s="50"/>
      <c r="F20" s="50">
        <v>262.53899999999999</v>
      </c>
      <c r="G20" s="50">
        <v>222.61699999999999</v>
      </c>
      <c r="H20" s="50">
        <v>141.41800000000001</v>
      </c>
      <c r="I20" s="50">
        <v>250.29400000000001</v>
      </c>
      <c r="J20" s="50">
        <v>380.2</v>
      </c>
      <c r="K20" s="50">
        <v>662.3</v>
      </c>
      <c r="L20" s="50">
        <v>506.8</v>
      </c>
      <c r="M20" s="27"/>
      <c r="N20" s="7" t="s">
        <v>19</v>
      </c>
      <c r="O20" s="10">
        <v>0</v>
      </c>
      <c r="P20" s="50">
        <v>52.651000000000003</v>
      </c>
      <c r="Q20" s="50">
        <v>67.372</v>
      </c>
      <c r="R20" s="50">
        <v>112.94499999999999</v>
      </c>
      <c r="S20" s="50">
        <v>170.05</v>
      </c>
      <c r="T20" s="50">
        <v>156</v>
      </c>
      <c r="U20" s="50">
        <v>149.1</v>
      </c>
      <c r="V20" s="50">
        <v>588.20000000000005</v>
      </c>
    </row>
    <row r="21" spans="2:22">
      <c r="B21" s="52" t="s">
        <v>144</v>
      </c>
      <c r="C21" s="5"/>
      <c r="D21" s="5"/>
      <c r="E21" s="66"/>
      <c r="F21" s="64">
        <f t="shared" ref="F21:H21" si="12">F14+F18-SUM(F19:F20)</f>
        <v>285.72300000000075</v>
      </c>
      <c r="G21" s="64">
        <f t="shared" si="12"/>
        <v>1319.9710000000005</v>
      </c>
      <c r="H21" s="64">
        <f t="shared" si="12"/>
        <v>2365.712</v>
      </c>
      <c r="I21" s="64">
        <f>I14+I18-SUM(I19:I20)</f>
        <v>1927.9210000000014</v>
      </c>
      <c r="J21" s="64">
        <f>J14+J18-SUM(J19:J20)</f>
        <v>1242.7000000000003</v>
      </c>
      <c r="K21" s="64">
        <f>K14+K18-SUM(K19:K20)</f>
        <v>-753.59999999999786</v>
      </c>
      <c r="L21" s="64">
        <f>L14+L18-SUM(L19:L20)</f>
        <v>-496.50000000000034</v>
      </c>
      <c r="M21" s="27"/>
      <c r="N21" s="7" t="s">
        <v>20</v>
      </c>
      <c r="O21" s="14">
        <v>1412.29</v>
      </c>
      <c r="P21" s="50">
        <v>73.248999999999995</v>
      </c>
      <c r="Q21" s="50">
        <v>251.19399999999999</v>
      </c>
      <c r="R21" s="50">
        <v>528.15200000000004</v>
      </c>
      <c r="S21" s="50">
        <v>553.91600000000005</v>
      </c>
      <c r="T21" s="50">
        <v>1028.7</v>
      </c>
      <c r="U21" s="50">
        <v>2761.2</v>
      </c>
      <c r="V21" s="50">
        <v>1816.8</v>
      </c>
    </row>
    <row r="22" spans="2:22">
      <c r="B22" s="7" t="s">
        <v>145</v>
      </c>
      <c r="C22" s="1"/>
      <c r="D22" s="1"/>
      <c r="E22" s="50"/>
      <c r="F22" s="50">
        <v>0</v>
      </c>
      <c r="G22" s="50">
        <v>0</v>
      </c>
      <c r="H22" s="50">
        <v>0</v>
      </c>
      <c r="I22" s="50">
        <v>0</v>
      </c>
      <c r="J22" s="50">
        <v>115.3</v>
      </c>
      <c r="K22" s="50">
        <v>9.9</v>
      </c>
      <c r="L22" s="50">
        <v>-5.3</v>
      </c>
      <c r="M22" s="27"/>
      <c r="N22" s="7" t="s">
        <v>21</v>
      </c>
      <c r="O22" s="14">
        <v>509.41699999999997</v>
      </c>
      <c r="P22" s="50">
        <v>480.303</v>
      </c>
      <c r="Q22" s="50">
        <v>415.32499999999999</v>
      </c>
      <c r="R22" s="50">
        <v>231.624</v>
      </c>
      <c r="S22" s="50">
        <v>659.70600000000002</v>
      </c>
      <c r="T22" s="50">
        <v>1445.5</v>
      </c>
      <c r="U22" s="50">
        <v>1263</v>
      </c>
      <c r="V22" s="50">
        <v>1140.5999999999999</v>
      </c>
    </row>
    <row r="23" spans="2:22">
      <c r="B23" s="52" t="s">
        <v>83</v>
      </c>
      <c r="C23" s="5"/>
      <c r="D23" s="5"/>
      <c r="E23" s="66"/>
      <c r="F23" s="64">
        <f t="shared" ref="F23:I23" si="13">F21+F22</f>
        <v>285.72300000000075</v>
      </c>
      <c r="G23" s="64">
        <f t="shared" si="13"/>
        <v>1319.9710000000005</v>
      </c>
      <c r="H23" s="64">
        <f t="shared" si="13"/>
        <v>2365.712</v>
      </c>
      <c r="I23" s="64">
        <f t="shared" si="13"/>
        <v>1927.9210000000014</v>
      </c>
      <c r="J23" s="64">
        <f>J21+J22</f>
        <v>1358.0000000000002</v>
      </c>
      <c r="K23" s="64">
        <f>K21+K22</f>
        <v>-743.69999999999789</v>
      </c>
      <c r="L23" s="64">
        <f>L21+L22</f>
        <v>-501.80000000000035</v>
      </c>
      <c r="M23" s="27"/>
      <c r="N23" s="7" t="s">
        <v>22</v>
      </c>
      <c r="O23" s="14">
        <v>442.00799999999998</v>
      </c>
      <c r="P23" s="50">
        <v>433.79</v>
      </c>
      <c r="Q23" s="50">
        <v>429.79599999999999</v>
      </c>
      <c r="R23" s="50">
        <v>687.15700000000004</v>
      </c>
      <c r="S23" s="50">
        <v>582.08100000000002</v>
      </c>
      <c r="T23" s="50">
        <v>219.4</v>
      </c>
      <c r="U23" s="50">
        <v>444.2</v>
      </c>
      <c r="V23" s="50">
        <v>590.9</v>
      </c>
    </row>
    <row r="24" spans="2:22">
      <c r="B24" s="7" t="s">
        <v>85</v>
      </c>
      <c r="C24" s="4"/>
      <c r="D24" s="4"/>
      <c r="E24" s="50"/>
      <c r="F24" s="50"/>
      <c r="G24" s="50"/>
      <c r="H24" s="50"/>
      <c r="I24" s="50"/>
      <c r="J24" s="50"/>
      <c r="K24" s="50"/>
      <c r="L24" s="50"/>
      <c r="M24" s="27"/>
      <c r="N24" s="7" t="s">
        <v>23</v>
      </c>
      <c r="O24" s="4">
        <v>0.9</v>
      </c>
      <c r="P24" s="50">
        <v>0.9</v>
      </c>
      <c r="Q24" s="50">
        <v>0.9</v>
      </c>
      <c r="R24" s="50">
        <v>0.9</v>
      </c>
      <c r="S24" s="50">
        <v>0.9</v>
      </c>
      <c r="T24" s="50">
        <v>215.2</v>
      </c>
      <c r="U24" s="50">
        <v>215.2</v>
      </c>
      <c r="V24" s="50">
        <v>215.2</v>
      </c>
    </row>
    <row r="25" spans="2:22">
      <c r="B25" s="7" t="s">
        <v>86</v>
      </c>
      <c r="C25" s="4"/>
      <c r="D25" s="4"/>
      <c r="E25" s="50"/>
      <c r="F25" s="50">
        <v>38.581000000000003</v>
      </c>
      <c r="G25" s="50">
        <v>385.72</v>
      </c>
      <c r="H25" s="50">
        <v>933.03700000000003</v>
      </c>
      <c r="I25" s="50">
        <v>555.05100000000004</v>
      </c>
      <c r="J25" s="50">
        <v>331.7</v>
      </c>
      <c r="K25" s="50">
        <v>4.7</v>
      </c>
      <c r="L25" s="50">
        <v>0.5</v>
      </c>
      <c r="M25" s="27"/>
      <c r="N25" s="7" t="s">
        <v>24</v>
      </c>
      <c r="O25" s="14"/>
      <c r="P25" s="50"/>
      <c r="Q25" s="50"/>
      <c r="R25" s="50"/>
      <c r="S25" s="50"/>
      <c r="T25" s="50"/>
      <c r="U25" s="50"/>
      <c r="V25" s="50"/>
    </row>
    <row r="26" spans="2:22">
      <c r="B26" s="7" t="s">
        <v>87</v>
      </c>
      <c r="C26" s="4"/>
      <c r="D26" s="4"/>
      <c r="E26" s="50"/>
      <c r="F26" s="50">
        <v>5.968</v>
      </c>
      <c r="G26" s="50">
        <v>3.7959999999999998</v>
      </c>
      <c r="H26" s="50">
        <v>-115.32</v>
      </c>
      <c r="I26" s="50">
        <v>-49.645000000000003</v>
      </c>
      <c r="J26" s="50">
        <v>56.2</v>
      </c>
      <c r="K26" s="50">
        <v>31.1</v>
      </c>
      <c r="L26" s="50">
        <v>-46.8</v>
      </c>
      <c r="M26" s="27"/>
      <c r="N26" s="7" t="s">
        <v>25</v>
      </c>
      <c r="O26" s="4">
        <v>0.21</v>
      </c>
      <c r="P26" s="50">
        <v>0.21</v>
      </c>
      <c r="Q26" s="50">
        <v>0.21</v>
      </c>
      <c r="R26" s="50">
        <v>0.22500000000000001</v>
      </c>
      <c r="S26" s="50">
        <v>14.6</v>
      </c>
      <c r="T26" s="50">
        <v>14.6</v>
      </c>
      <c r="U26" s="50">
        <v>14.6</v>
      </c>
      <c r="V26" s="50">
        <v>14.6</v>
      </c>
    </row>
    <row r="27" spans="2:22">
      <c r="B27" s="7" t="s">
        <v>89</v>
      </c>
      <c r="C27" s="4"/>
      <c r="D27" s="4"/>
      <c r="E27" s="50"/>
      <c r="F27" s="50">
        <f t="shared" ref="F27:H27" si="14">F25+F26</f>
        <v>44.549000000000007</v>
      </c>
      <c r="G27" s="50">
        <f t="shared" si="14"/>
        <v>389.51600000000002</v>
      </c>
      <c r="H27" s="50">
        <f t="shared" si="14"/>
        <v>817.7170000000001</v>
      </c>
      <c r="I27" s="50">
        <f>I25+I26</f>
        <v>505.40600000000006</v>
      </c>
      <c r="J27" s="50">
        <f>J25+J26</f>
        <v>387.9</v>
      </c>
      <c r="K27" s="50">
        <f>K25+K26</f>
        <v>35.800000000000004</v>
      </c>
      <c r="L27" s="50">
        <f>L25+L26</f>
        <v>-46.3</v>
      </c>
      <c r="M27" s="27"/>
      <c r="N27" s="7" t="s">
        <v>26</v>
      </c>
      <c r="O27" s="14">
        <v>12.561999999999999</v>
      </c>
      <c r="P27" s="50">
        <v>9.9870000000000001</v>
      </c>
      <c r="Q27" s="50">
        <v>9.5519999999999996</v>
      </c>
      <c r="R27" s="50">
        <v>14.132</v>
      </c>
      <c r="S27" s="50">
        <v>28.513000000000002</v>
      </c>
      <c r="T27" s="50">
        <v>31.2</v>
      </c>
      <c r="U27" s="50">
        <v>36.1</v>
      </c>
      <c r="V27" s="50">
        <v>35.9</v>
      </c>
    </row>
    <row r="28" spans="2:22">
      <c r="B28" s="54" t="s">
        <v>88</v>
      </c>
      <c r="C28" s="39"/>
      <c r="D28" s="39"/>
      <c r="E28" s="65"/>
      <c r="F28" s="40">
        <f>F27/F23</f>
        <v>0.15591674453929116</v>
      </c>
      <c r="G28" s="40">
        <f t="shared" ref="G28:I28" si="15">G27/G23</f>
        <v>0.29509436192158761</v>
      </c>
      <c r="H28" s="40">
        <f t="shared" si="15"/>
        <v>0.34565365522092295</v>
      </c>
      <c r="I28" s="40">
        <f t="shared" si="15"/>
        <v>0.2621507831493094</v>
      </c>
      <c r="J28" s="40">
        <f>J27/J23</f>
        <v>0.28564064801178196</v>
      </c>
      <c r="K28" s="40">
        <f>K27/K23</f>
        <v>-4.813768992873485E-2</v>
      </c>
      <c r="L28" s="40">
        <f>L27/L23</f>
        <v>9.2267835791151789E-2</v>
      </c>
      <c r="M28" s="27"/>
      <c r="N28" s="7" t="s">
        <v>27</v>
      </c>
      <c r="O28" s="14">
        <v>50.755000000000003</v>
      </c>
      <c r="P28" s="50">
        <v>58.816000000000003</v>
      </c>
      <c r="Q28" s="50">
        <v>57.921999999999997</v>
      </c>
      <c r="R28" s="50">
        <v>18.370999999999999</v>
      </c>
      <c r="S28" s="50">
        <v>19.576000000000001</v>
      </c>
      <c r="T28" s="50">
        <v>67.2</v>
      </c>
      <c r="U28" s="50">
        <v>62.4</v>
      </c>
      <c r="V28" s="50">
        <v>59.4</v>
      </c>
    </row>
    <row r="29" spans="2:22">
      <c r="B29" s="55" t="s">
        <v>143</v>
      </c>
      <c r="C29" s="38"/>
      <c r="D29" s="38"/>
      <c r="E29" s="64"/>
      <c r="F29" s="64">
        <f t="shared" ref="F29:I29" si="16">F23-F27</f>
        <v>241.17400000000075</v>
      </c>
      <c r="G29" s="64">
        <f t="shared" si="16"/>
        <v>930.45500000000038</v>
      </c>
      <c r="H29" s="64">
        <f t="shared" si="16"/>
        <v>1547.9949999999999</v>
      </c>
      <c r="I29" s="64">
        <f t="shared" si="16"/>
        <v>1422.5150000000012</v>
      </c>
      <c r="J29" s="64">
        <f>J23-J27</f>
        <v>970.10000000000025</v>
      </c>
      <c r="K29" s="64">
        <f>K23-K27</f>
        <v>-779.49999999999784</v>
      </c>
      <c r="L29" s="64">
        <f>L23-L27</f>
        <v>-455.50000000000034</v>
      </c>
      <c r="M29" s="27"/>
      <c r="N29" s="7" t="s">
        <v>28</v>
      </c>
      <c r="O29" s="14">
        <v>94.290999999999997</v>
      </c>
      <c r="P29" s="50">
        <v>93.234999999999999</v>
      </c>
      <c r="Q29" s="50">
        <v>70.936000000000007</v>
      </c>
      <c r="R29" s="50">
        <v>0</v>
      </c>
      <c r="S29" s="50" t="s">
        <v>150</v>
      </c>
      <c r="T29" s="50" t="s">
        <v>150</v>
      </c>
      <c r="U29" s="50" t="s">
        <v>150</v>
      </c>
      <c r="V29" s="50" t="s">
        <v>150</v>
      </c>
    </row>
    <row r="30" spans="2:22">
      <c r="B30" s="56" t="s">
        <v>90</v>
      </c>
      <c r="C30" s="6"/>
      <c r="D30" s="6"/>
      <c r="E30" s="6"/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/>
      <c r="M30" s="27"/>
      <c r="N30" s="7" t="s">
        <v>66</v>
      </c>
      <c r="O30" s="14">
        <v>355.09899999999999</v>
      </c>
      <c r="P30" s="50">
        <v>359.00200000000001</v>
      </c>
      <c r="Q30" s="50">
        <v>193.59</v>
      </c>
      <c r="R30" s="50">
        <v>0</v>
      </c>
      <c r="S30" s="50">
        <v>0</v>
      </c>
      <c r="T30" s="50">
        <v>0</v>
      </c>
      <c r="U30" s="50"/>
      <c r="V30" s="50"/>
    </row>
    <row r="31" spans="2:22">
      <c r="B31" s="7" t="s">
        <v>84</v>
      </c>
      <c r="C31" s="6"/>
      <c r="D31" s="6"/>
      <c r="E31" s="6"/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/>
      <c r="M31" s="27"/>
      <c r="N31" s="7" t="s">
        <v>65</v>
      </c>
      <c r="O31" s="14">
        <v>156.268</v>
      </c>
      <c r="P31" s="50">
        <v>159.215</v>
      </c>
      <c r="Q31" s="50">
        <v>211.81399999999999</v>
      </c>
      <c r="R31" s="50">
        <v>325.69499999999999</v>
      </c>
      <c r="S31" s="50">
        <v>464.98099999999999</v>
      </c>
      <c r="T31" s="50">
        <v>996.6</v>
      </c>
      <c r="U31" s="50">
        <v>998.4</v>
      </c>
      <c r="V31" s="50">
        <v>907.2</v>
      </c>
    </row>
    <row r="32" spans="2:22">
      <c r="B32" s="57" t="s">
        <v>91</v>
      </c>
      <c r="C32" s="5"/>
      <c r="D32" s="5"/>
      <c r="E32" s="67"/>
      <c r="F32" s="32">
        <f t="shared" ref="F32" si="17">F30-F31</f>
        <v>0</v>
      </c>
      <c r="G32" s="32">
        <f t="shared" ref="G32" si="18">G30-G31</f>
        <v>0</v>
      </c>
      <c r="H32" s="32">
        <f t="shared" ref="H32" si="19">H30-H31</f>
        <v>0</v>
      </c>
      <c r="I32" s="32">
        <f t="shared" ref="I32:J32" si="20">I30-I31</f>
        <v>0</v>
      </c>
      <c r="J32" s="32">
        <f t="shared" si="20"/>
        <v>0</v>
      </c>
      <c r="K32" s="32">
        <f t="shared" ref="K32" si="21">K30-K31</f>
        <v>0</v>
      </c>
      <c r="L32" s="32"/>
      <c r="M32" s="27"/>
      <c r="N32" s="52" t="s">
        <v>29</v>
      </c>
      <c r="O32" s="5">
        <f t="shared" ref="O32:S32" si="22">SUM(O19:O31)</f>
        <v>7199.9760000000006</v>
      </c>
      <c r="P32" s="64">
        <f t="shared" si="22"/>
        <v>7084.9129999999996</v>
      </c>
      <c r="Q32" s="64">
        <f t="shared" si="22"/>
        <v>6925.3530000000001</v>
      </c>
      <c r="R32" s="64">
        <f t="shared" si="22"/>
        <v>7124.73</v>
      </c>
      <c r="S32" s="64">
        <f t="shared" si="22"/>
        <v>8446.1790000000001</v>
      </c>
      <c r="T32" s="64">
        <f>SUM(T19:T31)</f>
        <v>11900.600000000002</v>
      </c>
      <c r="U32" s="64">
        <f>SUM(U19:U31)</f>
        <v>14285.7</v>
      </c>
      <c r="V32" s="64">
        <f>SUM(V19:V31)</f>
        <v>14267.1</v>
      </c>
    </row>
    <row r="33" spans="2:24">
      <c r="B33" s="55" t="s">
        <v>92</v>
      </c>
      <c r="C33" s="5">
        <v>770.61</v>
      </c>
      <c r="D33" s="5">
        <v>411.61</v>
      </c>
      <c r="E33" s="64">
        <v>-29.04</v>
      </c>
      <c r="F33" s="64">
        <f>F29+F32</f>
        <v>241.17400000000075</v>
      </c>
      <c r="G33" s="64">
        <f t="shared" ref="G33:I33" si="23">G29+G32</f>
        <v>930.45500000000038</v>
      </c>
      <c r="H33" s="64">
        <f t="shared" si="23"/>
        <v>1547.9949999999999</v>
      </c>
      <c r="I33" s="64">
        <f t="shared" si="23"/>
        <v>1422.5150000000012</v>
      </c>
      <c r="J33" s="64">
        <f t="shared" ref="J33:L33" si="24">J29+J32</f>
        <v>970.10000000000025</v>
      </c>
      <c r="K33" s="64">
        <f t="shared" si="24"/>
        <v>-779.49999999999784</v>
      </c>
      <c r="L33" s="64">
        <f t="shared" si="24"/>
        <v>-455.50000000000034</v>
      </c>
      <c r="M33" s="27"/>
      <c r="N33" s="7"/>
      <c r="O33" s="1"/>
      <c r="P33" s="50"/>
      <c r="Q33" s="50"/>
      <c r="R33" s="50"/>
      <c r="S33" s="50"/>
      <c r="T33" s="50"/>
      <c r="U33" s="50"/>
      <c r="V33" s="50"/>
    </row>
    <row r="34" spans="2:24">
      <c r="B34" s="54" t="s">
        <v>93</v>
      </c>
      <c r="C34" s="41"/>
      <c r="D34" s="41"/>
      <c r="E34" s="68"/>
      <c r="F34" s="40">
        <f>IF(F33/F5&gt;100%,"N.A.",IF(F33/F5&lt;-100%,"N.A.",(F33/F5)))</f>
        <v>2.179451646155901E-2</v>
      </c>
      <c r="G34" s="40">
        <f t="shared" ref="G34:I34" si="25">IF(G33/G5&gt;100%,"N.A.",IF(G33/G5&lt;-100%,"N.A.",(G33/G5)))</f>
        <v>7.4944360886994341E-2</v>
      </c>
      <c r="H34" s="40">
        <f t="shared" si="25"/>
        <v>0.10046999730975785</v>
      </c>
      <c r="I34" s="40">
        <f t="shared" si="25"/>
        <v>8.5251440554362914E-2</v>
      </c>
      <c r="J34" s="40">
        <f>IF(J33/J5&gt;100%,"N.A.",IF(J33/J5&lt;-100%,"N.A.",(J33/J5)))</f>
        <v>5.3381683715862639E-2</v>
      </c>
      <c r="K34" s="40">
        <f>IF(K33/K5&gt;100%,"N.A.",IF(K33/K5&lt;-100%,"N.A.",(K33/K5)))</f>
        <v>-4.6819066381567749E-2</v>
      </c>
      <c r="L34" s="40">
        <f>IF(L33/L5&gt;100%,"N.A.",IF(L33/L5&lt;-100%,"N.A.",(L33/L5)))</f>
        <v>-4.9277870936333679E-2</v>
      </c>
      <c r="M34" s="27"/>
      <c r="N34" s="59" t="s">
        <v>30</v>
      </c>
      <c r="O34" s="16"/>
      <c r="P34" s="50"/>
      <c r="Q34" s="50"/>
      <c r="R34" s="50"/>
      <c r="S34" s="50"/>
      <c r="T34" s="50"/>
      <c r="U34" s="50"/>
      <c r="V34" s="50"/>
    </row>
    <row r="35" spans="2:24">
      <c r="B35" s="54" t="s">
        <v>69</v>
      </c>
      <c r="C35" s="41"/>
      <c r="D35" s="41"/>
      <c r="E35" s="68"/>
      <c r="F35" s="40" t="str">
        <f>IF(F33/E33-1&gt;100,"N.A.",IF(F33/E33-1&gt;-100,"N.A.",F33/E33-1))</f>
        <v>N.A.</v>
      </c>
      <c r="G35" s="40" t="str">
        <f>IF(G33/F33-1&gt;100%,"N.A.",IF(G33/F33-1&lt;-100%,"N.A.",G33/F33-1))</f>
        <v>N.A.</v>
      </c>
      <c r="H35" s="40">
        <f>IF(H33/G33-1&gt;100%,"N.A.",IF(H33/G33-1&lt;-100%,"N.A.",H33/G33-1))</f>
        <v>0.66369679350425259</v>
      </c>
      <c r="I35" s="40">
        <f>IF(I33/H33-1&gt;100%,"N.A.",IF(I33/H33-1&lt;-100%,"N.A.",I33/H33-1))</f>
        <v>-8.1059693345261863E-2</v>
      </c>
      <c r="J35" s="40">
        <f>IF(J33/I33-1&gt;100%,"N.A.",IF(J33/I33-1&lt;-100%,"N.A.",J33/I33-1))</f>
        <v>-0.31803882560113639</v>
      </c>
      <c r="K35" s="40" t="str">
        <f>IF(K33/J33-1&gt;100%,"N.A.",IF(K33/J33-1&lt;-100%,"N.A.",K33/J33-1))</f>
        <v>N.A.</v>
      </c>
      <c r="L35" s="40"/>
      <c r="M35" s="27"/>
      <c r="N35" s="7" t="s">
        <v>32</v>
      </c>
      <c r="O35" s="14">
        <v>1834.5060000000001</v>
      </c>
      <c r="P35" s="50">
        <v>2083.1660000000002</v>
      </c>
      <c r="Q35" s="50">
        <v>2378.509</v>
      </c>
      <c r="R35" s="50">
        <v>3105.1559999999999</v>
      </c>
      <c r="S35" s="50">
        <v>3259.855</v>
      </c>
      <c r="T35" s="50">
        <v>3530.6</v>
      </c>
      <c r="U35" s="50">
        <v>4193.5</v>
      </c>
      <c r="V35" s="50">
        <v>4246.3999999999996</v>
      </c>
    </row>
    <row r="36" spans="2:24">
      <c r="B36" s="54" t="s">
        <v>79</v>
      </c>
      <c r="C36" s="41"/>
      <c r="D36" s="41"/>
      <c r="E36" s="68"/>
      <c r="F36" s="40">
        <f>IF((F33/C33)^(1/3)-1&lt;-100%,"N.A.",IF((F33/C33)^(1/3)-1&gt;100%,"N.A.",((F33/C33)^(1/3)-1)))</f>
        <v>-0.32105913607433667</v>
      </c>
      <c r="G36" s="40">
        <f t="shared" ref="G36:I36" si="26">IF((G33/D33)^(1/3)-1&lt;-100%,"N.A.",IF((G33/D33)^(1/3)-1&gt;100%,"N.A.",((G33/D33)^(1/3)-1)))</f>
        <v>0.31241087039394033</v>
      </c>
      <c r="H36" s="40" t="str">
        <f t="shared" si="26"/>
        <v>N.A.</v>
      </c>
      <c r="I36" s="40">
        <f t="shared" si="26"/>
        <v>0.80679462278097103</v>
      </c>
      <c r="J36" s="40">
        <f>IF((J33/G33)^(1/3)-1&lt;-100%,"N.A.",IF((J33/G33)^(1/3)-1&gt;100%,"N.A.",((J33/G33)^(1/3)-1)))</f>
        <v>1.4005654635296239E-2</v>
      </c>
      <c r="K36" s="40" t="str">
        <f>IF((K33/H33)^(1/3)-1&lt;-100%,"N.A.",IF((K33/H33)^(1/3)-1&gt;100%,"N.A.",((K33/H33)^(1/3)-1)))</f>
        <v>N.A.</v>
      </c>
      <c r="L36" s="40"/>
      <c r="M36" s="27"/>
      <c r="N36" s="7" t="s">
        <v>33</v>
      </c>
      <c r="O36" s="14"/>
      <c r="P36" s="50"/>
      <c r="Q36" s="50"/>
      <c r="R36" s="50"/>
      <c r="S36" s="50"/>
      <c r="T36" s="50"/>
      <c r="U36" s="50"/>
      <c r="V36" s="50"/>
    </row>
    <row r="37" spans="2:24">
      <c r="B37" s="7" t="s">
        <v>95</v>
      </c>
      <c r="C37" s="4"/>
      <c r="D37" s="4"/>
      <c r="E37" s="50"/>
      <c r="F37" s="50"/>
      <c r="G37" s="50"/>
      <c r="H37" s="50"/>
      <c r="I37" s="50"/>
      <c r="J37" s="50"/>
      <c r="K37" s="50"/>
      <c r="L37" s="50"/>
      <c r="M37" s="27"/>
      <c r="N37" s="7" t="s">
        <v>36</v>
      </c>
      <c r="O37" s="11">
        <v>0</v>
      </c>
      <c r="P37" s="50">
        <v>0</v>
      </c>
      <c r="Q37" s="50">
        <v>0</v>
      </c>
      <c r="R37" s="50">
        <v>0</v>
      </c>
      <c r="S37" s="50">
        <v>10</v>
      </c>
      <c r="T37" s="50">
        <v>72.400000000000006</v>
      </c>
      <c r="U37" s="50"/>
      <c r="V37" s="50"/>
    </row>
    <row r="38" spans="2:24">
      <c r="B38" s="7" t="s">
        <v>97</v>
      </c>
      <c r="C38" s="4"/>
      <c r="D38" s="4"/>
      <c r="E38" s="50"/>
      <c r="F38" s="50"/>
      <c r="G38" s="50"/>
      <c r="H38" s="50"/>
      <c r="I38" s="50">
        <v>19.178999999999998</v>
      </c>
      <c r="J38" s="50">
        <v>0.5</v>
      </c>
      <c r="K38" s="50">
        <v>-60.4</v>
      </c>
      <c r="L38" s="50">
        <v>-15.3</v>
      </c>
      <c r="M38" s="27"/>
      <c r="N38" s="7" t="s">
        <v>34</v>
      </c>
      <c r="O38" s="14">
        <v>1958.3720000000001</v>
      </c>
      <c r="P38" s="50">
        <v>2101.4389999999999</v>
      </c>
      <c r="Q38" s="50">
        <v>2338.2379999999998</v>
      </c>
      <c r="R38" s="50">
        <v>2972.4560000000001</v>
      </c>
      <c r="S38" s="50">
        <v>3509.404</v>
      </c>
      <c r="T38" s="50">
        <v>4062</v>
      </c>
      <c r="U38" s="50">
        <v>3524.1</v>
      </c>
      <c r="V38" s="50">
        <v>4526.2</v>
      </c>
    </row>
    <row r="39" spans="2:24" ht="29">
      <c r="B39" s="58" t="s">
        <v>94</v>
      </c>
      <c r="C39" s="4"/>
      <c r="D39" s="4"/>
      <c r="E39" s="50"/>
      <c r="F39" s="50">
        <v>-28.245000000000001</v>
      </c>
      <c r="G39" s="50">
        <v>-13.217000000000001</v>
      </c>
      <c r="H39" s="50">
        <v>-81.881</v>
      </c>
      <c r="I39" s="50"/>
      <c r="J39" s="50"/>
      <c r="K39" s="50"/>
      <c r="L39" s="50"/>
      <c r="M39" s="27"/>
      <c r="N39" s="7" t="s">
        <v>35</v>
      </c>
      <c r="O39" s="14">
        <v>207.96799999999999</v>
      </c>
      <c r="P39" s="50">
        <v>237.62100000000001</v>
      </c>
      <c r="Q39" s="50">
        <v>94.177000000000007</v>
      </c>
      <c r="R39" s="50">
        <v>174.65199999999999</v>
      </c>
      <c r="S39" s="50">
        <v>109.34699999999999</v>
      </c>
      <c r="T39" s="50">
        <v>148.6</v>
      </c>
      <c r="U39" s="50">
        <v>121</v>
      </c>
      <c r="V39" s="50">
        <v>126.6</v>
      </c>
    </row>
    <row r="40" spans="2:24">
      <c r="B40" s="7" t="s">
        <v>96</v>
      </c>
      <c r="C40" s="4"/>
      <c r="D40" s="4"/>
      <c r="E40" s="50"/>
      <c r="F40" s="50">
        <v>9.8699999999999992</v>
      </c>
      <c r="G40" s="50">
        <v>4.6189999999999998</v>
      </c>
      <c r="H40" s="50">
        <v>28.611999999999998</v>
      </c>
      <c r="I40" s="50">
        <v>-4.827</v>
      </c>
      <c r="J40" s="50">
        <v>-0.1</v>
      </c>
      <c r="K40" s="50">
        <v>15.2</v>
      </c>
      <c r="L40" s="50">
        <v>3.8</v>
      </c>
      <c r="M40" s="27"/>
      <c r="N40" s="7" t="s">
        <v>37</v>
      </c>
      <c r="O40" s="14">
        <v>154.63300000000001</v>
      </c>
      <c r="P40" s="50">
        <v>141.68799999999999</v>
      </c>
      <c r="Q40" s="50">
        <v>49.204999999999998</v>
      </c>
      <c r="R40" s="50">
        <v>23.081</v>
      </c>
      <c r="S40" s="50">
        <v>24.134</v>
      </c>
      <c r="T40" s="50">
        <v>94.7</v>
      </c>
      <c r="U40" s="50">
        <v>49.7</v>
      </c>
      <c r="V40" s="50">
        <v>66.599999999999994</v>
      </c>
    </row>
    <row r="41" spans="2:24">
      <c r="B41" s="7" t="s">
        <v>98</v>
      </c>
      <c r="C41" s="4"/>
      <c r="D41" s="4"/>
      <c r="E41" s="50"/>
      <c r="F41" s="50"/>
      <c r="G41" s="50"/>
      <c r="H41" s="50"/>
      <c r="I41" s="50"/>
      <c r="J41" s="50">
        <v>2.2999999999999998</v>
      </c>
      <c r="K41" s="50">
        <v>3.3</v>
      </c>
      <c r="L41" s="50">
        <v>45.2</v>
      </c>
      <c r="M41" s="27"/>
      <c r="N41" s="7" t="s">
        <v>38</v>
      </c>
      <c r="O41" s="14">
        <v>4.3230000000000004</v>
      </c>
      <c r="P41" s="50">
        <v>3.8639999999999999</v>
      </c>
      <c r="Q41" s="50">
        <v>3.9809999999999999</v>
      </c>
      <c r="R41" s="50">
        <v>5.4050000000000002</v>
      </c>
      <c r="S41" s="50">
        <v>6.9340000000000002</v>
      </c>
      <c r="T41" s="50">
        <v>14.9</v>
      </c>
      <c r="U41" s="50">
        <v>33.1</v>
      </c>
      <c r="V41" s="50">
        <v>34.9</v>
      </c>
    </row>
    <row r="42" spans="2:24">
      <c r="B42" s="7" t="s">
        <v>152</v>
      </c>
      <c r="C42" s="4"/>
      <c r="D42" s="4"/>
      <c r="E42" s="50"/>
      <c r="F42" s="50"/>
      <c r="G42" s="50"/>
      <c r="H42" s="50"/>
      <c r="I42" s="50"/>
      <c r="J42" s="50"/>
      <c r="K42" s="50">
        <v>0.6</v>
      </c>
      <c r="L42" s="50">
        <v>-9.4</v>
      </c>
      <c r="M42" s="27"/>
      <c r="N42" s="7" t="s">
        <v>39</v>
      </c>
      <c r="O42" s="14">
        <v>101.52800000000001</v>
      </c>
      <c r="P42" s="50">
        <v>37.177999999999997</v>
      </c>
      <c r="Q42" s="50">
        <v>27.457999999999998</v>
      </c>
      <c r="R42" s="50">
        <v>241.506</v>
      </c>
      <c r="S42" s="50">
        <v>29.97</v>
      </c>
      <c r="T42" s="50">
        <v>69.599999999999994</v>
      </c>
      <c r="U42" s="50">
        <v>33.4</v>
      </c>
      <c r="V42" s="50">
        <v>38.299999999999997</v>
      </c>
      <c r="W42">
        <f>K33/K69</f>
        <v>-8.4500563996547982</v>
      </c>
    </row>
    <row r="43" spans="2:24">
      <c r="B43" s="58" t="s">
        <v>99</v>
      </c>
      <c r="C43" s="4"/>
      <c r="D43" s="4"/>
      <c r="E43" s="50"/>
      <c r="F43" s="50">
        <v>0</v>
      </c>
      <c r="G43" s="50">
        <v>-1E-3</v>
      </c>
      <c r="H43" s="50">
        <v>-5.0000000000000001E-3</v>
      </c>
      <c r="I43" s="50">
        <v>-1.0999999999999999E-2</v>
      </c>
      <c r="J43" s="50"/>
      <c r="K43" s="50"/>
      <c r="L43" s="50"/>
      <c r="M43" s="27"/>
      <c r="N43" s="7" t="s">
        <v>40</v>
      </c>
      <c r="O43" s="14">
        <v>1119.192</v>
      </c>
      <c r="P43" s="50">
        <v>1026.0820000000001</v>
      </c>
      <c r="Q43" s="50">
        <v>1333.694</v>
      </c>
      <c r="R43" s="50">
        <v>1213.9349999999999</v>
      </c>
      <c r="S43" s="50">
        <v>1132.183</v>
      </c>
      <c r="T43" s="50">
        <v>1536.3</v>
      </c>
      <c r="U43" s="50">
        <v>1874.5</v>
      </c>
      <c r="V43" s="50">
        <v>1555.7</v>
      </c>
    </row>
    <row r="44" spans="2:24">
      <c r="B44" s="59" t="s">
        <v>100</v>
      </c>
      <c r="C44" s="4"/>
      <c r="D44" s="4"/>
      <c r="E44" s="50"/>
      <c r="F44" s="50">
        <f t="shared" ref="F44:J44" si="27">SUM(F37:F43)</f>
        <v>-18.375</v>
      </c>
      <c r="G44" s="50">
        <f t="shared" si="27"/>
        <v>-8.5990000000000002</v>
      </c>
      <c r="H44" s="50">
        <f t="shared" si="27"/>
        <v>-53.274000000000008</v>
      </c>
      <c r="I44" s="50">
        <f t="shared" si="27"/>
        <v>14.340999999999999</v>
      </c>
      <c r="J44" s="50">
        <f t="shared" si="27"/>
        <v>2.6999999999999997</v>
      </c>
      <c r="K44" s="50">
        <f>SUM(K37:K43)</f>
        <v>-41.300000000000004</v>
      </c>
      <c r="L44" s="50">
        <f>SUM(L37:L43)</f>
        <v>24.300000000000004</v>
      </c>
      <c r="M44" s="27"/>
      <c r="N44" s="7" t="s">
        <v>151</v>
      </c>
      <c r="O44" s="1"/>
      <c r="P44" s="50" t="s">
        <v>150</v>
      </c>
      <c r="Q44" s="50" t="s">
        <v>150</v>
      </c>
      <c r="R44" s="50" t="s">
        <v>150</v>
      </c>
      <c r="S44" s="50">
        <v>53.9</v>
      </c>
      <c r="T44" s="50">
        <v>17.600000000000001</v>
      </c>
      <c r="U44" s="50">
        <v>184.1</v>
      </c>
      <c r="V44" s="50">
        <v>218.4</v>
      </c>
    </row>
    <row r="45" spans="2:24">
      <c r="B45" s="7"/>
      <c r="C45" s="4"/>
      <c r="D45" s="4"/>
      <c r="E45" s="50"/>
      <c r="F45" s="50"/>
      <c r="G45" s="50"/>
      <c r="H45" s="50"/>
      <c r="I45" s="50"/>
      <c r="J45" s="50"/>
      <c r="K45" s="50"/>
      <c r="L45" s="50"/>
      <c r="M45" s="27"/>
      <c r="N45" s="52" t="s">
        <v>41</v>
      </c>
      <c r="O45" s="5">
        <f>SUM(O35:O43)</f>
        <v>5380.5220000000008</v>
      </c>
      <c r="P45" s="64">
        <f>SUM(P35:P43)</f>
        <v>5631.0379999999996</v>
      </c>
      <c r="Q45" s="64">
        <f>SUM(Q35:Q43)</f>
        <v>6225.2619999999988</v>
      </c>
      <c r="R45" s="64">
        <f>SUM(R35:R43)</f>
        <v>7736.1910000000007</v>
      </c>
      <c r="S45" s="64">
        <f>SUM(S35:S44)</f>
        <v>8135.7269999999999</v>
      </c>
      <c r="T45" s="64">
        <f>SUM(T35:T44)</f>
        <v>9546.7000000000007</v>
      </c>
      <c r="U45" s="64">
        <f>SUM(U35:U44)</f>
        <v>10013.4</v>
      </c>
      <c r="V45" s="64">
        <f>SUM(V35:V44)</f>
        <v>10813.099999999999</v>
      </c>
    </row>
    <row r="46" spans="2:24">
      <c r="B46" s="52" t="s">
        <v>101</v>
      </c>
      <c r="C46" s="5">
        <v>771.92899999999997</v>
      </c>
      <c r="D46" s="5">
        <v>413.93900000000002</v>
      </c>
      <c r="E46" s="64">
        <v>-34.292999999999999</v>
      </c>
      <c r="F46" s="64">
        <f t="shared" ref="F46:J46" si="28">F33+F44</f>
        <v>222.79900000000075</v>
      </c>
      <c r="G46" s="64">
        <f t="shared" si="28"/>
        <v>921.85600000000034</v>
      </c>
      <c r="H46" s="64">
        <f t="shared" si="28"/>
        <v>1494.7209999999998</v>
      </c>
      <c r="I46" s="64">
        <f t="shared" si="28"/>
        <v>1436.8560000000011</v>
      </c>
      <c r="J46" s="64">
        <f t="shared" si="28"/>
        <v>972.8000000000003</v>
      </c>
      <c r="K46" s="64">
        <f>K33+K44</f>
        <v>-820.79999999999779</v>
      </c>
      <c r="L46" s="64">
        <f>L33+L44</f>
        <v>-431.20000000000033</v>
      </c>
      <c r="M46" s="27"/>
      <c r="N46" s="59" t="s">
        <v>42</v>
      </c>
      <c r="O46" s="16"/>
      <c r="P46" s="50"/>
      <c r="Q46" s="50"/>
      <c r="R46" s="50"/>
      <c r="S46" s="50"/>
      <c r="T46" s="50"/>
      <c r="U46" s="50"/>
      <c r="V46" s="50"/>
      <c r="X46">
        <f>K46/K69</f>
        <v>-8.8977630440495936</v>
      </c>
    </row>
    <row r="47" spans="2:24">
      <c r="B47" s="54" t="s">
        <v>69</v>
      </c>
      <c r="C47" s="41"/>
      <c r="D47" s="41"/>
      <c r="E47" s="68"/>
      <c r="F47" s="40" t="str">
        <f>IF(F46/E46-1&gt;100%,"N.A.",IF(F46/E46-1&lt;-100%,"N.A.",(F46/E46-1)))</f>
        <v>N.A.</v>
      </c>
      <c r="G47" s="40" t="str">
        <f t="shared" ref="G47:I47" si="29">IF(G46/F46-1&gt;100%,"N.A.",IF(G46/F46-1&lt;-100%,"N.A.",(G46/F46-1)))</f>
        <v>N.A.</v>
      </c>
      <c r="H47" s="40">
        <f t="shared" si="29"/>
        <v>0.62142568904470896</v>
      </c>
      <c r="I47" s="40">
        <f t="shared" si="29"/>
        <v>-3.8712910302323045E-2</v>
      </c>
      <c r="J47" s="40">
        <f>IF(J46/I46-1&gt;100%,"N.A.",IF(J46/I46-1&lt;-100%,"N.A.",(J46/I46-1)))</f>
        <v>-0.32296625409922808</v>
      </c>
      <c r="K47" s="40" t="str">
        <f>IF(K46/J46-1&gt;100%,"N.A.",IF(K46/J46-1&lt;-100%,"N.A.",(K46/J46-1)))</f>
        <v>N.A.</v>
      </c>
      <c r="L47" s="40"/>
      <c r="M47" s="27"/>
      <c r="N47" s="7" t="s">
        <v>43</v>
      </c>
      <c r="O47" s="14"/>
      <c r="P47" s="50"/>
      <c r="Q47" s="50"/>
      <c r="R47" s="50"/>
      <c r="S47" s="50"/>
      <c r="T47" s="50"/>
      <c r="U47" s="50"/>
      <c r="V47" s="50"/>
    </row>
    <row r="48" spans="2:24">
      <c r="B48" s="54" t="s">
        <v>79</v>
      </c>
      <c r="C48" s="42"/>
      <c r="D48" s="42"/>
      <c r="E48" s="69"/>
      <c r="F48" s="40">
        <f t="shared" ref="F48:I48" si="30">IF((F46/C46)^(1/3)-1&gt;100%,"N.A.",IF((F46/C46)^(1/3)-1&lt;-100%,"N.A.",((F46/C46)^(1/3)-1)))</f>
        <v>-0.33913620479637263</v>
      </c>
      <c r="G48" s="40">
        <f t="shared" si="30"/>
        <v>0.3058969678950465</v>
      </c>
      <c r="H48" s="40" t="str">
        <f t="shared" si="30"/>
        <v>N.A.</v>
      </c>
      <c r="I48" s="40">
        <f t="shared" si="30"/>
        <v>0.86137268370149545</v>
      </c>
      <c r="J48" s="40">
        <f>IF((J46/G46)^(1/3)-1&gt;100%,"N.A.",IF((J46/G46)^(1/3)-1&lt;-100%,"N.A.",((J46/G46)^(1/3)-1)))</f>
        <v>1.8091531707664199E-2</v>
      </c>
      <c r="K48" s="40" t="str">
        <f>IF((K46/H46)^(1/3)-1&gt;100%,"N.A.",IF((K46/H46)^(1/3)-1&lt;-100%,"N.A.",((K46/H46)^(1/3)-1)))</f>
        <v>N.A.</v>
      </c>
      <c r="L48" s="40"/>
      <c r="M48" s="27"/>
      <c r="N48" s="7" t="s">
        <v>44</v>
      </c>
      <c r="O48" s="4">
        <f t="shared" ref="O48:U48" si="31">O10</f>
        <v>1286.5709999999999</v>
      </c>
      <c r="P48" s="50">
        <f t="shared" si="31"/>
        <v>969.30100000000004</v>
      </c>
      <c r="Q48" s="50">
        <f t="shared" si="31"/>
        <v>969.39200000000005</v>
      </c>
      <c r="R48" s="50">
        <f t="shared" si="31"/>
        <v>958.84900000000005</v>
      </c>
      <c r="S48" s="50">
        <f t="shared" si="31"/>
        <v>1435</v>
      </c>
      <c r="T48" s="50">
        <f t="shared" si="31"/>
        <v>3517.3</v>
      </c>
      <c r="U48" s="50">
        <f t="shared" si="31"/>
        <v>5332</v>
      </c>
      <c r="V48" s="50">
        <f t="shared" ref="V48" si="32">V10</f>
        <v>4457.7</v>
      </c>
    </row>
    <row r="49" spans="2:22">
      <c r="B49" s="7" t="s">
        <v>104</v>
      </c>
      <c r="C49" s="1"/>
      <c r="D49" s="1"/>
      <c r="E49" s="46"/>
      <c r="F49" s="6"/>
      <c r="G49" s="6"/>
      <c r="H49" s="6"/>
      <c r="I49" s="6"/>
      <c r="J49" s="6"/>
      <c r="K49" s="6"/>
      <c r="L49" s="6"/>
      <c r="M49" s="27"/>
      <c r="N49" s="7" t="s">
        <v>50</v>
      </c>
      <c r="O49" s="12">
        <v>0</v>
      </c>
      <c r="P49" s="50">
        <v>0</v>
      </c>
      <c r="Q49" s="50">
        <v>0</v>
      </c>
      <c r="R49" s="50">
        <v>109.623</v>
      </c>
      <c r="S49" s="50">
        <v>150.36799999999999</v>
      </c>
      <c r="T49" s="50">
        <v>124.1</v>
      </c>
      <c r="U49" s="50">
        <v>93.6</v>
      </c>
      <c r="V49" s="50">
        <v>482.8</v>
      </c>
    </row>
    <row r="50" spans="2:22">
      <c r="B50" s="2" t="s">
        <v>102</v>
      </c>
      <c r="C50" s="3">
        <v>8.36</v>
      </c>
      <c r="D50" s="3">
        <v>4.47</v>
      </c>
      <c r="E50" s="70">
        <v>-0.32</v>
      </c>
      <c r="F50" s="70">
        <v>2.62</v>
      </c>
      <c r="G50" s="70">
        <v>10.1</v>
      </c>
      <c r="H50" s="70">
        <v>16.8</v>
      </c>
      <c r="I50" s="70">
        <v>15.44</v>
      </c>
      <c r="J50" s="70">
        <v>10.53</v>
      </c>
      <c r="K50" s="70">
        <v>-8.4600000000000009</v>
      </c>
      <c r="L50" s="70">
        <v>-4.9400000000000004</v>
      </c>
      <c r="M50" s="27"/>
      <c r="N50" s="7" t="s">
        <v>105</v>
      </c>
      <c r="O50" s="12">
        <v>73.194999999999993</v>
      </c>
      <c r="P50" s="50">
        <v>0</v>
      </c>
      <c r="Q50" s="50">
        <v>0</v>
      </c>
      <c r="R50" s="50">
        <v>0</v>
      </c>
      <c r="S50" s="50">
        <v>0</v>
      </c>
      <c r="T50" s="50">
        <v>48.9</v>
      </c>
      <c r="U50" s="50">
        <v>43.9</v>
      </c>
      <c r="V50" s="50">
        <v>31.8</v>
      </c>
    </row>
    <row r="51" spans="2:22">
      <c r="B51" s="2" t="s">
        <v>103</v>
      </c>
      <c r="C51" s="3">
        <v>8.36</v>
      </c>
      <c r="D51" s="3">
        <v>4.47</v>
      </c>
      <c r="E51" s="70">
        <v>-0.32</v>
      </c>
      <c r="F51" s="70">
        <v>2.62</v>
      </c>
      <c r="G51" s="70">
        <v>10.1</v>
      </c>
      <c r="H51" s="70">
        <v>16.8</v>
      </c>
      <c r="I51" s="70">
        <v>15.42</v>
      </c>
      <c r="J51" s="70">
        <v>10.51</v>
      </c>
      <c r="K51" s="70">
        <v>-8.4499999999999993</v>
      </c>
      <c r="L51" s="70">
        <v>-4.9400000000000004</v>
      </c>
      <c r="M51" s="27"/>
      <c r="N51" s="7" t="s">
        <v>45</v>
      </c>
      <c r="O51" s="14">
        <v>159.49600000000001</v>
      </c>
      <c r="P51" s="50">
        <v>232.86799999999999</v>
      </c>
      <c r="Q51" s="50">
        <v>277.74900000000002</v>
      </c>
      <c r="R51" s="50">
        <v>317.44799999999998</v>
      </c>
      <c r="S51" s="50">
        <v>333.97</v>
      </c>
      <c r="T51" s="50">
        <v>336.8</v>
      </c>
      <c r="U51" s="50">
        <v>358.2</v>
      </c>
      <c r="V51" s="50">
        <v>347.1</v>
      </c>
    </row>
    <row r="52" spans="2:22">
      <c r="B52" s="54" t="s">
        <v>69</v>
      </c>
      <c r="C52" s="43"/>
      <c r="D52" s="43"/>
      <c r="E52" s="71"/>
      <c r="F52" s="40" t="str">
        <f t="shared" ref="F52:I52" si="33">IF(F51/E51-1&gt;100%,"N.A.",IF(F51/E51-1&lt;-100%,"N.A.",(F51/E51-1)))</f>
        <v>N.A.</v>
      </c>
      <c r="G52" s="40" t="str">
        <f t="shared" si="33"/>
        <v>N.A.</v>
      </c>
      <c r="H52" s="40">
        <f t="shared" si="33"/>
        <v>0.66336633663366351</v>
      </c>
      <c r="I52" s="40">
        <f t="shared" si="33"/>
        <v>-8.2142857142857184E-2</v>
      </c>
      <c r="J52" s="40">
        <f>IF(J51/I51-1&gt;100%,"N.A.",IF(J51/I51-1&lt;-100%,"N.A.",(J51/I51-1)))</f>
        <v>-0.31841763942931256</v>
      </c>
      <c r="K52" s="40" t="str">
        <f>IF(K51/J51-1&gt;100%,"N.A.",IF(K51/J51-1&lt;-100%,"N.A.",(K51/J51-1)))</f>
        <v>N.A.</v>
      </c>
      <c r="L52" s="40"/>
      <c r="M52" s="27"/>
      <c r="N52" s="7" t="s">
        <v>46</v>
      </c>
      <c r="O52" s="12">
        <v>0</v>
      </c>
      <c r="P52" s="50">
        <v>0</v>
      </c>
      <c r="Q52" s="50">
        <v>0</v>
      </c>
      <c r="R52" s="50">
        <v>106.011</v>
      </c>
      <c r="S52" s="50">
        <v>61.421999999999997</v>
      </c>
      <c r="T52" s="50">
        <v>118.3</v>
      </c>
      <c r="U52" s="50">
        <v>133.6</v>
      </c>
      <c r="V52" s="50">
        <v>92.3</v>
      </c>
    </row>
    <row r="53" spans="2:22">
      <c r="B53" s="54" t="s">
        <v>79</v>
      </c>
      <c r="C53" s="43"/>
      <c r="D53" s="43"/>
      <c r="E53" s="71"/>
      <c r="F53" s="40">
        <f t="shared" ref="F53:I53" si="34">IF((F51/C51)^(1/3)-1&gt;100%,"N.A.",IF((F51/C51)^(1/3)-1&lt;-100%,"N.A.",((F51/C51)^(1/3)-1)))</f>
        <v>-0.32074683407551918</v>
      </c>
      <c r="G53" s="40">
        <f t="shared" si="34"/>
        <v>0.3122138487851045</v>
      </c>
      <c r="H53" s="40" t="str">
        <f t="shared" si="34"/>
        <v>N.A.</v>
      </c>
      <c r="I53" s="40">
        <f t="shared" si="34"/>
        <v>0.80548697947669989</v>
      </c>
      <c r="J53" s="40">
        <f>IF((J51/G51)^(1/3)-1&gt;100%,"N.A.",IF((J51/G51)^(1/3)-1&lt;-100%,"N.A.",((J51/G51)^(1/3)-1)))</f>
        <v>1.3352276355546699E-2</v>
      </c>
      <c r="K53" s="40" t="str">
        <f>IF((K51/H51)^(1/3)-1&gt;100%,"N.A.",IF((K51/H51)^(1/3)-1&lt;-100%,"N.A.",((K51/H51)^(1/3)-1)))</f>
        <v>N.A.</v>
      </c>
      <c r="L53" s="40"/>
      <c r="M53" s="27"/>
      <c r="N53" s="7" t="s">
        <v>47</v>
      </c>
      <c r="O53" s="12">
        <v>0</v>
      </c>
      <c r="P53" s="50">
        <v>128.22399999999999</v>
      </c>
      <c r="Q53" s="50">
        <v>144.369</v>
      </c>
      <c r="R53" s="50">
        <v>74.052999999999997</v>
      </c>
      <c r="S53" s="50">
        <v>73.638000000000005</v>
      </c>
      <c r="T53" s="50">
        <v>73.599999999999994</v>
      </c>
      <c r="U53" s="50">
        <v>74.099999999999994</v>
      </c>
      <c r="V53" s="50">
        <v>74.900000000000006</v>
      </c>
    </row>
    <row r="54" spans="2:22">
      <c r="M54" s="27"/>
      <c r="N54" s="52" t="s">
        <v>48</v>
      </c>
      <c r="O54" s="5">
        <f t="shared" ref="O54:T54" si="35">SUM(O48:O53)</f>
        <v>1519.2619999999999</v>
      </c>
      <c r="P54" s="64">
        <f t="shared" si="35"/>
        <v>1330.393</v>
      </c>
      <c r="Q54" s="64">
        <f t="shared" si="35"/>
        <v>1391.51</v>
      </c>
      <c r="R54" s="64">
        <f t="shared" si="35"/>
        <v>1565.9839999999999</v>
      </c>
      <c r="S54" s="64">
        <f t="shared" si="35"/>
        <v>2054.3980000000001</v>
      </c>
      <c r="T54" s="64">
        <f t="shared" si="35"/>
        <v>4219.0000000000009</v>
      </c>
      <c r="U54" s="64">
        <f>SUM(U48:U53)</f>
        <v>6035.4000000000005</v>
      </c>
      <c r="V54" s="64">
        <f>SUM(V48:V53)</f>
        <v>5486.6</v>
      </c>
    </row>
    <row r="55" spans="2:22">
      <c r="B55" s="60" t="s">
        <v>116</v>
      </c>
      <c r="C55" s="85" t="s">
        <v>1</v>
      </c>
      <c r="D55" s="85" t="s">
        <v>2</v>
      </c>
      <c r="E55" s="86" t="s">
        <v>3</v>
      </c>
      <c r="F55" s="86" t="s">
        <v>4</v>
      </c>
      <c r="G55" s="86" t="s">
        <v>5</v>
      </c>
      <c r="H55" s="86" t="s">
        <v>6</v>
      </c>
      <c r="I55" s="86" t="s">
        <v>7</v>
      </c>
      <c r="J55" s="86" t="s">
        <v>149</v>
      </c>
      <c r="K55" s="86" t="s">
        <v>154</v>
      </c>
      <c r="L55" s="86" t="s">
        <v>159</v>
      </c>
      <c r="M55" s="27"/>
      <c r="N55" s="59" t="s">
        <v>49</v>
      </c>
      <c r="O55" s="16"/>
      <c r="P55" s="50"/>
      <c r="Q55" s="50"/>
      <c r="R55" s="50"/>
      <c r="S55" s="50"/>
      <c r="T55" s="50"/>
      <c r="U55" s="50"/>
      <c r="V55" s="50"/>
    </row>
    <row r="56" spans="2:22">
      <c r="B56" s="59" t="s">
        <v>110</v>
      </c>
      <c r="C56" s="33">
        <v>103.995</v>
      </c>
      <c r="D56" s="33">
        <v>600.59500000000003</v>
      </c>
      <c r="E56" s="72">
        <v>85.814999999999998</v>
      </c>
      <c r="F56" s="72">
        <v>207.96799999999999</v>
      </c>
      <c r="G56" s="72">
        <v>237.62100000000001</v>
      </c>
      <c r="H56" s="72">
        <v>94.177000000000007</v>
      </c>
      <c r="I56" s="72">
        <f>H61</f>
        <v>174.66199999999992</v>
      </c>
      <c r="J56" s="72">
        <f>S39+6.2</f>
        <v>115.547</v>
      </c>
      <c r="K56" s="72">
        <v>148.6</v>
      </c>
      <c r="L56" s="72">
        <v>121</v>
      </c>
      <c r="M56" s="27"/>
      <c r="N56" s="7" t="s">
        <v>43</v>
      </c>
      <c r="O56" s="14"/>
      <c r="P56" s="50"/>
      <c r="Q56" s="50"/>
      <c r="R56" s="50"/>
      <c r="S56" s="50"/>
      <c r="T56" s="50"/>
      <c r="U56" s="50"/>
      <c r="V56" s="50"/>
    </row>
    <row r="57" spans="2:22">
      <c r="B57" s="2" t="s">
        <v>106</v>
      </c>
      <c r="C57" s="33">
        <v>886.39700000000005</v>
      </c>
      <c r="D57" s="33">
        <v>1227.1690000000001</v>
      </c>
      <c r="E57" s="72">
        <v>1321.1379999999999</v>
      </c>
      <c r="F57" s="72">
        <v>1228.4770000000001</v>
      </c>
      <c r="G57" s="72">
        <v>822.22</v>
      </c>
      <c r="H57" s="72">
        <v>1738.287</v>
      </c>
      <c r="I57" s="72">
        <v>1788.2</v>
      </c>
      <c r="J57" s="72">
        <v>1553.9</v>
      </c>
      <c r="K57" s="72">
        <v>949.3</v>
      </c>
      <c r="L57" s="72">
        <v>1577.8</v>
      </c>
      <c r="M57" s="27"/>
      <c r="N57" s="7" t="s">
        <v>44</v>
      </c>
      <c r="O57" s="4">
        <f t="shared" ref="O57:T57" si="36">O11</f>
        <v>1133.9369999999999</v>
      </c>
      <c r="P57" s="50">
        <f t="shared" si="36"/>
        <v>1059.7860000000001</v>
      </c>
      <c r="Q57" s="50">
        <f t="shared" si="36"/>
        <v>1163.2380000000001</v>
      </c>
      <c r="R57" s="50">
        <f t="shared" si="36"/>
        <v>1483.212</v>
      </c>
      <c r="S57" s="50">
        <f t="shared" si="36"/>
        <v>1710.0450000000001</v>
      </c>
      <c r="T57" s="50">
        <f t="shared" si="36"/>
        <v>3034.2</v>
      </c>
      <c r="U57" s="50">
        <v>4448.3</v>
      </c>
      <c r="V57" s="50">
        <v>4922.1000000000004</v>
      </c>
    </row>
    <row r="58" spans="2:22">
      <c r="B58" s="2" t="s">
        <v>107</v>
      </c>
      <c r="C58" s="33">
        <v>-1705.5050000000001</v>
      </c>
      <c r="D58" s="33">
        <v>-1354.2750000000001</v>
      </c>
      <c r="E58" s="72">
        <v>-1037.566</v>
      </c>
      <c r="F58" s="72">
        <v>-559.33000000000004</v>
      </c>
      <c r="G58" s="72">
        <v>-666.93299999999999</v>
      </c>
      <c r="H58" s="72">
        <v>-1214.0820000000001</v>
      </c>
      <c r="I58" s="72">
        <v>-2081.8000000000002</v>
      </c>
      <c r="J58" s="72">
        <v>-4325.2</v>
      </c>
      <c r="K58" s="72">
        <v>-3391.1</v>
      </c>
      <c r="L58" s="72">
        <v>-595.6</v>
      </c>
      <c r="M58" s="27"/>
      <c r="N58" s="7" t="s">
        <v>50</v>
      </c>
      <c r="O58" s="11">
        <v>0</v>
      </c>
      <c r="P58" s="50">
        <v>0</v>
      </c>
      <c r="Q58" s="50">
        <v>0</v>
      </c>
      <c r="R58" s="50">
        <v>14.989000000000001</v>
      </c>
      <c r="S58" s="50">
        <v>33.094000000000001</v>
      </c>
      <c r="T58" s="50">
        <v>44</v>
      </c>
      <c r="U58" s="50">
        <v>61.7</v>
      </c>
      <c r="V58" s="50">
        <v>124.5</v>
      </c>
    </row>
    <row r="59" spans="2:22">
      <c r="B59" s="2" t="s">
        <v>108</v>
      </c>
      <c r="C59" s="33">
        <v>1315.7080000000001</v>
      </c>
      <c r="D59" s="33">
        <v>-387.67399999999998</v>
      </c>
      <c r="E59" s="72">
        <v>-161.41900000000001</v>
      </c>
      <c r="F59" s="72">
        <v>-639.49400000000003</v>
      </c>
      <c r="G59" s="72">
        <v>-298.73099999999999</v>
      </c>
      <c r="H59" s="72">
        <v>-443.72</v>
      </c>
      <c r="I59" s="72">
        <v>228.1</v>
      </c>
      <c r="J59" s="72">
        <v>2804.4</v>
      </c>
      <c r="K59" s="72">
        <v>2414.1999999999998</v>
      </c>
      <c r="L59" s="72">
        <v>-976.7</v>
      </c>
      <c r="M59" s="27"/>
      <c r="N59" s="7" t="s">
        <v>51</v>
      </c>
      <c r="O59" s="14"/>
      <c r="P59" s="50"/>
      <c r="Q59" s="50"/>
      <c r="R59" s="50"/>
      <c r="S59" s="50"/>
      <c r="T59" s="50"/>
      <c r="U59" s="50"/>
      <c r="V59" s="50"/>
    </row>
    <row r="60" spans="2:22">
      <c r="B60" s="61" t="s">
        <v>111</v>
      </c>
      <c r="C60" s="44">
        <f t="shared" ref="C60:I60" si="37">SUM(C57:C59)</f>
        <v>496.6</v>
      </c>
      <c r="D60" s="44">
        <f t="shared" si="37"/>
        <v>-514.78</v>
      </c>
      <c r="E60" s="73">
        <f t="shared" si="37"/>
        <v>122.15299999999988</v>
      </c>
      <c r="F60" s="73">
        <f t="shared" si="37"/>
        <v>29.65300000000002</v>
      </c>
      <c r="G60" s="73">
        <f t="shared" si="37"/>
        <v>-143.44399999999996</v>
      </c>
      <c r="H60" s="73">
        <f t="shared" si="37"/>
        <v>80.4849999999999</v>
      </c>
      <c r="I60" s="73">
        <f t="shared" si="37"/>
        <v>-65.500000000000142</v>
      </c>
      <c r="J60" s="73">
        <f>SUM(J57:J59)</f>
        <v>33.100000000000364</v>
      </c>
      <c r="K60" s="73">
        <f>SUM(K57:K59)</f>
        <v>-27.600000000000364</v>
      </c>
      <c r="L60" s="73">
        <f>SUM(L57:L59)</f>
        <v>5.4999999999998863</v>
      </c>
      <c r="M60" s="27"/>
      <c r="N60" s="7" t="s">
        <v>52</v>
      </c>
      <c r="O60" s="14">
        <v>1.8380000000000001</v>
      </c>
      <c r="P60" s="50">
        <v>1.206</v>
      </c>
      <c r="Q60" s="50">
        <v>5.8999999999999997E-2</v>
      </c>
      <c r="R60" s="50">
        <v>0</v>
      </c>
      <c r="S60" s="50">
        <v>123.1</v>
      </c>
      <c r="T60" s="50">
        <v>418.4</v>
      </c>
      <c r="U60" s="50">
        <v>559</v>
      </c>
      <c r="V60" s="50">
        <v>855.9</v>
      </c>
    </row>
    <row r="61" spans="2:22" ht="29">
      <c r="B61" s="17" t="s">
        <v>109</v>
      </c>
      <c r="C61" s="34">
        <f t="shared" ref="C61:G61" si="38">C56+C60</f>
        <v>600.59500000000003</v>
      </c>
      <c r="D61" s="34">
        <f>D56+D60</f>
        <v>85.815000000000055</v>
      </c>
      <c r="E61" s="74">
        <f t="shared" si="38"/>
        <v>207.96799999999988</v>
      </c>
      <c r="F61" s="74">
        <f t="shared" si="38"/>
        <v>237.62100000000001</v>
      </c>
      <c r="G61" s="74">
        <f t="shared" si="38"/>
        <v>94.177000000000049</v>
      </c>
      <c r="H61" s="74">
        <f>H56+H60</f>
        <v>174.66199999999992</v>
      </c>
      <c r="I61" s="74">
        <f>I56+I60+6.3</f>
        <v>115.46199999999978</v>
      </c>
      <c r="J61" s="74">
        <f>J56+J60</f>
        <v>148.64700000000036</v>
      </c>
      <c r="K61" s="74">
        <f>K56+K60</f>
        <v>120.99999999999963</v>
      </c>
      <c r="L61" s="74">
        <f>L56+L60</f>
        <v>126.49999999999989</v>
      </c>
      <c r="M61" s="27"/>
      <c r="N61" s="58" t="s">
        <v>53</v>
      </c>
      <c r="O61" s="14">
        <v>1705.3889999999999</v>
      </c>
      <c r="P61" s="50">
        <v>1654.8309999999999</v>
      </c>
      <c r="Q61" s="50">
        <v>1132.1990000000001</v>
      </c>
      <c r="R61" s="50">
        <v>1332.9059999999999</v>
      </c>
      <c r="S61" s="50">
        <v>1111.5</v>
      </c>
      <c r="T61" s="50">
        <v>1118</v>
      </c>
      <c r="U61" s="50">
        <v>1522.3</v>
      </c>
      <c r="V61" s="50">
        <v>1972.7</v>
      </c>
    </row>
    <row r="62" spans="2:22">
      <c r="M62" s="27"/>
      <c r="N62" s="7" t="s">
        <v>67</v>
      </c>
      <c r="O62" s="14">
        <v>1093.4649999999999</v>
      </c>
      <c r="P62" s="50">
        <v>1239.0229999999999</v>
      </c>
      <c r="Q62" s="50">
        <v>1228.472</v>
      </c>
      <c r="R62" s="50">
        <v>859.74300000000005</v>
      </c>
      <c r="S62" s="50">
        <v>575.79499999999996</v>
      </c>
      <c r="T62" s="50">
        <v>880.3</v>
      </c>
      <c r="U62" s="50">
        <v>805.5</v>
      </c>
      <c r="V62" s="50">
        <v>1041.9000000000001</v>
      </c>
    </row>
    <row r="63" spans="2:22">
      <c r="B63" s="60" t="s">
        <v>115</v>
      </c>
      <c r="C63" s="85" t="s">
        <v>1</v>
      </c>
      <c r="D63" s="85" t="s">
        <v>2</v>
      </c>
      <c r="E63" s="86" t="s">
        <v>3</v>
      </c>
      <c r="F63" s="86" t="s">
        <v>4</v>
      </c>
      <c r="G63" s="86" t="s">
        <v>5</v>
      </c>
      <c r="H63" s="90" t="s">
        <v>6</v>
      </c>
      <c r="I63" s="86" t="s">
        <v>7</v>
      </c>
      <c r="J63" s="86" t="s">
        <v>149</v>
      </c>
      <c r="K63" s="86" t="s">
        <v>153</v>
      </c>
      <c r="L63" s="86" t="s">
        <v>159</v>
      </c>
      <c r="M63" s="27"/>
      <c r="N63" s="7" t="s">
        <v>54</v>
      </c>
      <c r="O63" s="14">
        <v>77.805999999999997</v>
      </c>
      <c r="P63" s="50">
        <v>119.08</v>
      </c>
      <c r="Q63" s="50">
        <v>76.117000000000004</v>
      </c>
      <c r="R63" s="50">
        <v>75.462000000000003</v>
      </c>
      <c r="S63" s="50">
        <v>196.18600000000001</v>
      </c>
      <c r="T63" s="50">
        <v>144.80000000000001</v>
      </c>
      <c r="U63" s="50">
        <v>231.6</v>
      </c>
      <c r="V63" s="50">
        <v>501.3</v>
      </c>
    </row>
    <row r="64" spans="2:22">
      <c r="B64" s="7" t="s">
        <v>112</v>
      </c>
      <c r="C64" s="35">
        <f>C56</f>
        <v>103.995</v>
      </c>
      <c r="D64" s="35">
        <f>D56</f>
        <v>600.59500000000003</v>
      </c>
      <c r="E64" s="72">
        <f t="shared" ref="E64:I64" si="39">E57</f>
        <v>1321.1379999999999</v>
      </c>
      <c r="F64" s="72">
        <f t="shared" si="39"/>
        <v>1228.4770000000001</v>
      </c>
      <c r="G64" s="72">
        <f t="shared" si="39"/>
        <v>822.22</v>
      </c>
      <c r="H64" s="72">
        <f t="shared" si="39"/>
        <v>1738.287</v>
      </c>
      <c r="I64" s="72">
        <f t="shared" si="39"/>
        <v>1788.2</v>
      </c>
      <c r="J64" s="72">
        <f>J57</f>
        <v>1553.9</v>
      </c>
      <c r="K64" s="72">
        <f>K57</f>
        <v>949.3</v>
      </c>
      <c r="L64" s="72">
        <f>L57</f>
        <v>1577.8</v>
      </c>
      <c r="M64" s="27"/>
      <c r="N64" s="7" t="s">
        <v>55</v>
      </c>
      <c r="O64" s="14">
        <v>442.577</v>
      </c>
      <c r="P64" s="50">
        <v>515.93799999999999</v>
      </c>
      <c r="Q64" s="50">
        <v>469.11399999999998</v>
      </c>
      <c r="R64" s="83">
        <v>474.46199999999999</v>
      </c>
      <c r="S64" s="83">
        <v>495.39600000000002</v>
      </c>
      <c r="T64" s="83">
        <v>483.6</v>
      </c>
      <c r="U64" s="50">
        <v>451.5</v>
      </c>
      <c r="V64" s="50">
        <v>432.1</v>
      </c>
    </row>
    <row r="65" spans="2:24">
      <c r="B65" s="62" t="s">
        <v>113</v>
      </c>
      <c r="C65" s="36">
        <f>1895.727-7.166</f>
        <v>1888.5610000000001</v>
      </c>
      <c r="D65" s="36">
        <f>1394.476-21.848</f>
        <v>1372.6280000000002</v>
      </c>
      <c r="E65" s="75">
        <f>969.486-39.527</f>
        <v>929.95899999999995</v>
      </c>
      <c r="F65" s="75">
        <f>584.644-1.013</f>
        <v>583.63099999999997</v>
      </c>
      <c r="G65" s="75">
        <f>768.489-2.02</f>
        <v>766.46900000000005</v>
      </c>
      <c r="H65" s="75">
        <f>1253.235-9.373</f>
        <v>1243.8619999999999</v>
      </c>
      <c r="I65" s="75">
        <f>2072.5-11.6</f>
        <v>2060.9</v>
      </c>
      <c r="J65" s="75">
        <f>4259.9-16.8</f>
        <v>4243.0999999999995</v>
      </c>
      <c r="K65" s="75">
        <f>3561.5-38</f>
        <v>3523.5</v>
      </c>
      <c r="L65" s="75">
        <f>1037.4-452.8</f>
        <v>584.60000000000014</v>
      </c>
      <c r="M65" s="27"/>
      <c r="N65" s="7" t="s">
        <v>56</v>
      </c>
      <c r="O65" s="11">
        <v>0</v>
      </c>
      <c r="P65" s="50">
        <v>0</v>
      </c>
      <c r="Q65" s="50">
        <v>0</v>
      </c>
      <c r="R65" s="50">
        <v>7.7619999999999996</v>
      </c>
      <c r="S65" s="50" t="s">
        <v>150</v>
      </c>
      <c r="T65" s="50" t="s">
        <v>150</v>
      </c>
      <c r="U65" s="50" t="s">
        <v>150</v>
      </c>
      <c r="V65" s="50" t="s">
        <v>150</v>
      </c>
    </row>
    <row r="66" spans="2:24">
      <c r="B66" s="55" t="s">
        <v>114</v>
      </c>
      <c r="C66" s="37">
        <f t="shared" ref="C66:D66" si="40">SUM(C64:C65)</f>
        <v>1992.556</v>
      </c>
      <c r="D66" s="37">
        <f t="shared" si="40"/>
        <v>1973.2230000000002</v>
      </c>
      <c r="E66" s="74">
        <f t="shared" ref="E66:G66" si="41">E64-E65</f>
        <v>391.17899999999997</v>
      </c>
      <c r="F66" s="74">
        <f t="shared" si="41"/>
        <v>644.84600000000012</v>
      </c>
      <c r="G66" s="74">
        <f t="shared" si="41"/>
        <v>55.750999999999976</v>
      </c>
      <c r="H66" s="74">
        <f>H64-H65</f>
        <v>494.42500000000018</v>
      </c>
      <c r="I66" s="74">
        <f>I64-I65</f>
        <v>-272.70000000000005</v>
      </c>
      <c r="J66" s="74">
        <f>J64-J65</f>
        <v>-2689.1999999999994</v>
      </c>
      <c r="K66" s="74">
        <f>K64-K65</f>
        <v>-2574.1999999999998</v>
      </c>
      <c r="L66" s="74">
        <f>L64-L65</f>
        <v>993.19999999999982</v>
      </c>
      <c r="M66" s="27"/>
      <c r="N66" s="52" t="s">
        <v>57</v>
      </c>
      <c r="O66" s="5">
        <f t="shared" ref="O66:R66" si="42">SUM(O57:O65)</f>
        <v>4455.0119999999997</v>
      </c>
      <c r="P66" s="64">
        <f t="shared" si="42"/>
        <v>4589.8639999999996</v>
      </c>
      <c r="Q66" s="64">
        <f t="shared" si="42"/>
        <v>4069.1990000000001</v>
      </c>
      <c r="R66" s="84">
        <f t="shared" si="42"/>
        <v>4248.5359999999991</v>
      </c>
      <c r="S66" s="84">
        <f>SUM(S57:S65)</f>
        <v>4245.116</v>
      </c>
      <c r="T66" s="84">
        <f>SUM(T57:T65)</f>
        <v>6123.3000000000011</v>
      </c>
      <c r="U66" s="64">
        <f>SUM(U57:U65)</f>
        <v>8079.9000000000005</v>
      </c>
      <c r="V66" s="64">
        <f>SUM(V57:V65)</f>
        <v>9850.5</v>
      </c>
    </row>
    <row r="67" spans="2:24">
      <c r="M67" s="27"/>
      <c r="N67" s="7"/>
      <c r="O67" s="1"/>
      <c r="P67" s="50"/>
      <c r="Q67" s="50"/>
      <c r="R67" s="50"/>
      <c r="S67" s="50"/>
      <c r="T67" s="50"/>
      <c r="U67" s="50"/>
      <c r="V67" s="50"/>
    </row>
    <row r="68" spans="2:24">
      <c r="B68" s="60" t="s">
        <v>134</v>
      </c>
      <c r="C68" s="18"/>
      <c r="D68" s="18"/>
      <c r="E68" s="86" t="s">
        <v>3</v>
      </c>
      <c r="F68" s="86" t="s">
        <v>4</v>
      </c>
      <c r="G68" s="86" t="s">
        <v>5</v>
      </c>
      <c r="H68" s="86" t="s">
        <v>6</v>
      </c>
      <c r="I68" s="86" t="s">
        <v>7</v>
      </c>
      <c r="J68" s="86" t="s">
        <v>149</v>
      </c>
      <c r="K68" s="86" t="s">
        <v>153</v>
      </c>
      <c r="L68" s="91" t="s">
        <v>159</v>
      </c>
      <c r="M68" s="27"/>
      <c r="N68" s="52" t="s">
        <v>58</v>
      </c>
      <c r="O68" s="5">
        <f t="shared" ref="O68:S68" si="43">O45-O66</f>
        <v>925.51000000000113</v>
      </c>
      <c r="P68" s="64">
        <f t="shared" si="43"/>
        <v>1041.174</v>
      </c>
      <c r="Q68" s="64">
        <f t="shared" si="43"/>
        <v>2156.0629999999987</v>
      </c>
      <c r="R68" s="64">
        <f t="shared" si="43"/>
        <v>3487.6550000000016</v>
      </c>
      <c r="S68" s="64">
        <f t="shared" si="43"/>
        <v>3890.6109999999999</v>
      </c>
      <c r="T68" s="64">
        <f>T45-T66</f>
        <v>3423.3999999999996</v>
      </c>
      <c r="U68" s="64">
        <f>U45-U66</f>
        <v>1933.4999999999991</v>
      </c>
      <c r="V68" s="64">
        <f>V45-V66</f>
        <v>962.59999999999854</v>
      </c>
    </row>
    <row r="69" spans="2:24">
      <c r="B69" s="7" t="s">
        <v>155</v>
      </c>
      <c r="C69" s="1"/>
      <c r="D69" s="1"/>
      <c r="E69" s="50">
        <v>92.150355000000005</v>
      </c>
      <c r="F69" s="50">
        <v>92.150355000000005</v>
      </c>
      <c r="G69" s="50">
        <v>92.150355000000005</v>
      </c>
      <c r="H69" s="50">
        <v>92.150355000000005</v>
      </c>
      <c r="I69" s="50">
        <v>92.150355000000005</v>
      </c>
      <c r="J69" s="50">
        <f>92182205/10^6</f>
        <v>92.182204999999996</v>
      </c>
      <c r="K69" s="50">
        <f>92247905/10^6</f>
        <v>92.247905000000003</v>
      </c>
      <c r="L69" s="50">
        <f>92247905/10^6</f>
        <v>92.247905000000003</v>
      </c>
      <c r="M69" s="27"/>
      <c r="N69" s="7"/>
      <c r="O69" s="1"/>
      <c r="P69" s="50"/>
      <c r="Q69" s="50"/>
      <c r="R69" s="50"/>
      <c r="S69" s="50"/>
      <c r="T69" s="50"/>
      <c r="U69" s="50"/>
      <c r="V69" s="50"/>
    </row>
    <row r="70" spans="2:24">
      <c r="B70" s="7" t="s">
        <v>156</v>
      </c>
      <c r="C70" s="1"/>
      <c r="D70" s="1"/>
      <c r="E70" s="72">
        <v>2</v>
      </c>
      <c r="F70" s="72">
        <v>2</v>
      </c>
      <c r="G70" s="72">
        <v>2</v>
      </c>
      <c r="H70" s="72">
        <v>2</v>
      </c>
      <c r="I70" s="72">
        <v>2</v>
      </c>
      <c r="J70" s="72">
        <v>2</v>
      </c>
      <c r="K70" s="72">
        <v>2</v>
      </c>
      <c r="L70" s="72">
        <v>2</v>
      </c>
      <c r="M70" s="27"/>
      <c r="N70" s="52" t="s">
        <v>59</v>
      </c>
      <c r="O70" s="5">
        <f t="shared" ref="O70:U70" si="44">O45+O32</f>
        <v>12580.498000000001</v>
      </c>
      <c r="P70" s="64">
        <f t="shared" si="44"/>
        <v>12715.950999999999</v>
      </c>
      <c r="Q70" s="64">
        <f t="shared" si="44"/>
        <v>13150.614999999998</v>
      </c>
      <c r="R70" s="64">
        <f t="shared" si="44"/>
        <v>14860.921</v>
      </c>
      <c r="S70" s="64">
        <f t="shared" si="44"/>
        <v>16581.905999999999</v>
      </c>
      <c r="T70" s="64">
        <f t="shared" si="44"/>
        <v>21447.300000000003</v>
      </c>
      <c r="U70" s="64">
        <f t="shared" si="44"/>
        <v>24299.1</v>
      </c>
      <c r="V70" s="64">
        <f t="shared" ref="V70" si="45">V45+V32</f>
        <v>25080.199999999997</v>
      </c>
    </row>
    <row r="71" spans="2:24">
      <c r="B71" s="62" t="s">
        <v>157</v>
      </c>
      <c r="C71" s="20"/>
      <c r="D71" s="20"/>
      <c r="E71" s="75">
        <f t="shared" ref="E71:J71" si="46">O75*E69</f>
        <v>18678.876958500001</v>
      </c>
      <c r="F71" s="75">
        <f t="shared" si="46"/>
        <v>19291.676819250002</v>
      </c>
      <c r="G71" s="75">
        <f t="shared" si="46"/>
        <v>26585.3774175</v>
      </c>
      <c r="H71" s="75">
        <f t="shared" si="46"/>
        <v>34699.216175250003</v>
      </c>
      <c r="I71" s="75">
        <f t="shared" si="46"/>
        <v>29999.548070250003</v>
      </c>
      <c r="J71" s="75">
        <f t="shared" si="46"/>
        <v>30281.854342499999</v>
      </c>
      <c r="K71" s="75">
        <f>K69*U75</f>
        <v>21521.436236500002</v>
      </c>
      <c r="L71" s="75">
        <f>L69*V75</f>
        <v>26991.737003000002</v>
      </c>
      <c r="M71" s="27"/>
      <c r="N71" s="52" t="s">
        <v>60</v>
      </c>
      <c r="O71" s="5">
        <f t="shared" ref="O71:R71" si="47">O54+O66</f>
        <v>5974.2739999999994</v>
      </c>
      <c r="P71" s="64">
        <f t="shared" si="47"/>
        <v>5920.2569999999996</v>
      </c>
      <c r="Q71" s="64">
        <f t="shared" si="47"/>
        <v>5460.7089999999998</v>
      </c>
      <c r="R71" s="64">
        <f t="shared" si="47"/>
        <v>5814.5199999999986</v>
      </c>
      <c r="S71" s="64">
        <f>S54+S66</f>
        <v>6299.5140000000001</v>
      </c>
      <c r="T71" s="64">
        <f>T54+T66</f>
        <v>10342.300000000003</v>
      </c>
      <c r="U71" s="64">
        <f>U54+U66</f>
        <v>14115.300000000001</v>
      </c>
      <c r="V71" s="64">
        <f>V54+V66</f>
        <v>15337.1</v>
      </c>
    </row>
    <row r="72" spans="2:24">
      <c r="B72" s="62" t="s">
        <v>117</v>
      </c>
      <c r="C72" s="20"/>
      <c r="D72" s="20"/>
      <c r="E72" s="75">
        <f t="shared" ref="E72:J72" si="48">O12</f>
        <v>2420.5079999999998</v>
      </c>
      <c r="F72" s="75">
        <f t="shared" si="48"/>
        <v>2029.087</v>
      </c>
      <c r="G72" s="75">
        <f t="shared" si="48"/>
        <v>2132.63</v>
      </c>
      <c r="H72" s="75">
        <f t="shared" si="48"/>
        <v>2442.0610000000001</v>
      </c>
      <c r="I72" s="75">
        <f t="shared" si="48"/>
        <v>3145.0450000000001</v>
      </c>
      <c r="J72" s="75">
        <f t="shared" si="48"/>
        <v>6551.5</v>
      </c>
      <c r="K72" s="75">
        <f t="shared" ref="K72:L72" si="49">U12</f>
        <v>9780.2999999999993</v>
      </c>
      <c r="L72" s="75">
        <f>V12</f>
        <v>9379.7999999999993</v>
      </c>
      <c r="M72" s="27"/>
      <c r="N72" s="52" t="s">
        <v>61</v>
      </c>
      <c r="O72" s="5">
        <f t="shared" ref="O72:U72" si="50">O71+O7</f>
        <v>12580.498</v>
      </c>
      <c r="P72" s="64">
        <f t="shared" si="50"/>
        <v>12715.951000000001</v>
      </c>
      <c r="Q72" s="64">
        <f t="shared" si="50"/>
        <v>13150.615</v>
      </c>
      <c r="R72" s="64">
        <f t="shared" si="50"/>
        <v>14860.920999999998</v>
      </c>
      <c r="S72" s="64">
        <f t="shared" si="50"/>
        <v>16582.007999999998</v>
      </c>
      <c r="T72" s="64">
        <f t="shared" si="50"/>
        <v>21447.300000000003</v>
      </c>
      <c r="U72" s="64">
        <f t="shared" si="50"/>
        <v>24299.1</v>
      </c>
      <c r="V72" s="64">
        <f t="shared" ref="V72" si="51">V71+V7</f>
        <v>25080.2</v>
      </c>
    </row>
    <row r="73" spans="2:24">
      <c r="B73" s="62" t="s">
        <v>118</v>
      </c>
      <c r="C73" s="20"/>
      <c r="D73" s="20"/>
      <c r="E73" s="75">
        <f t="shared" ref="E73:J73" si="52">O39+O40</f>
        <v>362.601</v>
      </c>
      <c r="F73" s="75">
        <f t="shared" si="52"/>
        <v>379.30899999999997</v>
      </c>
      <c r="G73" s="75">
        <f t="shared" si="52"/>
        <v>143.38200000000001</v>
      </c>
      <c r="H73" s="75">
        <f t="shared" si="52"/>
        <v>197.73299999999998</v>
      </c>
      <c r="I73" s="75">
        <f t="shared" si="52"/>
        <v>133.48099999999999</v>
      </c>
      <c r="J73" s="75">
        <f t="shared" si="52"/>
        <v>243.3</v>
      </c>
      <c r="K73" s="75">
        <f t="shared" ref="K73:L73" si="53">U39+U40</f>
        <v>170.7</v>
      </c>
      <c r="L73" s="75">
        <f>V39+V40</f>
        <v>193.2</v>
      </c>
      <c r="M73" s="27"/>
      <c r="P73" s="77"/>
      <c r="Q73" s="77"/>
      <c r="R73" s="77"/>
      <c r="S73" s="77"/>
      <c r="T73" s="77"/>
      <c r="U73" s="77"/>
    </row>
    <row r="74" spans="2:24">
      <c r="B74" s="55" t="s">
        <v>119</v>
      </c>
      <c r="C74" s="28"/>
      <c r="D74" s="28"/>
      <c r="E74" s="74">
        <f t="shared" ref="E74" si="54">SUM(E71:E72)-E73</f>
        <v>20736.7839585</v>
      </c>
      <c r="F74" s="74">
        <f t="shared" ref="F74" si="55">SUM(F71:F72)-F73</f>
        <v>20941.454819250001</v>
      </c>
      <c r="G74" s="74">
        <f t="shared" ref="G74:L74" si="56">SUM(G71:G72)-G73</f>
        <v>28574.625417499999</v>
      </c>
      <c r="H74" s="74">
        <f t="shared" si="56"/>
        <v>36943.544175250005</v>
      </c>
      <c r="I74" s="74">
        <f t="shared" si="56"/>
        <v>33011.112070250005</v>
      </c>
      <c r="J74" s="74">
        <f t="shared" si="56"/>
        <v>36590.054342499992</v>
      </c>
      <c r="K74" s="74">
        <f t="shared" si="56"/>
        <v>31131.0362365</v>
      </c>
      <c r="L74" s="74">
        <f>SUM(L71:L72)-L73</f>
        <v>36178.337003000008</v>
      </c>
      <c r="M74" s="27"/>
      <c r="N74" s="60" t="s">
        <v>141</v>
      </c>
      <c r="O74" s="85" t="s">
        <v>3</v>
      </c>
      <c r="P74" s="86" t="s">
        <v>4</v>
      </c>
      <c r="Q74" s="86" t="s">
        <v>5</v>
      </c>
      <c r="R74" s="86" t="s">
        <v>6</v>
      </c>
      <c r="S74" s="86" t="s">
        <v>7</v>
      </c>
      <c r="T74" s="86" t="s">
        <v>149</v>
      </c>
      <c r="U74" s="86" t="s">
        <v>153</v>
      </c>
      <c r="V74" s="86" t="s">
        <v>159</v>
      </c>
    </row>
    <row r="75" spans="2:24">
      <c r="M75" s="27"/>
      <c r="N75" s="7" t="s">
        <v>139</v>
      </c>
      <c r="O75" s="19">
        <v>202.7</v>
      </c>
      <c r="P75" s="8">
        <v>209.35</v>
      </c>
      <c r="Q75" s="8">
        <v>288.5</v>
      </c>
      <c r="R75" s="8">
        <v>376.55</v>
      </c>
      <c r="S75" s="8">
        <v>325.55</v>
      </c>
      <c r="T75" s="8">
        <v>328.5</v>
      </c>
      <c r="U75" s="49">
        <v>233.3</v>
      </c>
      <c r="V75" s="49">
        <v>292.60000000000002</v>
      </c>
      <c r="W75" s="22"/>
    </row>
    <row r="76" spans="2:24">
      <c r="M76" s="27"/>
      <c r="N76" s="79" t="s">
        <v>138</v>
      </c>
      <c r="O76" s="9">
        <f t="shared" ref="O76:T76" si="57">E51</f>
        <v>-0.32</v>
      </c>
      <c r="P76" s="32">
        <f t="shared" si="57"/>
        <v>2.62</v>
      </c>
      <c r="Q76" s="32">
        <f t="shared" si="57"/>
        <v>10.1</v>
      </c>
      <c r="R76" s="32">
        <f t="shared" si="57"/>
        <v>16.8</v>
      </c>
      <c r="S76" s="32">
        <f t="shared" si="57"/>
        <v>15.42</v>
      </c>
      <c r="T76" s="32">
        <f t="shared" si="57"/>
        <v>10.51</v>
      </c>
      <c r="U76" s="32">
        <f>K51</f>
        <v>-8.4499999999999993</v>
      </c>
      <c r="V76" s="32">
        <f>U76-4.94-0.89</f>
        <v>-14.280000000000001</v>
      </c>
      <c r="W76" s="92" t="s">
        <v>158</v>
      </c>
      <c r="X76" s="22"/>
    </row>
    <row r="77" spans="2:24">
      <c r="B77" s="51" t="s">
        <v>147</v>
      </c>
      <c r="D77">
        <v>5949.8</v>
      </c>
      <c r="E77" s="63">
        <v>6061.9</v>
      </c>
      <c r="F77" s="63">
        <v>6862.4</v>
      </c>
      <c r="G77" s="63">
        <v>6189.8</v>
      </c>
      <c r="H77" s="63">
        <v>8031</v>
      </c>
      <c r="I77" s="63">
        <v>7966.9</v>
      </c>
      <c r="J77" s="63">
        <v>8449</v>
      </c>
      <c r="K77" s="63">
        <f>2068+2477+2556+2241</f>
        <v>9342</v>
      </c>
      <c r="L77" s="63">
        <f>2554+2344</f>
        <v>4898</v>
      </c>
      <c r="M77" s="27"/>
      <c r="N77" s="79" t="s">
        <v>136</v>
      </c>
      <c r="O77" s="9">
        <f>O8/E69</f>
        <v>71.689620729079124</v>
      </c>
      <c r="P77" s="32">
        <f>P8/F69</f>
        <v>73.745716986114701</v>
      </c>
      <c r="Q77" s="32">
        <f>Q8/G69</f>
        <v>83.449553721198356</v>
      </c>
      <c r="R77" s="32">
        <f>R8/H69</f>
        <v>98.170007049891439</v>
      </c>
      <c r="S77" s="32">
        <f>S8/I69</f>
        <v>111.58387832580785</v>
      </c>
      <c r="T77" s="32">
        <f>T8/I69</f>
        <v>120.50957372871758</v>
      </c>
      <c r="U77" s="32">
        <f>U8/J69</f>
        <v>110.4746843493275</v>
      </c>
      <c r="V77" s="32">
        <f>V8/L69</f>
        <v>105.61865876520447</v>
      </c>
      <c r="W77" s="21"/>
      <c r="X77" s="22"/>
    </row>
    <row r="78" spans="2:24">
      <c r="B78" s="51" t="s">
        <v>146</v>
      </c>
      <c r="D78">
        <v>3473.3</v>
      </c>
      <c r="E78" s="63">
        <v>2335</v>
      </c>
      <c r="F78" s="63">
        <v>2962.6</v>
      </c>
      <c r="G78" s="63">
        <v>4923.5</v>
      </c>
      <c r="H78" s="63">
        <v>6205.4</v>
      </c>
      <c r="I78" s="63">
        <v>7537.3</v>
      </c>
      <c r="J78" s="63">
        <v>7633</v>
      </c>
      <c r="K78" s="63">
        <f>1104+1074+1262+1571</f>
        <v>5011</v>
      </c>
      <c r="L78" s="63">
        <f>1533+1411</f>
        <v>2944</v>
      </c>
      <c r="M78" s="27"/>
      <c r="N78" s="79" t="s">
        <v>137</v>
      </c>
      <c r="O78" s="9">
        <v>0.3</v>
      </c>
      <c r="P78" s="32">
        <v>0.3</v>
      </c>
      <c r="Q78" s="32">
        <v>1.5</v>
      </c>
      <c r="R78" s="32">
        <v>2.25</v>
      </c>
      <c r="S78" s="32">
        <v>2.25</v>
      </c>
      <c r="T78" s="32">
        <v>1.5</v>
      </c>
      <c r="U78" s="32">
        <v>0</v>
      </c>
      <c r="V78" s="32">
        <v>0</v>
      </c>
      <c r="W78" s="21"/>
      <c r="X78" s="23"/>
    </row>
    <row r="79" spans="2:24">
      <c r="B79" s="51" t="s">
        <v>148</v>
      </c>
      <c r="D79">
        <v>608.70000000000005</v>
      </c>
      <c r="E79" s="63">
        <v>822.2</v>
      </c>
      <c r="F79" s="63">
        <v>860.1</v>
      </c>
      <c r="G79" s="63">
        <v>939.8</v>
      </c>
      <c r="H79" s="77">
        <v>633.9</v>
      </c>
      <c r="I79" s="77">
        <v>706.7</v>
      </c>
      <c r="J79" s="63">
        <v>1265</v>
      </c>
      <c r="K79" s="63">
        <f>409+278+301+312</f>
        <v>1300</v>
      </c>
      <c r="L79" s="63">
        <f>431+366</f>
        <v>797</v>
      </c>
      <c r="M79" s="27"/>
      <c r="N79" s="79" t="s">
        <v>120</v>
      </c>
      <c r="O79" s="32" t="s">
        <v>135</v>
      </c>
      <c r="P79" s="32">
        <f t="shared" ref="P79:R79" si="58">P75/P76</f>
        <v>79.904580152671755</v>
      </c>
      <c r="Q79" s="32">
        <f t="shared" si="58"/>
        <v>28.564356435643564</v>
      </c>
      <c r="R79" s="32">
        <f t="shared" si="58"/>
        <v>22.413690476190474</v>
      </c>
      <c r="S79" s="32">
        <f>S75/S76</f>
        <v>21.112191958495462</v>
      </c>
      <c r="T79" s="32">
        <f>T75/T76</f>
        <v>31.255946717411991</v>
      </c>
      <c r="U79" s="32">
        <f>U75/U76</f>
        <v>-27.609467455621306</v>
      </c>
      <c r="V79" s="32">
        <f>V75/V76</f>
        <v>-20.490196078431371</v>
      </c>
      <c r="W79" s="21"/>
      <c r="X79" s="21"/>
    </row>
    <row r="80" spans="2:24">
      <c r="M80" s="27"/>
      <c r="N80" s="79" t="s">
        <v>121</v>
      </c>
      <c r="O80" s="9">
        <f>O75/O77</f>
        <v>2.8274664859229719</v>
      </c>
      <c r="P80" s="32">
        <f t="shared" ref="P80:S80" si="59">P75/P77</f>
        <v>2.8388089309568678</v>
      </c>
      <c r="Q80" s="32">
        <f t="shared" si="59"/>
        <v>3.4571784645351973</v>
      </c>
      <c r="R80" s="32">
        <f t="shared" si="59"/>
        <v>3.8356929098378467</v>
      </c>
      <c r="S80" s="32">
        <f t="shared" si="59"/>
        <v>2.9175361609984898</v>
      </c>
      <c r="T80" s="32">
        <f>T75/T77</f>
        <v>2.7259245040522289</v>
      </c>
      <c r="U80" s="32">
        <f>U75/U77</f>
        <v>2.1117960315893871</v>
      </c>
      <c r="V80" s="32">
        <f>V75/V77</f>
        <v>2.7703438333795201</v>
      </c>
      <c r="W80" s="21"/>
      <c r="X80" s="22"/>
    </row>
    <row r="81" spans="9:25">
      <c r="I81" s="40">
        <f t="shared" ref="I81:L83" si="60">IF((I77/D77)^(1/5)-1&gt;100%,"N.A.",IF((I77/D77)^(1/5)-1&lt;-100%,"N.A.",((I77/D77)^(1/5)-1)))</f>
        <v>6.0125789686882314E-2</v>
      </c>
      <c r="J81" s="40">
        <f t="shared" si="60"/>
        <v>6.8659395757145747E-2</v>
      </c>
      <c r="K81" s="40">
        <f t="shared" si="60"/>
        <v>6.3635360047583189E-2</v>
      </c>
      <c r="L81" s="40">
        <f t="shared" si="60"/>
        <v>-4.573623592905629E-2</v>
      </c>
      <c r="M81" s="27"/>
      <c r="N81" s="79" t="s">
        <v>122</v>
      </c>
      <c r="O81" s="9">
        <f t="shared" ref="O81:T81" si="61">E74/E14</f>
        <v>27.054107419767693</v>
      </c>
      <c r="P81" s="32">
        <f t="shared" si="61"/>
        <v>16.997023551700956</v>
      </c>
      <c r="Q81" s="32">
        <f t="shared" si="61"/>
        <v>12.741279485357031</v>
      </c>
      <c r="R81" s="32">
        <f t="shared" si="61"/>
        <v>11.285916312373605</v>
      </c>
      <c r="S81" s="32">
        <f t="shared" si="61"/>
        <v>11.538610949828827</v>
      </c>
      <c r="T81" s="32">
        <f t="shared" si="61"/>
        <v>14.976895887397154</v>
      </c>
      <c r="U81" s="32">
        <f>K74/K14</f>
        <v>31.363123349284638</v>
      </c>
      <c r="V81" s="32" t="s">
        <v>160</v>
      </c>
      <c r="W81" s="21"/>
      <c r="X81" s="22"/>
      <c r="Y81" s="47"/>
    </row>
    <row r="82" spans="9:25">
      <c r="I82" s="40">
        <f t="shared" si="60"/>
        <v>0.16760165263000837</v>
      </c>
      <c r="J82" s="40">
        <f t="shared" si="60"/>
        <v>0.26730653831311724</v>
      </c>
      <c r="K82" s="40">
        <f t="shared" si="60"/>
        <v>0.11083684641566371</v>
      </c>
      <c r="L82" s="40">
        <f t="shared" si="60"/>
        <v>-9.7737780121664342E-2</v>
      </c>
      <c r="M82" s="27"/>
      <c r="N82" s="79" t="s">
        <v>140</v>
      </c>
      <c r="O82" s="9">
        <f t="shared" ref="O82:T82" si="62">E5/AVERAGE(N72:O72)</f>
        <v>0.76980052776925045</v>
      </c>
      <c r="P82" s="32">
        <f t="shared" si="62"/>
        <v>0.87489046387498892</v>
      </c>
      <c r="Q82" s="32">
        <f t="shared" si="62"/>
        <v>0.95994783381760074</v>
      </c>
      <c r="R82" s="32">
        <f t="shared" si="62"/>
        <v>1.1000849792742533</v>
      </c>
      <c r="S82" s="32">
        <f t="shared" si="62"/>
        <v>1.0613585649097768</v>
      </c>
      <c r="T82" s="32">
        <f t="shared" si="62"/>
        <v>0.95573130071154588</v>
      </c>
      <c r="U82" s="32">
        <f>K5/AVERAGE(T72:U72)</f>
        <v>0.72789115646258506</v>
      </c>
      <c r="V82" s="32" t="s">
        <v>160</v>
      </c>
      <c r="W82" s="24"/>
      <c r="X82" s="22"/>
    </row>
    <row r="83" spans="9:25">
      <c r="I83" s="40">
        <f t="shared" si="60"/>
        <v>3.0306305940054568E-2</v>
      </c>
      <c r="J83" s="40">
        <f t="shared" si="60"/>
        <v>8.9990243561047123E-2</v>
      </c>
      <c r="K83" s="40">
        <f t="shared" si="60"/>
        <v>8.6122675913521185E-2</v>
      </c>
      <c r="L83" s="40">
        <f t="shared" si="60"/>
        <v>-3.2425139207785003E-2</v>
      </c>
      <c r="M83" s="27"/>
      <c r="N83" s="79" t="s">
        <v>123</v>
      </c>
      <c r="O83" s="29">
        <f t="shared" ref="O83:T83" si="63">E33/O8</f>
        <v>-4.3958545759271864E-3</v>
      </c>
      <c r="P83" s="30">
        <f t="shared" si="63"/>
        <v>3.5489237743783153E-2</v>
      </c>
      <c r="Q83" s="30">
        <f t="shared" si="63"/>
        <v>0.12099692766075429</v>
      </c>
      <c r="R83" s="30">
        <f t="shared" si="63"/>
        <v>0.17111722109156999</v>
      </c>
      <c r="S83" s="30">
        <f t="shared" si="63"/>
        <v>0.13834338245176719</v>
      </c>
      <c r="T83" s="30">
        <f t="shared" si="63"/>
        <v>8.735704637550655E-2</v>
      </c>
      <c r="U83" s="30">
        <f>K33/U8</f>
        <v>-7.654313713937802E-2</v>
      </c>
      <c r="V83" s="30" t="s">
        <v>160</v>
      </c>
      <c r="W83" s="24"/>
      <c r="X83" s="22"/>
    </row>
    <row r="84" spans="9:25">
      <c r="M84" s="27"/>
      <c r="N84" s="79" t="s">
        <v>124</v>
      </c>
      <c r="O84" s="30" t="s">
        <v>135</v>
      </c>
      <c r="P84" s="30">
        <f t="shared" ref="P84:T84" si="64">(F21+F20)/P14</f>
        <v>6.2127547414491155E-2</v>
      </c>
      <c r="Q84" s="30">
        <f t="shared" si="64"/>
        <v>0.15704579754149034</v>
      </c>
      <c r="R84" s="30">
        <f t="shared" si="64"/>
        <v>0.21823025571220936</v>
      </c>
      <c r="S84" s="30">
        <f t="shared" si="64"/>
        <v>0.16221997195465243</v>
      </c>
      <c r="T84" s="30">
        <f t="shared" si="64"/>
        <v>9.1915158723416324E-2</v>
      </c>
      <c r="U84" s="30">
        <f>(K21+K20)/U14</f>
        <v>-4.5732089099933338E-3</v>
      </c>
      <c r="V84" s="30" t="s">
        <v>160</v>
      </c>
      <c r="W84" s="21"/>
      <c r="X84" s="22"/>
    </row>
    <row r="85" spans="9:25">
      <c r="M85" s="27"/>
      <c r="N85" s="79" t="s">
        <v>125</v>
      </c>
      <c r="O85" s="9">
        <f t="shared" ref="O85:U85" si="65">O12/O8</f>
        <v>0.36639811184119697</v>
      </c>
      <c r="P85" s="32">
        <f t="shared" si="65"/>
        <v>0.29858422112590705</v>
      </c>
      <c r="Q85" s="32">
        <f t="shared" si="65"/>
        <v>0.27732848750036737</v>
      </c>
      <c r="R85" s="32">
        <f t="shared" si="65"/>
        <v>0.26994834741462381</v>
      </c>
      <c r="S85" s="32">
        <f t="shared" si="65"/>
        <v>0.3058640248173255</v>
      </c>
      <c r="T85" s="32">
        <f t="shared" si="65"/>
        <v>0.58995947771274204</v>
      </c>
      <c r="U85" s="32">
        <f t="shared" si="65"/>
        <v>0.96037824780533787</v>
      </c>
      <c r="V85" s="32">
        <f t="shared" ref="V85" si="66">V12/V8</f>
        <v>0.96271207315946661</v>
      </c>
      <c r="W85" s="21"/>
      <c r="X85" s="22"/>
    </row>
    <row r="86" spans="9:25">
      <c r="M86" s="27"/>
      <c r="N86" s="79" t="s">
        <v>126</v>
      </c>
      <c r="O86" s="9">
        <f t="shared" ref="O86:T86" si="67">(O12 -E73)/O8</f>
        <v>0.3115103272308053</v>
      </c>
      <c r="P86" s="32">
        <f t="shared" si="67"/>
        <v>0.24276814111995035</v>
      </c>
      <c r="Q86" s="32">
        <f t="shared" si="67"/>
        <v>0.25868300600813587</v>
      </c>
      <c r="R86" s="32">
        <f t="shared" si="67"/>
        <v>0.24809070480072684</v>
      </c>
      <c r="S86" s="32">
        <f t="shared" si="67"/>
        <v>0.29288264111800122</v>
      </c>
      <c r="T86" s="32">
        <f t="shared" si="67"/>
        <v>0.56805042773525438</v>
      </c>
      <c r="U86" s="32">
        <f>(U12 -K73)/U8</f>
        <v>0.94361633182112759</v>
      </c>
      <c r="V86" s="32">
        <f>(V12 -L73)/V8</f>
        <v>0.94288265541768002</v>
      </c>
      <c r="W86" s="48"/>
      <c r="X86" s="22"/>
    </row>
    <row r="87" spans="9:25">
      <c r="M87" s="27"/>
      <c r="N87" s="79" t="s">
        <v>127</v>
      </c>
      <c r="O87" s="31">
        <f>O78/O75</f>
        <v>1.4800197335964481E-3</v>
      </c>
      <c r="P87" s="81">
        <f t="shared" ref="P87:S87" si="68">P78/P75</f>
        <v>1.4330069262001432E-3</v>
      </c>
      <c r="Q87" s="81">
        <f t="shared" si="68"/>
        <v>5.1993067590987872E-3</v>
      </c>
      <c r="R87" s="81">
        <f t="shared" si="68"/>
        <v>5.9753020847165047E-3</v>
      </c>
      <c r="S87" s="81">
        <f t="shared" si="68"/>
        <v>6.9113807402856704E-3</v>
      </c>
      <c r="T87" s="81">
        <f>T78/T75</f>
        <v>4.5662100456621002E-3</v>
      </c>
      <c r="U87" s="81">
        <f>U78/U75</f>
        <v>0</v>
      </c>
      <c r="V87" s="81" t="s">
        <v>160</v>
      </c>
      <c r="W87" s="25"/>
      <c r="X87" s="22"/>
    </row>
    <row r="88" spans="9:25">
      <c r="M88" s="27"/>
      <c r="N88" s="79" t="s">
        <v>133</v>
      </c>
      <c r="O88" s="30" t="s">
        <v>135</v>
      </c>
      <c r="P88" s="82">
        <f t="shared" ref="P88:T88" si="69">(F21+F20)/F20</f>
        <v>2.0883068801206708</v>
      </c>
      <c r="Q88" s="82">
        <f t="shared" si="69"/>
        <v>6.9293360345346517</v>
      </c>
      <c r="R88" s="82">
        <f t="shared" si="69"/>
        <v>17.728506979309564</v>
      </c>
      <c r="S88" s="82">
        <f t="shared" si="69"/>
        <v>8.7026257121625026</v>
      </c>
      <c r="T88" s="82">
        <f t="shared" si="69"/>
        <v>4.2685428721725414</v>
      </c>
      <c r="U88" s="82">
        <f>(K21+K20)/K20</f>
        <v>-0.13785293673561516</v>
      </c>
      <c r="V88" s="82" t="s">
        <v>160</v>
      </c>
      <c r="W88" s="21"/>
      <c r="X88" s="22"/>
    </row>
    <row r="89" spans="9:25">
      <c r="M89" s="27"/>
      <c r="N89" s="79" t="s">
        <v>128</v>
      </c>
      <c r="O89" s="32" t="s">
        <v>135</v>
      </c>
      <c r="P89" s="32">
        <f t="shared" ref="P89:T89" si="70">AVERAGE(O38:P38)/F5*365</f>
        <v>66.955373401913334</v>
      </c>
      <c r="Q89" s="32">
        <f t="shared" si="70"/>
        <v>65.261616998154764</v>
      </c>
      <c r="R89" s="32">
        <f t="shared" si="70"/>
        <v>62.904394181158757</v>
      </c>
      <c r="S89" s="32">
        <f t="shared" si="70"/>
        <v>70.893658204718889</v>
      </c>
      <c r="T89" s="32">
        <f t="shared" si="70"/>
        <v>76.035262946475243</v>
      </c>
      <c r="U89" s="32">
        <f>AVERAGE(T38:U38)/K5*365</f>
        <v>83.154941378564729</v>
      </c>
      <c r="V89" s="32" t="s">
        <v>160</v>
      </c>
      <c r="W89" s="21"/>
      <c r="X89" s="22"/>
    </row>
    <row r="90" spans="9:25">
      <c r="M90" s="27"/>
      <c r="N90" s="79" t="s">
        <v>129</v>
      </c>
      <c r="O90" s="32" t="s">
        <v>135</v>
      </c>
      <c r="P90" s="32">
        <f t="shared" ref="P90:T90" si="71">(AVERAGE(O61:P61)+AVERAGE(O60:P60))/((O35-P35+F9)+P35-O35+F8)*365</f>
        <v>181.33947532312212</v>
      </c>
      <c r="Q90" s="32">
        <f t="shared" si="71"/>
        <v>138.9446981826959</v>
      </c>
      <c r="R90" s="32">
        <f t="shared" si="71"/>
        <v>93.127788421034126</v>
      </c>
      <c r="S90" s="32">
        <f t="shared" si="71"/>
        <v>91.029791737009148</v>
      </c>
      <c r="T90" s="32">
        <f t="shared" si="71"/>
        <v>84.190570529575297</v>
      </c>
      <c r="U90" s="32">
        <f>(AVERAGE(T61:U61)+AVERAGE(T60:U60))/((T35-U35+K9)+U35-T35+K8)*365</f>
        <v>122.90213142218914</v>
      </c>
      <c r="V90" s="32" t="s">
        <v>160</v>
      </c>
      <c r="W90" s="21"/>
      <c r="X90" s="22"/>
    </row>
    <row r="91" spans="9:25">
      <c r="M91" s="27"/>
      <c r="N91" s="79" t="s">
        <v>130</v>
      </c>
      <c r="O91" s="32" t="s">
        <v>135</v>
      </c>
      <c r="P91" s="32">
        <f t="shared" ref="P91:T91" si="72">AVERAGE(O35:P35)/(F8+F9+F10)*365</f>
        <v>216.37816955861862</v>
      </c>
      <c r="Q91" s="32">
        <f t="shared" si="72"/>
        <v>229.9480456600063</v>
      </c>
      <c r="R91" s="32">
        <f t="shared" si="72"/>
        <v>219.0882559305411</v>
      </c>
      <c r="S91" s="32">
        <f t="shared" si="72"/>
        <v>222.83225301196731</v>
      </c>
      <c r="T91" s="32">
        <f t="shared" si="72"/>
        <v>221.61663075162286</v>
      </c>
      <c r="U91" s="32">
        <f>AVERAGE(T35:U35)/(K8+K9+K10)*365</f>
        <v>282.95962302782124</v>
      </c>
      <c r="V91" s="32" t="s">
        <v>160</v>
      </c>
      <c r="W91" s="21"/>
      <c r="X91" s="22"/>
    </row>
    <row r="92" spans="9:25">
      <c r="M92" s="27"/>
      <c r="N92" s="79" t="s">
        <v>131</v>
      </c>
      <c r="O92" s="32" t="s">
        <v>135</v>
      </c>
      <c r="P92" s="32">
        <f t="shared" ref="P92:S92" si="73">P91+P89-P90</f>
        <v>101.99406763740987</v>
      </c>
      <c r="Q92" s="32">
        <f t="shared" si="73"/>
        <v>156.26496447546515</v>
      </c>
      <c r="R92" s="32">
        <f t="shared" si="73"/>
        <v>188.86486169066572</v>
      </c>
      <c r="S92" s="32">
        <f t="shared" si="73"/>
        <v>202.69611947967707</v>
      </c>
      <c r="T92" s="32">
        <f>T91+T89-T90</f>
        <v>213.4613231685228</v>
      </c>
      <c r="U92" s="32">
        <f>U91+U89-U90</f>
        <v>243.21243298419682</v>
      </c>
      <c r="V92" s="32" t="s">
        <v>160</v>
      </c>
      <c r="W92" s="21"/>
      <c r="X92" s="22"/>
    </row>
    <row r="93" spans="9:25">
      <c r="M93" s="27"/>
      <c r="N93" s="79" t="s">
        <v>132</v>
      </c>
      <c r="O93" s="9">
        <f t="shared" ref="O93:T93" si="74">(O45-O66)*365/E5</f>
        <v>34.881724087441448</v>
      </c>
      <c r="P93" s="32">
        <f t="shared" si="74"/>
        <v>34.342580945942416</v>
      </c>
      <c r="Q93" s="32">
        <f t="shared" si="74"/>
        <v>63.386664268545886</v>
      </c>
      <c r="R93" s="32">
        <f t="shared" si="74"/>
        <v>82.621527389034043</v>
      </c>
      <c r="S93" s="32">
        <f t="shared" si="74"/>
        <v>85.105092193141942</v>
      </c>
      <c r="T93" s="32">
        <f t="shared" si="74"/>
        <v>68.758481034947621</v>
      </c>
      <c r="U93" s="32">
        <f>(U45-U66)*365/K5</f>
        <v>42.388072700189774</v>
      </c>
      <c r="V93" s="32" t="s">
        <v>160</v>
      </c>
      <c r="W93" s="26"/>
      <c r="X93" s="22"/>
    </row>
    <row r="94" spans="9:25">
      <c r="O94" s="21"/>
      <c r="P94" s="22"/>
      <c r="Q94" s="22"/>
      <c r="R94" s="22"/>
      <c r="S94" s="22"/>
      <c r="T94" s="22"/>
      <c r="U94" s="22"/>
      <c r="V94" s="21"/>
      <c r="W94" s="21"/>
    </row>
    <row r="95" spans="9:25">
      <c r="X95" s="21"/>
    </row>
    <row r="113" spans="2:12">
      <c r="B113" s="62" t="s">
        <v>113</v>
      </c>
      <c r="C113" s="36">
        <v>1896</v>
      </c>
      <c r="D113" s="36">
        <v>1394.5</v>
      </c>
      <c r="E113" s="76">
        <v>969.5</v>
      </c>
      <c r="F113" s="76">
        <v>584.6</v>
      </c>
      <c r="G113" s="76">
        <v>768.5</v>
      </c>
      <c r="H113" s="76">
        <v>1253.4000000000001</v>
      </c>
      <c r="I113" s="76">
        <v>1792.7</v>
      </c>
      <c r="J113" s="6"/>
      <c r="K113" s="77"/>
      <c r="L113" s="77"/>
    </row>
    <row r="114" spans="2:12">
      <c r="B114" s="7" t="s">
        <v>113</v>
      </c>
      <c r="C114" s="1"/>
      <c r="D114" s="1"/>
      <c r="E114" s="6" t="s">
        <v>142</v>
      </c>
      <c r="F114" s="6">
        <f>P19-O19+F19</f>
        <v>1905.538</v>
      </c>
      <c r="G114" s="6">
        <f>Q19-P19+G19</f>
        <v>584.43799999999987</v>
      </c>
      <c r="H114" s="6">
        <f>R19-Q19+H19</f>
        <v>778.34600000000023</v>
      </c>
      <c r="I114" s="6">
        <f>S19-R19+I19</f>
        <v>1452.3889999999992</v>
      </c>
      <c r="J114" s="46"/>
    </row>
  </sheetData>
  <mergeCells count="3">
    <mergeCell ref="N3:U3"/>
    <mergeCell ref="B2:U2"/>
    <mergeCell ref="B3:L3"/>
  </mergeCells>
  <pageMargins left="0.7" right="0.7" top="0.75" bottom="0.75" header="0.3" footer="0.3"/>
  <pageSetup scale="63" fitToWidth="0" orientation="portrait" r:id="rId1"/>
  <ignoredErrors>
    <ignoredError sqref="P91:S91 P12:U12 P89:S89 P90:S90 T90:U91 T8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V16</dc:creator>
  <cp:lastModifiedBy>Hp</cp:lastModifiedBy>
  <cp:lastPrinted>2023-11-24T05:57:13Z</cp:lastPrinted>
  <dcterms:created xsi:type="dcterms:W3CDTF">2023-11-23T05:15:14Z</dcterms:created>
  <dcterms:modified xsi:type="dcterms:W3CDTF">2025-11-18T10:40:40Z</dcterms:modified>
</cp:coreProperties>
</file>