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BBB9D761-A9D2-4238-9CD7-A0729FFB5D56}" xr6:coauthVersionLast="47" xr6:coauthVersionMax="47" xr10:uidLastSave="{00000000-0000-0000-0000-000000000000}"/>
  <bookViews>
    <workbookView xWindow="-110" yWindow="-110" windowWidth="19420" windowHeight="10420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43" i="1"/>
  <c r="K43" i="1"/>
  <c r="H43" i="1"/>
  <c r="I71" i="1" s="1"/>
  <c r="I73" i="1"/>
  <c r="J73" i="1"/>
  <c r="K73" i="1"/>
  <c r="H73" i="1"/>
  <c r="I72" i="1"/>
  <c r="I68" i="1"/>
  <c r="H68" i="1"/>
  <c r="J66" i="1"/>
  <c r="K66" i="1"/>
  <c r="I66" i="1"/>
  <c r="H66" i="1"/>
  <c r="I65" i="1"/>
  <c r="J65" i="1"/>
  <c r="K65" i="1"/>
  <c r="H65" i="1"/>
  <c r="H64" i="1"/>
  <c r="I64" i="1"/>
  <c r="J64" i="1"/>
  <c r="K64" i="1"/>
  <c r="I62" i="1"/>
  <c r="J62" i="1"/>
  <c r="K62" i="1"/>
  <c r="H62" i="1"/>
  <c r="K56" i="1"/>
  <c r="K59" i="1" s="1"/>
  <c r="I56" i="1"/>
  <c r="I59" i="1" s="1"/>
  <c r="J56" i="1"/>
  <c r="J59" i="1" s="1"/>
  <c r="O40" i="1"/>
  <c r="N40" i="1"/>
  <c r="M40" i="1"/>
  <c r="I48" i="1"/>
  <c r="J48" i="1"/>
  <c r="K48" i="1"/>
  <c r="I42" i="1"/>
  <c r="J42" i="1"/>
  <c r="K42" i="1"/>
  <c r="H48" i="1"/>
  <c r="H42" i="1"/>
  <c r="B55" i="1"/>
  <c r="H12" i="1"/>
  <c r="B54" i="1" s="1"/>
  <c r="E51" i="1"/>
  <c r="D51" i="1"/>
  <c r="C51" i="1"/>
  <c r="C53" i="1" s="1"/>
  <c r="E47" i="1"/>
  <c r="E46" i="1"/>
  <c r="B40" i="1"/>
  <c r="B11" i="1"/>
  <c r="B12" i="1" s="1"/>
  <c r="D19" i="1"/>
  <c r="C28" i="1"/>
  <c r="H71" i="1" l="1"/>
  <c r="J50" i="1"/>
  <c r="J14" i="1" s="1"/>
  <c r="J68" i="1"/>
  <c r="C24" i="1"/>
  <c r="B46" i="1"/>
  <c r="C46" i="1"/>
  <c r="C48" i="1" s="1"/>
  <c r="D46" i="1"/>
  <c r="D33" i="1"/>
  <c r="D6" i="1"/>
  <c r="J67" i="1"/>
  <c r="K68" i="1"/>
  <c r="K58" i="1"/>
  <c r="K67" i="1" s="1"/>
  <c r="D55" i="1"/>
  <c r="C55" i="1"/>
  <c r="E55" i="1"/>
  <c r="E40" i="1"/>
  <c r="E43" i="1" s="1"/>
  <c r="C5" i="1"/>
  <c r="D5" i="1"/>
  <c r="H6" i="1"/>
  <c r="I6" i="1"/>
  <c r="I57" i="1" s="1"/>
  <c r="I60" i="1" s="1"/>
  <c r="J6" i="1"/>
  <c r="K6" i="1"/>
  <c r="C11" i="1"/>
  <c r="C12" i="1" s="1"/>
  <c r="D11" i="1"/>
  <c r="D12" i="1" s="1"/>
  <c r="E11" i="1"/>
  <c r="E18" i="1" s="1"/>
  <c r="I12" i="1"/>
  <c r="J12" i="1"/>
  <c r="D54" i="1" s="1"/>
  <c r="K12" i="1"/>
  <c r="K72" i="1" s="1"/>
  <c r="H16" i="1"/>
  <c r="I16" i="1"/>
  <c r="J16" i="1"/>
  <c r="K16" i="1"/>
  <c r="H26" i="1"/>
  <c r="I26" i="1"/>
  <c r="J26" i="1"/>
  <c r="K26" i="1"/>
  <c r="C32" i="1"/>
  <c r="D32" i="1"/>
  <c r="H36" i="1"/>
  <c r="I36" i="1"/>
  <c r="J36" i="1"/>
  <c r="K36" i="1"/>
  <c r="B43" i="1"/>
  <c r="C40" i="1"/>
  <c r="C43" i="1" s="1"/>
  <c r="D36" i="1" s="1"/>
  <c r="D40" i="1"/>
  <c r="H50" i="1" l="1"/>
  <c r="H14" i="1" s="1"/>
  <c r="K57" i="1"/>
  <c r="K60" i="1" s="1"/>
  <c r="H51" i="1"/>
  <c r="E20" i="1"/>
  <c r="J57" i="1"/>
  <c r="J60" i="1" s="1"/>
  <c r="D43" i="1"/>
  <c r="I50" i="1"/>
  <c r="I14" i="1" s="1"/>
  <c r="K50" i="1"/>
  <c r="K14" i="1" s="1"/>
  <c r="E12" i="1"/>
  <c r="E48" i="1"/>
  <c r="D48" i="1"/>
  <c r="B48" i="1"/>
  <c r="D14" i="1"/>
  <c r="E54" i="1"/>
  <c r="E21" i="1"/>
  <c r="C18" i="1"/>
  <c r="D18" i="1"/>
  <c r="B18" i="1"/>
  <c r="B21" i="1" s="1"/>
  <c r="C13" i="1"/>
  <c r="D13" i="1"/>
  <c r="B26" i="1" l="1"/>
  <c r="H63" i="1"/>
  <c r="C20" i="1"/>
  <c r="D20" i="1"/>
  <c r="E26" i="1"/>
  <c r="K63" i="1"/>
  <c r="C21" i="1"/>
  <c r="K71" i="1"/>
  <c r="B22" i="1"/>
  <c r="E22" i="1"/>
  <c r="D21" i="1"/>
  <c r="B20" i="1"/>
  <c r="K51" i="1"/>
  <c r="J51" i="1"/>
  <c r="I67" i="1"/>
  <c r="J72" i="1"/>
  <c r="D26" i="1" l="1"/>
  <c r="J63" i="1"/>
  <c r="C26" i="1"/>
  <c r="C27" i="1" s="1"/>
  <c r="I63" i="1"/>
  <c r="D28" i="1"/>
  <c r="D24" i="1"/>
  <c r="C23" i="1"/>
  <c r="D22" i="1"/>
  <c r="C22" i="1"/>
  <c r="D23" i="1"/>
  <c r="C54" i="1"/>
  <c r="D27" i="1" l="1"/>
  <c r="D53" i="1"/>
  <c r="D56" i="1" s="1"/>
  <c r="J61" i="1" s="1"/>
  <c r="E53" i="1"/>
  <c r="E56" i="1" s="1"/>
  <c r="K61" i="1" s="1"/>
  <c r="J71" i="1" l="1"/>
  <c r="I51" i="1" l="1"/>
  <c r="H56" i="1"/>
  <c r="H59" i="1" s="1"/>
  <c r="C56" i="1" l="1"/>
  <c r="I61" i="1" s="1"/>
  <c r="B53" i="1" l="1"/>
  <c r="B56" i="1" s="1"/>
  <c r="H57" i="1" l="1"/>
  <c r="H60" i="1" s="1"/>
  <c r="H61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</calcChain>
</file>

<file path=xl/sharedStrings.xml><?xml version="1.0" encoding="utf-8"?>
<sst xmlns="http://schemas.openxmlformats.org/spreadsheetml/2006/main" count="218" uniqueCount="148">
  <si>
    <t>March Year Ended (INR Mn)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</si>
  <si>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</si>
  <si>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</si>
  <si>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</si>
  <si>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</si>
  <si>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</si>
  <si>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</si>
  <si>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</si>
  <si>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</si>
  <si>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</si>
  <si>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</si>
  <si>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</si>
  <si>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</si>
  <si>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</si>
  <si>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</si>
  <si>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Current Assets</t>
  </si>
  <si>
    <t>CURRENT LIABILITIES &amp; PROVISIONS</t>
  </si>
  <si>
    <t>Trade Payables</t>
  </si>
  <si>
    <t>NET CURRENT ASSETS</t>
  </si>
  <si>
    <t>TOTAL ASSETS</t>
  </si>
  <si>
    <t>Total Loans</t>
  </si>
  <si>
    <t>Loans</t>
  </si>
  <si>
    <t>Provisions</t>
  </si>
  <si>
    <t>Other Current Liabilities</t>
  </si>
  <si>
    <t>Income</t>
  </si>
  <si>
    <t>Growth (%)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</si>
  <si>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</si>
  <si>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</si>
  <si>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</si>
  <si>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</si>
  <si>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</si>
  <si>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</si>
  <si>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</si>
  <si>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</si>
  <si>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</si>
  <si>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</si>
  <si>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</si>
  <si>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</si>
  <si>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</si>
  <si>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</si>
  <si>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</si>
  <si>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</si>
  <si>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</si>
  <si>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</si>
  <si>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</si>
  <si>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</si>
  <si>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</si>
  <si>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</si>
  <si>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</si>
  <si>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</si>
  <si>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</si>
  <si>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</si>
  <si>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</si>
  <si>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</si>
  <si>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</si>
  <si>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</si>
  <si>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</si>
  <si>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</si>
  <si>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</si>
  <si>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</si>
  <si>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</si>
  <si>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</si>
  <si>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</si>
  <si>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</si>
  <si>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</si>
  <si>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</si>
  <si>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</si>
  <si>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</si>
  <si>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</si>
  <si>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</si>
  <si>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</si>
  <si>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</si>
  <si>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</si>
  <si>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</si>
  <si>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</si>
  <si>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</si>
  <si>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</si>
  <si>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</si>
  <si>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</si>
  <si>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</si>
  <si>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</si>
  <si>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</si>
  <si>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</si>
  <si>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</si>
  <si>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</si>
  <si>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</si>
  <si>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</si>
  <si>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</si>
  <si>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</si>
  <si>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</si>
  <si>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</si>
  <si>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</si>
  <si>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</si>
  <si>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</si>
  <si>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</si>
  <si>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</si>
  <si>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</si>
  <si>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</si>
  <si>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</si>
  <si>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</si>
  <si>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</si>
  <si>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</si>
  <si>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</si>
  <si>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</si>
  <si>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</si>
  <si>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</si>
  <si>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</si>
  <si>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</si>
  <si>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</si>
  <si>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</si>
  <si>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</si>
  <si>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</si>
  <si>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</si>
  <si>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</si>
  <si>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</si>
  <si>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</si>
  <si>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</si>
  <si>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</si>
  <si>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</si>
  <si>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</si>
  <si>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FY23</t>
  </si>
  <si>
    <t>Expenses</t>
  </si>
  <si>
    <t>Depreciation and amortization expense</t>
  </si>
  <si>
    <t>Deferred Tax Assets (net)</t>
  </si>
  <si>
    <t>Goodwill on consolidation</t>
  </si>
  <si>
    <t>NON-CURRENT LIABILITIES</t>
  </si>
  <si>
    <t>Non Controlling Interest</t>
  </si>
  <si>
    <t>Other Non-current Liabilities</t>
  </si>
  <si>
    <t>-</t>
  </si>
  <si>
    <t>FY24</t>
  </si>
  <si>
    <t>Balance Sheet</t>
  </si>
  <si>
    <t>TOTAL EQUITY AND LIABILITIES</t>
  </si>
  <si>
    <t xml:space="preserve">FY25 </t>
  </si>
  <si>
    <t>FY25</t>
  </si>
  <si>
    <t xml:space="preserve">H1-FY26 </t>
  </si>
  <si>
    <t>Veefin Solutions Ltd.</t>
  </si>
  <si>
    <t>H1-FY26</t>
  </si>
  <si>
    <t>Money Received against Share Warrants</t>
  </si>
  <si>
    <t>Intangble Assets</t>
  </si>
  <si>
    <t>Intangible asset under development</t>
  </si>
  <si>
    <t>Deferred Tax Liabilities</t>
  </si>
  <si>
    <t>Share Application Money Pending Allotment</t>
  </si>
  <si>
    <t>CAGR (%) - 2 Years</t>
  </si>
  <si>
    <t>Cost for Earning Revenue</t>
  </si>
  <si>
    <t>Cash and cash equivents taken over from subsidiary</t>
  </si>
  <si>
    <t>Exchange difference on translation of foreign currency cash and cash equivalents</t>
  </si>
  <si>
    <t>Capital Employed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</si>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</sst>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#,##0.00;\(#,##0.00\)"/>
    <numFmt numFmtId="171" formatCode="#,##0.000"/>
    <numFmt numFmtId="172" formatCode="#,##0.000;\(#,##0.00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00000"/>
      <name val="MyFirstFont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9.9948118533890809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0" fontId="9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0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1" fillId="9" borderId="3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5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6" borderId="8" xfId="0" applyFill="1" applyBorder="1"/>
    <xf numFmtId="43" fontId="0" fillId="6" borderId="0" xfId="1" applyFont="1" applyFill="1" applyBorder="1"/>
    <xf numFmtId="43" fontId="0" fillId="6" borderId="9" xfId="1" applyFont="1" applyFill="1" applyBorder="1"/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10" xfId="0" applyFill="1" applyBorder="1"/>
    <xf numFmtId="43" fontId="0" fillId="6" borderId="11" xfId="1" applyFont="1" applyFill="1" applyBorder="1"/>
    <xf numFmtId="0" fontId="2" fillId="4" borderId="8" xfId="0" applyFont="1" applyFill="1" applyBorder="1"/>
    <xf numFmtId="0" fontId="2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/>
    <xf numFmtId="0" fontId="0" fillId="3" borderId="4" xfId="0" applyFill="1" applyBorder="1"/>
    <xf numFmtId="0" fontId="6" fillId="6" borderId="8" xfId="0" applyFont="1" applyFill="1" applyBorder="1"/>
    <xf numFmtId="10" fontId="6" fillId="6" borderId="0" xfId="2" applyNumberFormat="1" applyFont="1" applyFill="1" applyBorder="1"/>
    <xf numFmtId="10" fontId="6" fillId="6" borderId="9" xfId="2" applyNumberFormat="1" applyFont="1" applyFill="1" applyBorder="1"/>
    <xf numFmtId="0" fontId="2" fillId="6" borderId="8" xfId="0" applyFont="1" applyFill="1" applyBorder="1"/>
    <xf numFmtId="0" fontId="8" fillId="6" borderId="8" xfId="0" applyFont="1" applyFill="1" applyBorder="1"/>
    <xf numFmtId="0" fontId="2" fillId="4" borderId="14" xfId="0" applyFont="1" applyFill="1" applyBorder="1"/>
    <xf numFmtId="0" fontId="2" fillId="8" borderId="0" xfId="0" applyFont="1" applyFill="1"/>
    <xf numFmtId="43" fontId="2" fillId="8" borderId="0" xfId="1" applyFont="1" applyFill="1" applyBorder="1"/>
    <xf numFmtId="165" fontId="6" fillId="6" borderId="9" xfId="2" applyNumberFormat="1" applyFont="1" applyFill="1" applyBorder="1"/>
    <xf numFmtId="165" fontId="0" fillId="6" borderId="0" xfId="2" applyNumberFormat="1" applyFont="1" applyFill="1" applyBorder="1" applyAlignment="1">
      <alignment horizontal="center"/>
    </xf>
    <xf numFmtId="166" fontId="0" fillId="6" borderId="0" xfId="1" applyNumberFormat="1" applyFont="1" applyFill="1" applyBorder="1"/>
    <xf numFmtId="0" fontId="9" fillId="0" borderId="0" xfId="0" applyFont="1" applyAlignment="1">
      <alignment horizontal="left"/>
    </xf>
    <xf numFmtId="0" fontId="6" fillId="6" borderId="10" xfId="0" applyFont="1" applyFill="1" applyBorder="1"/>
    <xf numFmtId="165" fontId="6" fillId="6" borderId="11" xfId="2" applyNumberFormat="1" applyFont="1" applyFill="1" applyBorder="1"/>
    <xf numFmtId="165" fontId="6" fillId="6" borderId="0" xfId="2" applyNumberFormat="1" applyFont="1" applyFill="1" applyBorder="1" applyAlignment="1">
      <alignment horizontal="center"/>
    </xf>
    <xf numFmtId="0" fontId="6" fillId="0" borderId="0" xfId="2" applyNumberFormat="1" applyFont="1" applyFill="1" applyBorder="1"/>
    <xf numFmtId="165" fontId="6" fillId="6" borderId="12" xfId="2" applyNumberFormat="1" applyFont="1" applyFill="1" applyBorder="1"/>
    <xf numFmtId="169" fontId="0" fillId="0" borderId="0" xfId="1" applyNumberFormat="1" applyFont="1" applyBorder="1"/>
    <xf numFmtId="169" fontId="0" fillId="0" borderId="9" xfId="1" applyNumberFormat="1" applyFont="1" applyBorder="1"/>
    <xf numFmtId="169" fontId="2" fillId="4" borderId="1" xfId="1" applyNumberFormat="1" applyFont="1" applyFill="1" applyBorder="1"/>
    <xf numFmtId="169" fontId="2" fillId="4" borderId="13" xfId="1" applyNumberFormat="1" applyFont="1" applyFill="1" applyBorder="1"/>
    <xf numFmtId="169" fontId="2" fillId="0" borderId="0" xfId="1" applyNumberFormat="1" applyFont="1" applyBorder="1"/>
    <xf numFmtId="169" fontId="2" fillId="4" borderId="0" xfId="1" applyNumberFormat="1" applyFont="1" applyFill="1" applyBorder="1"/>
    <xf numFmtId="169" fontId="2" fillId="4" borderId="9" xfId="1" applyNumberFormat="1" applyFont="1" applyFill="1" applyBorder="1"/>
    <xf numFmtId="169" fontId="0" fillId="0" borderId="9" xfId="0" applyNumberFormat="1" applyBorder="1"/>
    <xf numFmtId="169" fontId="0" fillId="0" borderId="9" xfId="1" applyNumberFormat="1" applyFont="1" applyBorder="1" applyAlignment="1">
      <alignment horizontal="right"/>
    </xf>
    <xf numFmtId="169" fontId="2" fillId="0" borderId="1" xfId="1" applyNumberFormat="1" applyFont="1" applyBorder="1"/>
    <xf numFmtId="169" fontId="2" fillId="0" borderId="13" xfId="1" applyNumberFormat="1" applyFont="1" applyBorder="1"/>
    <xf numFmtId="169" fontId="2" fillId="0" borderId="9" xfId="1" applyNumberFormat="1" applyFont="1" applyBorder="1"/>
    <xf numFmtId="169" fontId="2" fillId="4" borderId="11" xfId="1" applyNumberFormat="1" applyFont="1" applyFill="1" applyBorder="1"/>
    <xf numFmtId="169" fontId="2" fillId="4" borderId="12" xfId="1" applyNumberFormat="1" applyFont="1" applyFill="1" applyBorder="1"/>
    <xf numFmtId="169" fontId="6" fillId="6" borderId="0" xfId="2" applyNumberFormat="1" applyFont="1" applyFill="1" applyBorder="1"/>
    <xf numFmtId="169" fontId="6" fillId="6" borderId="9" xfId="2" applyNumberFormat="1" applyFont="1" applyFill="1" applyBorder="1"/>
    <xf numFmtId="169" fontId="0" fillId="6" borderId="0" xfId="1" applyNumberFormat="1" applyFont="1" applyFill="1" applyBorder="1"/>
    <xf numFmtId="169" fontId="0" fillId="6" borderId="9" xfId="1" applyNumberFormat="1" applyFont="1" applyFill="1" applyBorder="1"/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171" fontId="0" fillId="0" borderId="0" xfId="0" applyNumberFormat="1"/>
    <xf numFmtId="0" fontId="14" fillId="12" borderId="0" xfId="0" applyFont="1" applyFill="1" applyAlignment="1">
      <alignment horizontal="right" vertical="center" wrapText="1" indent="1"/>
    </xf>
    <xf numFmtId="3" fontId="14" fillId="12" borderId="9" xfId="0" applyNumberFormat="1" applyFont="1" applyFill="1" applyBorder="1" applyAlignment="1">
      <alignment horizontal="right" vertical="center" wrapText="1" indent="1"/>
    </xf>
    <xf numFmtId="0" fontId="14" fillId="0" borderId="0" xfId="0" applyFont="1"/>
    <xf numFmtId="0" fontId="14" fillId="12" borderId="9" xfId="0" applyFont="1" applyFill="1" applyBorder="1" applyAlignment="1">
      <alignment horizontal="right" vertical="center" wrapText="1" indent="1"/>
    </xf>
    <xf numFmtId="165" fontId="0" fillId="6" borderId="9" xfId="2" applyNumberFormat="1" applyFont="1" applyFill="1" applyBorder="1"/>
    <xf numFmtId="10" fontId="0" fillId="6" borderId="9" xfId="2" applyNumberFormat="1" applyFont="1" applyFill="1" applyBorder="1"/>
    <xf numFmtId="166" fontId="0" fillId="6" borderId="9" xfId="1" applyNumberFormat="1" applyFont="1" applyFill="1" applyBorder="1"/>
    <xf numFmtId="43" fontId="0" fillId="6" borderId="12" xfId="1" applyFont="1" applyFill="1" applyBorder="1"/>
    <xf numFmtId="0" fontId="7" fillId="0" borderId="0" xfId="0" applyFont="1" applyAlignment="1">
      <alignment vertical="center"/>
    </xf>
    <xf numFmtId="165" fontId="6" fillId="6" borderId="0" xfId="2" applyNumberFormat="1" applyFont="1" applyFill="1" applyBorder="1" applyAlignment="1">
      <alignment horizontal="center" vertical="center"/>
    </xf>
    <xf numFmtId="165" fontId="6" fillId="6" borderId="11" xfId="2" applyNumberFormat="1" applyFont="1" applyFill="1" applyBorder="1" applyAlignment="1">
      <alignment horizontal="center"/>
    </xf>
    <xf numFmtId="3" fontId="14" fillId="0" borderId="0" xfId="0" applyNumberFormat="1" applyFont="1"/>
    <xf numFmtId="172" fontId="0" fillId="6" borderId="0" xfId="1" applyNumberFormat="1" applyFont="1" applyFill="1" applyBorder="1"/>
    <xf numFmtId="0" fontId="7" fillId="11" borderId="4" xfId="0" applyFont="1" applyFill="1" applyBorder="1" applyAlignment="1">
      <alignment horizontal="center" vertical="top"/>
    </xf>
    <xf numFmtId="0" fontId="7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 vertical="top"/>
    </xf>
    <xf numFmtId="0" fontId="11" fillId="9" borderId="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69" fontId="0" fillId="0" borderId="0" xfId="1" applyNumberFormat="1" applyFont="1" applyFill="1" applyBorder="1" applyAlignment="1">
      <alignment horizontal="right"/>
    </xf>
    <xf numFmtId="169" fontId="0" fillId="0" borderId="0" xfId="1" applyNumberFormat="1" applyFont="1" applyFill="1" applyBorder="1"/>
    <xf numFmtId="169" fontId="0" fillId="0" borderId="9" xfId="1" applyNumberFormat="1" applyFont="1" applyFill="1" applyBorder="1"/>
    <xf numFmtId="169" fontId="0" fillId="0" borderId="2" xfId="1" applyNumberFormat="1" applyFont="1" applyFill="1" applyBorder="1"/>
    <xf numFmtId="169" fontId="0" fillId="0" borderId="0" xfId="0" applyNumberFormat="1" applyFill="1"/>
    <xf numFmtId="0" fontId="0" fillId="0" borderId="0" xfId="0" applyFill="1"/>
    <xf numFmtId="166" fontId="0" fillId="6" borderId="0" xfId="1" applyNumberFormat="1" applyFont="1" applyFill="1" applyBorder="1" applyAlignment="1">
      <alignment horizontal="center"/>
    </xf>
    <xf numFmtId="166" fontId="0" fillId="6" borderId="9" xfId="1" applyNumberFormat="1" applyFont="1" applyFill="1" applyBorder="1" applyAlignment="1">
      <alignment horizontal="center"/>
    </xf>
    <xf numFmtId="169" fontId="1" fillId="0" borderId="0" xfId="1" applyNumberFormat="1" applyFont="1" applyFill="1" applyBorder="1"/>
    <xf numFmtId="172" fontId="1" fillId="0" borderId="0" xfId="1" applyNumberFormat="1" applyFont="1" applyFill="1" applyBorder="1"/>
    <xf numFmtId="169" fontId="1" fillId="0" borderId="9" xfId="1" applyNumberFormat="1" applyFont="1" applyFill="1" applyBorder="1"/>
    <xf numFmtId="172" fontId="2" fillId="13" borderId="0" xfId="1" applyNumberFormat="1" applyFont="1" applyFill="1" applyBorder="1"/>
    <xf numFmtId="169" fontId="2" fillId="13" borderId="0" xfId="1" applyNumberFormat="1" applyFont="1" applyFill="1" applyBorder="1"/>
    <xf numFmtId="172" fontId="2" fillId="13" borderId="9" xfId="1" applyNumberFormat="1" applyFont="1" applyFill="1" applyBorder="1"/>
    <xf numFmtId="172" fontId="2" fillId="14" borderId="1" xfId="1" applyNumberFormat="1" applyFont="1" applyFill="1" applyBorder="1"/>
    <xf numFmtId="172" fontId="2" fillId="14" borderId="13" xfId="1" applyNumberFormat="1" applyFont="1" applyFill="1" applyBorder="1"/>
    <xf numFmtId="172" fontId="2" fillId="0" borderId="1" xfId="1" applyNumberFormat="1" applyFont="1" applyFill="1" applyBorder="1"/>
    <xf numFmtId="172" fontId="2" fillId="0" borderId="13" xfId="1" applyNumberFormat="1" applyFont="1" applyFill="1" applyBorder="1"/>
    <xf numFmtId="2" fontId="13" fillId="0" borderId="0" xfId="2" applyNumberFormat="1" applyFont="1" applyFill="1" applyBorder="1"/>
    <xf numFmtId="2" fontId="13" fillId="0" borderId="9" xfId="2" applyNumberFormat="1" applyFont="1" applyFill="1" applyBorder="1"/>
    <xf numFmtId="172" fontId="0" fillId="0" borderId="0" xfId="1" applyNumberFormat="1" applyFont="1" applyFill="1" applyBorder="1"/>
    <xf numFmtId="172" fontId="8" fillId="13" borderId="0" xfId="1" applyNumberFormat="1" applyFont="1" applyFill="1" applyBorder="1"/>
    <xf numFmtId="172" fontId="2" fillId="15" borderId="11" xfId="1" applyNumberFormat="1" applyFont="1" applyFill="1" applyBorder="1"/>
    <xf numFmtId="0" fontId="7" fillId="0" borderId="0" xfId="0" applyFont="1" applyFill="1" applyAlignment="1">
      <alignment vertical="center"/>
    </xf>
    <xf numFmtId="172" fontId="8" fillId="13" borderId="9" xfId="1" applyNumberFormat="1" applyFont="1" applyFill="1" applyBorder="1"/>
    <xf numFmtId="172" fontId="2" fillId="15" borderId="12" xfId="1" applyNumberFormat="1" applyFont="1" applyFill="1" applyBorder="1"/>
    <xf numFmtId="0" fontId="7" fillId="16" borderId="11" xfId="0" applyFont="1" applyFill="1" applyBorder="1" applyAlignment="1">
      <alignment horizontal="center" vertical="center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796875" defaultRowHeight="14.5"/>
  <cols>
    <col min="1" max="1" width="25.453125" style="8" customWidth="1"/>
    <col min="2" max="3" width="14.7265625" style="8" customWidth="1"/>
    <col min="4" max="5" width="14.7265625" style="9" customWidth="1"/>
    <col min="6" max="7" width="14.7265625" style="8" customWidth="1"/>
    <col min="8" max="16384" width="9.1796875" style="8"/>
  </cols>
  <sheetData>
    <row r="1" spans="1:7" s="4" customFormat="1" ht="18.5">
      <c r="A1" s="131" t="s">
        <v>117</v>
      </c>
      <c r="B1" s="132"/>
      <c r="C1" s="132"/>
      <c r="D1" s="132"/>
      <c r="E1" s="132"/>
      <c r="F1" s="133"/>
      <c r="G1" s="45"/>
    </row>
    <row r="2" spans="1:7" s="43" customFormat="1">
      <c r="A2" s="134" t="s">
        <v>116</v>
      </c>
      <c r="B2" s="46" t="s">
        <v>79</v>
      </c>
      <c r="C2" s="46" t="s">
        <v>80</v>
      </c>
      <c r="D2" s="46" t="s">
        <v>81</v>
      </c>
      <c r="E2" s="46" t="s">
        <v>82</v>
      </c>
      <c r="F2" s="46" t="s">
        <v>83</v>
      </c>
      <c r="G2" s="46" t="s">
        <v>84</v>
      </c>
    </row>
    <row r="3" spans="1:7" s="43" customFormat="1" ht="15.5">
      <c r="A3" s="134"/>
      <c r="B3" s="44" t="s">
        <v>118</v>
      </c>
      <c r="C3" s="44" t="s">
        <v>118</v>
      </c>
      <c r="D3" s="44" t="s">
        <v>118</v>
      </c>
      <c r="E3" s="44" t="s">
        <v>118</v>
      </c>
      <c r="F3" s="44" t="s">
        <v>118</v>
      </c>
      <c r="G3" s="44" t="s">
        <v>118</v>
      </c>
    </row>
    <row r="4" spans="1:7" ht="15.5">
      <c r="A4" s="16" t="s">
        <v>115</v>
      </c>
      <c r="B4" s="42"/>
      <c r="C4" s="41"/>
      <c r="D4" s="40"/>
      <c r="E4" s="40"/>
      <c r="F4" s="40"/>
      <c r="G4" s="40"/>
    </row>
    <row r="5" spans="1:7">
      <c r="A5" s="16" t="s">
        <v>78</v>
      </c>
      <c r="B5" s="5"/>
      <c r="C5" s="11"/>
      <c r="D5" s="18"/>
      <c r="E5" s="18"/>
      <c r="F5" s="18"/>
      <c r="G5" s="18"/>
    </row>
    <row r="6" spans="1:7">
      <c r="A6" s="11" t="s">
        <v>114</v>
      </c>
      <c r="B6" s="39" t="e">
        <f>#REF!*10</f>
        <v>#REF!</v>
      </c>
      <c r="C6" s="38">
        <f>'[1]Peer Analysis working '!C5*10</f>
        <v>49222</v>
      </c>
      <c r="D6" s="38">
        <f>'[1]Peer Analysis working '!D5*10</f>
        <v>67286</v>
      </c>
      <c r="E6" s="38">
        <f>'[1]Peer Analysis working '!E5*10</f>
        <v>56892</v>
      </c>
      <c r="F6" s="38">
        <f>'[1]Peer Analysis working '!F5*10</f>
        <v>442740</v>
      </c>
      <c r="G6" s="38"/>
    </row>
    <row r="7" spans="1:7">
      <c r="A7" s="11" t="s">
        <v>111</v>
      </c>
      <c r="B7" s="34">
        <f>'[1]Peer Analysis working '!B7</f>
        <v>6.6957261377430521E-2</v>
      </c>
      <c r="C7" s="33">
        <f>'[1]Peer Analysis working '!C7</f>
        <v>1.7483450932637146E-2</v>
      </c>
      <c r="D7" s="33">
        <f>'[1]Peer Analysis working '!D7</f>
        <v>0.11395326030791875</v>
      </c>
      <c r="E7" s="33">
        <f>'[1]Peer Analysis working '!E7</f>
        <v>8.1957653928725893E-2</v>
      </c>
      <c r="F7" s="33">
        <f>'[1]Peer Analysis working '!F7</f>
        <v>7.2805272529955722E-2</v>
      </c>
      <c r="G7" s="33"/>
    </row>
    <row r="8" spans="1:7" s="21" customFormat="1">
      <c r="A8" s="16" t="s">
        <v>28</v>
      </c>
      <c r="B8" s="37">
        <f>'[1]Peer Analysis working '!B12*10</f>
        <v>2337.6000000000022</v>
      </c>
      <c r="C8" s="36">
        <f>'[1]Peer Analysis working '!C12*10</f>
        <v>8747</v>
      </c>
      <c r="D8" s="36">
        <f>'[1]Peer Analysis working '!D12*10</f>
        <v>9330</v>
      </c>
      <c r="E8" s="36">
        <f>'[1]Peer Analysis working '!E12*10</f>
        <v>9779</v>
      </c>
      <c r="F8" s="36">
        <f>'[1]Peer Analysis working '!F12*10</f>
        <v>54890</v>
      </c>
      <c r="G8" s="36"/>
    </row>
    <row r="9" spans="1:7">
      <c r="A9" s="11" t="s">
        <v>111</v>
      </c>
      <c r="B9" s="34">
        <f>'[1]Peer Analysis working '!B14</f>
        <v>0.27796799337795663</v>
      </c>
      <c r="C9" s="33">
        <f>'[1]Peer Analysis working '!C14</f>
        <v>0.20517447704828018</v>
      </c>
      <c r="D9" s="33">
        <f>'[1]Peer Analysis working '!D14</f>
        <v>0.33549630488669613</v>
      </c>
      <c r="E9" s="33">
        <f>'[1]Peer Analysis working '!E14</f>
        <v>-2.4487478418460316</v>
      </c>
      <c r="F9" s="33">
        <f>'[1]Peer Analysis working '!F14</f>
        <v>5.7989028682093879E-2</v>
      </c>
      <c r="G9" s="33"/>
    </row>
    <row r="10" spans="1:7" s="21" customFormat="1">
      <c r="A10" s="16" t="s">
        <v>113</v>
      </c>
      <c r="B10" s="32" t="e">
        <f>+B8/B$6</f>
        <v>#REF!</v>
      </c>
      <c r="C10" s="32">
        <f>+C8/C$6</f>
        <v>0.17770509121937345</v>
      </c>
      <c r="D10" s="32">
        <f>+D8/D$6</f>
        <v>0.13866183158457926</v>
      </c>
      <c r="E10" s="32">
        <f>+E8/E$6</f>
        <v>0.17188708430007735</v>
      </c>
      <c r="F10" s="32">
        <f>+F8/F$6</f>
        <v>0.12397795545918598</v>
      </c>
      <c r="G10" s="32"/>
    </row>
    <row r="11" spans="1:7" s="21" customFormat="1">
      <c r="A11" s="16" t="s">
        <v>112</v>
      </c>
      <c r="B11" s="30">
        <f>'[1]Peer Analysis working '!B25*10</f>
        <v>623.77000000000226</v>
      </c>
      <c r="C11" s="35">
        <f>'[1]Peer Analysis working '!C25*10</f>
        <v>7883</v>
      </c>
      <c r="D11" s="35">
        <f>'[1]Peer Analysis working '!D25*10</f>
        <v>2960</v>
      </c>
      <c r="E11" s="35">
        <f>'[1]Peer Analysis working '!E25*10</f>
        <v>997</v>
      </c>
      <c r="F11" s="35">
        <f>'[1]Peer Analysis working '!F25*10</f>
        <v>34510</v>
      </c>
      <c r="G11" s="35"/>
    </row>
    <row r="12" spans="1:7">
      <c r="A12" s="11" t="s">
        <v>111</v>
      </c>
      <c r="B12" s="34">
        <f>'[1]Peer Analysis working '!B27</f>
        <v>0.15020466640116381</v>
      </c>
      <c r="C12" s="33">
        <f>'[1]Peer Analysis working '!C27</f>
        <v>-2.3617924740187757E-2</v>
      </c>
      <c r="D12" s="33">
        <f>'[1]Peer Analysis working '!D27</f>
        <v>0.2798301533370493</v>
      </c>
      <c r="E12" s="33">
        <f>'[1]Peer Analysis working '!E27</f>
        <v>-1.7739968460390942E-2</v>
      </c>
      <c r="F12" s="33">
        <f>'[1]Peer Analysis working '!F27</f>
        <v>1.3492351397157654E-2</v>
      </c>
      <c r="G12" s="33"/>
    </row>
    <row r="13" spans="1:7">
      <c r="A13" s="16" t="s">
        <v>110</v>
      </c>
      <c r="B13" s="32" t="e">
        <f>+B11/B$6</f>
        <v>#REF!</v>
      </c>
      <c r="C13" s="31">
        <f>+C11/C$6</f>
        <v>0.1601519645686888</v>
      </c>
      <c r="D13" s="31">
        <f>+D11/D$6</f>
        <v>4.3991320631334901E-2</v>
      </c>
      <c r="E13" s="31">
        <f>+E11/E$6</f>
        <v>1.7524432257610911E-2</v>
      </c>
      <c r="F13" s="31">
        <f>+F11/F$6</f>
        <v>7.7946424538103631E-2</v>
      </c>
      <c r="G13" s="31"/>
    </row>
    <row r="14" spans="1:7">
      <c r="A14" s="11" t="s">
        <v>36</v>
      </c>
      <c r="B14" s="12">
        <f>'[1]Peer Analysis working '!B29</f>
        <v>3.76</v>
      </c>
      <c r="C14" s="12">
        <f>'[1]Peer Analysis working '!C29</f>
        <v>52.21</v>
      </c>
      <c r="D14" s="12">
        <f>'[1]Peer Analysis working '!D29</f>
        <v>7.83</v>
      </c>
      <c r="E14" s="12">
        <f>'[1]Peer Analysis working '!E29</f>
        <v>3.26</v>
      </c>
      <c r="F14" s="12">
        <f>'[1]Peer Analysis working '!F29</f>
        <v>31.37</v>
      </c>
      <c r="G14" s="12"/>
    </row>
    <row r="15" spans="1:7">
      <c r="A15" s="11"/>
      <c r="B15" s="5"/>
      <c r="C15" s="11"/>
      <c r="D15" s="18"/>
      <c r="E15" s="18"/>
      <c r="F15" s="11"/>
      <c r="G15" s="11"/>
    </row>
    <row r="16" spans="1:7">
      <c r="A16" s="11"/>
      <c r="B16" s="5"/>
      <c r="C16" s="11"/>
      <c r="D16" s="18"/>
      <c r="E16" s="18"/>
      <c r="F16" s="11"/>
      <c r="G16" s="11"/>
    </row>
    <row r="17" spans="1:7">
      <c r="A17" s="16" t="s">
        <v>109</v>
      </c>
      <c r="B17" s="17"/>
      <c r="C17" s="16"/>
      <c r="D17" s="16"/>
      <c r="E17" s="16"/>
      <c r="F17" s="16"/>
      <c r="G17" s="16"/>
    </row>
    <row r="18" spans="1:7" s="21" customFormat="1">
      <c r="A18" s="16" t="s">
        <v>108</v>
      </c>
      <c r="B18" s="30">
        <f>'[1]Peer Analysis working '!I5*10</f>
        <v>6806.94</v>
      </c>
      <c r="C18" s="30">
        <f>'[1]Peer Analysis working '!J5*10</f>
        <v>47546</v>
      </c>
      <c r="D18" s="30">
        <f>'[1]Peer Analysis working '!K5*10</f>
        <v>31513</v>
      </c>
      <c r="E18" s="30">
        <f>'[1]Peer Analysis working '!L5*10</f>
        <v>60583</v>
      </c>
      <c r="F18" s="30">
        <f>'[1]Peer Analysis working '!M5*10</f>
        <v>256090</v>
      </c>
      <c r="G18" s="30"/>
    </row>
    <row r="19" spans="1:7" s="21" customFormat="1">
      <c r="A19" s="16" t="s">
        <v>53</v>
      </c>
      <c r="B19" s="30">
        <f>SUM(B20:B21)</f>
        <v>1806.12</v>
      </c>
      <c r="C19" s="30">
        <f>SUM(C20:C21)</f>
        <v>0</v>
      </c>
      <c r="D19" s="30">
        <f>SUM(D20:D21)</f>
        <v>12219</v>
      </c>
      <c r="E19" s="30">
        <f>SUM(E20:E21)</f>
        <v>9292</v>
      </c>
      <c r="F19" s="30">
        <f>SUM(F20:F21)</f>
        <v>37380</v>
      </c>
      <c r="G19" s="30"/>
    </row>
    <row r="20" spans="1:7">
      <c r="A20" s="29" t="s">
        <v>107</v>
      </c>
      <c r="B20" s="12">
        <f>'[1]Peer Analysis working '!I6*10</f>
        <v>0</v>
      </c>
      <c r="C20" s="12">
        <f>'[1]Peer Analysis working '!J6*10</f>
        <v>0</v>
      </c>
      <c r="D20" s="12">
        <f>'[1]Peer Analysis working '!K6*10</f>
        <v>3893</v>
      </c>
      <c r="E20" s="12">
        <f>'[1]Peer Analysis working '!L6*10</f>
        <v>667</v>
      </c>
      <c r="F20" s="12">
        <f>'[1]Peer Analysis working '!M6*10</f>
        <v>8590</v>
      </c>
      <c r="G20" s="12"/>
    </row>
    <row r="21" spans="1:7">
      <c r="A21" s="29" t="s">
        <v>106</v>
      </c>
      <c r="B21" s="12">
        <f>'[1]Peer Analysis working '!I7*10</f>
        <v>1806.12</v>
      </c>
      <c r="C21" s="12">
        <f>'[1]Peer Analysis working '!J7*10</f>
        <v>0</v>
      </c>
      <c r="D21" s="12">
        <f>'[1]Peer Analysis working '!K7*10</f>
        <v>8326</v>
      </c>
      <c r="E21" s="12">
        <f>'[1]Peer Analysis working '!L7*10</f>
        <v>8625</v>
      </c>
      <c r="F21" s="12">
        <f>'[1]Peer Analysis working '!M7*10</f>
        <v>28790</v>
      </c>
      <c r="G21" s="12"/>
    </row>
    <row r="22" spans="1:7">
      <c r="A22" s="11"/>
      <c r="B22" s="5"/>
      <c r="C22" s="11"/>
      <c r="D22" s="18"/>
      <c r="E22" s="18"/>
      <c r="F22" s="11"/>
      <c r="G22" s="11"/>
    </row>
    <row r="23" spans="1:7">
      <c r="A23" s="16" t="s">
        <v>105</v>
      </c>
      <c r="B23" s="17"/>
      <c r="C23" s="16"/>
      <c r="D23" s="16"/>
      <c r="E23" s="16"/>
      <c r="F23" s="16"/>
      <c r="G23" s="16"/>
    </row>
    <row r="24" spans="1:7">
      <c r="A24" s="27" t="s">
        <v>104</v>
      </c>
      <c r="B24" s="28"/>
      <c r="C24" s="11"/>
      <c r="D24" s="11"/>
      <c r="E24" s="11"/>
      <c r="F24" s="11"/>
      <c r="G24" s="11"/>
    </row>
    <row r="25" spans="1:7">
      <c r="A25" s="27" t="s">
        <v>51</v>
      </c>
      <c r="B25" s="26"/>
      <c r="C25" s="11"/>
      <c r="D25" s="11"/>
      <c r="E25" s="11"/>
      <c r="F25" s="11"/>
      <c r="G25" s="11"/>
    </row>
    <row r="26" spans="1:7" s="4" customFormat="1">
      <c r="A26" s="5"/>
      <c r="B26" s="5"/>
      <c r="C26" s="5"/>
      <c r="D26" s="25"/>
      <c r="E26" s="25"/>
      <c r="F26" s="25"/>
      <c r="G26" s="25"/>
    </row>
    <row r="27" spans="1:7" s="4" customFormat="1">
      <c r="A27" s="5" t="s">
        <v>52</v>
      </c>
      <c r="B27" s="24">
        <f>'[1]Peer Analysis working '!I27</f>
        <v>16042570</v>
      </c>
      <c r="C27" s="24">
        <f>'[1]Peer Analysis working '!J27</f>
        <v>15050871</v>
      </c>
      <c r="D27" s="24">
        <f>'[1]Peer Analysis working '!K27</f>
        <v>37759530</v>
      </c>
      <c r="E27" s="24">
        <f>'[1]Peer Analysis working '!L27</f>
        <v>30603181</v>
      </c>
      <c r="F27" s="24">
        <f>'[1]Peer Analysis working '!M27</f>
        <v>109971221</v>
      </c>
      <c r="G27" s="24"/>
    </row>
    <row r="28" spans="1:7" s="21" customFormat="1">
      <c r="A28" s="16" t="s">
        <v>85</v>
      </c>
      <c r="B28" s="23">
        <f>'[1]Peer Analysis working '!I28*10</f>
        <v>705.87307999999996</v>
      </c>
      <c r="C28" s="22">
        <f>'[1]Peer Analysis working '!J28*10</f>
        <v>5698.2597605999999</v>
      </c>
      <c r="D28" s="22">
        <f>'[1]Peer Analysis working '!K28*10</f>
        <v>1049.7149340000001</v>
      </c>
      <c r="E28" s="22">
        <f>'[1]Peer Analysis working '!L28*10</f>
        <v>2209.5496682000003</v>
      </c>
      <c r="F28" s="22">
        <f>'[1]Peer Analysis working '!M28*10</f>
        <v>25254.89090265</v>
      </c>
      <c r="G28" s="22"/>
    </row>
    <row r="29" spans="1:7" s="21" customFormat="1">
      <c r="A29" s="16" t="s">
        <v>56</v>
      </c>
      <c r="B29" s="23">
        <f>'[1]Peer Analysis working '!I31*10</f>
        <v>297.57307999999966</v>
      </c>
      <c r="C29" s="22">
        <f>'[1]Peer Analysis working '!J31*10</f>
        <v>3873.2597605999999</v>
      </c>
      <c r="D29" s="22">
        <f>'[1]Peer Analysis working '!K31*10</f>
        <v>6252.7149340000014</v>
      </c>
      <c r="E29" s="22">
        <f>'[1]Peer Analysis working '!L31*10</f>
        <v>9985.5496681999994</v>
      </c>
      <c r="F29" s="22">
        <f>'[1]Peer Analysis working '!M31*10</f>
        <v>-32545.109097349996</v>
      </c>
      <c r="G29" s="22"/>
    </row>
    <row r="30" spans="1:7">
      <c r="A30" s="11"/>
      <c r="B30" s="5"/>
      <c r="C30" s="11"/>
      <c r="D30" s="18"/>
      <c r="E30" s="11"/>
      <c r="F30" s="11"/>
      <c r="G30" s="11"/>
    </row>
    <row r="31" spans="1:7">
      <c r="A31" s="11" t="s">
        <v>103</v>
      </c>
      <c r="B31" s="13">
        <f>'[1]Peer Analysis working '!I35</f>
        <v>11.702127659574469</v>
      </c>
      <c r="C31" s="13">
        <f>'[1]Peer Analysis working '!J35</f>
        <v>7.2514843899636086</v>
      </c>
      <c r="D31" s="13">
        <f>'[1]Peer Analysis working '!K35</f>
        <v>3.5504469987228608</v>
      </c>
      <c r="E31" s="13">
        <f>'[1]Peer Analysis working '!L35</f>
        <v>22.147239263803684</v>
      </c>
      <c r="F31" s="13">
        <f>'[1]Peer Analysis working '!M35</f>
        <v>7.3206885559451704</v>
      </c>
      <c r="G31" s="13"/>
    </row>
    <row r="32" spans="1:7">
      <c r="A32" s="11" t="s">
        <v>68</v>
      </c>
      <c r="B32" s="20">
        <f>'[1]Peer Analysis working '!I44</f>
        <v>3.4090909090909088E-2</v>
      </c>
      <c r="C32" s="19">
        <f>'[1]Peer Analysis working '!J44</f>
        <v>0.10565240359218171</v>
      </c>
      <c r="D32" s="19">
        <f>'[1]Peer Analysis working '!K44</f>
        <v>0</v>
      </c>
      <c r="E32" s="19">
        <f>'[1]Peer Analysis working '!L44</f>
        <v>0</v>
      </c>
      <c r="F32" s="19">
        <f>'[1]Peer Analysis working '!M44</f>
        <v>6.531678641410843E-2</v>
      </c>
      <c r="G32" s="19"/>
    </row>
    <row r="33" spans="1:7">
      <c r="A33" s="11" t="s">
        <v>102</v>
      </c>
      <c r="B33" s="13">
        <f>'[1]Peer Analysis working '!I36</f>
        <v>0.10369903069514348</v>
      </c>
      <c r="C33" s="13">
        <f>'[1]Peer Analysis working '!J36</f>
        <v>0.11984730073192279</v>
      </c>
      <c r="D33" s="13">
        <f>'[1]Peer Analysis working '!K36</f>
        <v>3.3310536413543618E-2</v>
      </c>
      <c r="E33" s="13">
        <f>'[1]Peer Analysis working '!L36</f>
        <v>3.6471446910849581E-2</v>
      </c>
      <c r="F33" s="13">
        <f>'[1]Peer Analysis working '!M36</f>
        <v>9.8617247462415569E-2</v>
      </c>
      <c r="G33" s="13"/>
    </row>
    <row r="34" spans="1:7">
      <c r="A34" s="11" t="s">
        <v>101</v>
      </c>
      <c r="B34" s="13">
        <f>'[1]Peer Analysis working '!I37</f>
        <v>0.12729854551676908</v>
      </c>
      <c r="C34" s="13">
        <f>'[1]Peer Analysis working '!J37</f>
        <v>0.44281007895278379</v>
      </c>
      <c r="D34" s="13">
        <f>'[1]Peer Analysis working '!K37</f>
        <v>0.67017309046087903</v>
      </c>
      <c r="E34" s="13">
        <f>'[1]Peer Analysis working '!L37</f>
        <v>1.021121757664383</v>
      </c>
      <c r="F34" s="13">
        <f>'[1]Peer Analysis working '!M37</f>
        <v>-0.59291508648843139</v>
      </c>
      <c r="G34" s="13"/>
    </row>
    <row r="35" spans="1:7">
      <c r="A35" s="11"/>
      <c r="B35" s="5"/>
      <c r="C35" s="11"/>
      <c r="D35" s="18"/>
      <c r="E35" s="18"/>
      <c r="F35" s="11"/>
      <c r="G35" s="11"/>
    </row>
    <row r="36" spans="1:7">
      <c r="A36" s="16" t="s">
        <v>100</v>
      </c>
      <c r="B36" s="17"/>
      <c r="C36" s="16"/>
      <c r="D36" s="16"/>
      <c r="E36" s="16"/>
      <c r="F36" s="16"/>
      <c r="G36" s="16"/>
    </row>
    <row r="37" spans="1:7">
      <c r="A37" s="16" t="s">
        <v>119</v>
      </c>
      <c r="B37" s="12" t="e">
        <f>#REF!</f>
        <v>#REF!</v>
      </c>
      <c r="C37" s="12">
        <f>'[1]Peer Analysis working '!J32</f>
        <v>378.6</v>
      </c>
      <c r="D37" s="12">
        <f>'[1]Peer Analysis working '!K32</f>
        <v>27.8</v>
      </c>
      <c r="E37" s="12">
        <f>'[1]Peer Analysis working '!L32</f>
        <v>72.2</v>
      </c>
      <c r="F37" s="12">
        <f>'[1]Peer Analysis working '!M32</f>
        <v>229.65</v>
      </c>
      <c r="G37" s="12"/>
    </row>
    <row r="38" spans="1:7">
      <c r="A38" s="11" t="s">
        <v>99</v>
      </c>
      <c r="B38" s="12">
        <f>B18</f>
        <v>6806.94</v>
      </c>
      <c r="C38" s="12">
        <f>C18</f>
        <v>47546</v>
      </c>
      <c r="D38" s="12">
        <f>D18</f>
        <v>31513</v>
      </c>
      <c r="E38" s="12">
        <f>E18</f>
        <v>60583</v>
      </c>
      <c r="F38" s="12">
        <f>F18</f>
        <v>256090</v>
      </c>
      <c r="G38" s="12"/>
    </row>
    <row r="39" spans="1:7">
      <c r="A39" s="11" t="s">
        <v>98</v>
      </c>
      <c r="B39" s="12">
        <f>'[1]Peer Analysis working '!I34</f>
        <v>424.30483395116869</v>
      </c>
      <c r="C39" s="12">
        <f>'[1]Peer Analysis working '!J34</f>
        <v>3159.0198334701026</v>
      </c>
      <c r="D39" s="12">
        <f>'[1]Peer Analysis working '!K34</f>
        <v>834.57076928658807</v>
      </c>
      <c r="E39" s="12">
        <f>'[1]Peer Analysis working '!L34</f>
        <v>1979.6308102742653</v>
      </c>
      <c r="F39" s="12">
        <f>'[1]Peer Analysis working '!M34</f>
        <v>2328.7001605629166</v>
      </c>
      <c r="G39" s="12"/>
    </row>
    <row r="40" spans="1:7">
      <c r="A40" s="11" t="s">
        <v>97</v>
      </c>
      <c r="B40" s="10">
        <f>'[1]Peer Analysis working '!I38</f>
        <v>9.1637358343103104E-2</v>
      </c>
      <c r="C40" s="10">
        <f>'[1]Peer Analysis working '!J38</f>
        <v>0.16579733310898917</v>
      </c>
      <c r="D40" s="10">
        <f>'[1]Peer Analysis working '!K38</f>
        <v>9.392948941706597E-2</v>
      </c>
      <c r="E40" s="10">
        <f>'[1]Peer Analysis working '!L38</f>
        <v>1.6456761797864088E-2</v>
      </c>
      <c r="F40" s="10">
        <f>'[1]Peer Analysis working '!M38</f>
        <v>0.13475731188254128</v>
      </c>
      <c r="G40" s="10"/>
    </row>
    <row r="41" spans="1:7">
      <c r="A41" s="11" t="s">
        <v>96</v>
      </c>
      <c r="B41" s="10">
        <f>'[1]Peer Analysis working '!I39</f>
        <v>0.15966919879744115</v>
      </c>
      <c r="C41" s="10">
        <f>'[1]Peer Analysis working '!J39</f>
        <v>0.23463756949794889</v>
      </c>
      <c r="D41" s="10">
        <f>'[1]Peer Analysis working '!K39</f>
        <v>0.16266310441067727</v>
      </c>
      <c r="E41" s="10">
        <f>'[1]Peer Analysis working '!L39</f>
        <v>7.0130917016226549E-2</v>
      </c>
      <c r="F41" s="10">
        <f>'[1]Peer Analysis working '!M39</f>
        <v>0.12677259525029899</v>
      </c>
      <c r="G41" s="10"/>
    </row>
    <row r="42" spans="1:7">
      <c r="A42" s="11" t="s">
        <v>95</v>
      </c>
      <c r="B42" s="13">
        <f>'[1]Peer Analysis working '!I40</f>
        <v>0.19664505085895492</v>
      </c>
      <c r="C42" s="13">
        <f>'[1]Peer Analysis working '!J40</f>
        <v>0.68930559505911992</v>
      </c>
      <c r="D42" s="13">
        <f>'[1]Peer Analysis working '!K40</f>
        <v>0.63170644710638169</v>
      </c>
      <c r="E42" s="13">
        <f>'[1]Peer Analysis working '!L40</f>
        <v>0.8970505519229417</v>
      </c>
      <c r="F42" s="13">
        <f>'[1]Peer Analysis working '!M40</f>
        <v>0.46451642047251207</v>
      </c>
      <c r="G42" s="13"/>
    </row>
    <row r="43" spans="1:7">
      <c r="A43" s="11" t="s">
        <v>94</v>
      </c>
      <c r="B43" s="14">
        <f>'[1]Peer Analysis working '!I45</f>
        <v>66.342013720741051</v>
      </c>
      <c r="C43" s="14">
        <f>'[1]Peer Analysis working '!J45</f>
        <v>65.062573645930684</v>
      </c>
      <c r="D43" s="14">
        <f>'[1]Peer Analysis working '!K45</f>
        <v>86.592976250631622</v>
      </c>
      <c r="E43" s="14">
        <f>'[1]Peer Analysis working '!L45</f>
        <v>107.90185790620825</v>
      </c>
      <c r="F43" s="14">
        <f>'[1]Peer Analysis working '!M45</f>
        <v>56.711275240547494</v>
      </c>
      <c r="G43" s="14"/>
    </row>
    <row r="44" spans="1:7">
      <c r="A44" s="11" t="s">
        <v>71</v>
      </c>
      <c r="B44" s="14">
        <f>'[1]Peer Analysis working '!I47</f>
        <v>0</v>
      </c>
      <c r="C44" s="14">
        <f>'[1]Peer Analysis working '!J47</f>
        <v>0</v>
      </c>
      <c r="D44" s="14">
        <f>'[1]Peer Analysis working '!K47</f>
        <v>10.79</v>
      </c>
      <c r="E44" s="14">
        <f>'[1]Peer Analysis working '!L47</f>
        <v>0</v>
      </c>
      <c r="F44" s="14">
        <f>'[1]Peer Analysis working '!M47</f>
        <v>16.899999999999999</v>
      </c>
      <c r="G44" s="14"/>
    </row>
    <row r="45" spans="1:7">
      <c r="A45" s="11" t="s">
        <v>93</v>
      </c>
      <c r="B45" s="15">
        <f>'[1]Peer Analysis working '!I46</f>
        <v>6242.8348665021331</v>
      </c>
      <c r="C45" s="14">
        <f>'[1]Peer Analysis working '!J46</f>
        <v>17.260000000000002</v>
      </c>
      <c r="D45" s="14">
        <f>'[1]Peer Analysis working '!K46</f>
        <v>29.69</v>
      </c>
      <c r="E45" s="14">
        <f>'[1]Peer Analysis working '!L46</f>
        <v>50.87</v>
      </c>
      <c r="F45" s="14">
        <f>'[1]Peer Analysis working '!M46</f>
        <v>51.52</v>
      </c>
      <c r="G45" s="14"/>
    </row>
    <row r="46" spans="1:7">
      <c r="A46" s="11" t="s">
        <v>92</v>
      </c>
      <c r="B46" s="15">
        <f>'[1]Peer Analysis working '!I48</f>
        <v>-6176.4928527813918</v>
      </c>
      <c r="C46" s="14">
        <f>'[1]Peer Analysis working '!J48</f>
        <v>47.802573645930678</v>
      </c>
      <c r="D46" s="14">
        <f>'[1]Peer Analysis working '!K48</f>
        <v>67.692976250631631</v>
      </c>
      <c r="E46" s="14">
        <f>'[1]Peer Analysis working '!L48</f>
        <v>57.031857906208252</v>
      </c>
      <c r="F46" s="14">
        <f>'[1]Peer Analysis working '!M48</f>
        <v>22.091275240547482</v>
      </c>
      <c r="G46" s="14"/>
    </row>
    <row r="47" spans="1:7">
      <c r="A47" s="11" t="s">
        <v>73</v>
      </c>
      <c r="B47" s="14">
        <f>'[1]Peer Analysis working '!I49</f>
        <v>38.568782865166789</v>
      </c>
      <c r="C47" s="14">
        <f>'[1]Peer Analysis working '!J49</f>
        <v>104.5124131485921</v>
      </c>
      <c r="D47" s="14">
        <f>'[1]Peer Analysis working '!K49</f>
        <v>-3.1679695627619462</v>
      </c>
      <c r="E47" s="14">
        <f>'[1]Peer Analysis working '!L49</f>
        <v>102.35551571398437</v>
      </c>
      <c r="F47" s="14">
        <f>'[1]Peer Analysis working '!M49</f>
        <v>168.22119076658987</v>
      </c>
      <c r="G47" s="14"/>
    </row>
    <row r="48" spans="1:7">
      <c r="A48" s="11" t="s">
        <v>91</v>
      </c>
      <c r="B48" s="13">
        <f>'[1]Peer Analysis working '!I41</f>
        <v>0.2653350844873027</v>
      </c>
      <c r="C48" s="13">
        <f>'[1]Peer Analysis working '!J41</f>
        <v>0</v>
      </c>
      <c r="D48" s="13">
        <f>'[1]Peer Analysis working '!K41</f>
        <v>0.38774474026592198</v>
      </c>
      <c r="E48" s="13">
        <f>'[1]Peer Analysis working '!L41</f>
        <v>0.15337635970486771</v>
      </c>
      <c r="F48" s="13">
        <f>'[1]Peer Analysis working '!M41</f>
        <v>0.14596430942246866</v>
      </c>
      <c r="G48" s="13"/>
    </row>
    <row r="49" spans="1:7">
      <c r="A49" s="11" t="s">
        <v>90</v>
      </c>
      <c r="B49" s="13">
        <f>'[1]Peer Analysis working '!I42</f>
        <v>-5.998289980519883E-2</v>
      </c>
      <c r="C49" s="13">
        <f>'[1]Peer Analysis working '!J42</f>
        <v>-3.8383880873259578E-2</v>
      </c>
      <c r="D49" s="13">
        <f>'[1]Peer Analysis working '!K42</f>
        <v>0.16510646399898457</v>
      </c>
      <c r="E49" s="13">
        <f>'[1]Peer Analysis working '!L42</f>
        <v>0.128352838254956</v>
      </c>
      <c r="F49" s="13">
        <f>'[1]Peer Analysis working '!M42</f>
        <v>-0.22570190167519233</v>
      </c>
      <c r="G49" s="13"/>
    </row>
    <row r="50" spans="1:7">
      <c r="A50" s="11" t="s">
        <v>86</v>
      </c>
      <c r="B50" s="12">
        <f>'[1]Peer Analysis working '!I51</f>
        <v>3.7837018647884131</v>
      </c>
      <c r="C50" s="12">
        <f>'[1]Peer Analysis working '!J51</f>
        <v>158.70422535211267</v>
      </c>
      <c r="D50" s="12">
        <f>'[1]Peer Analysis working '!K51</f>
        <v>2.2760347129506009</v>
      </c>
      <c r="E50" s="12">
        <f>'[1]Peer Analysis working '!L51</f>
        <v>3.4877505567928733</v>
      </c>
      <c r="F50" s="12">
        <f>'[1]Peer Analysis working '!M51</f>
        <v>10.687242798353909</v>
      </c>
      <c r="G50" s="12"/>
    </row>
    <row r="51" spans="1:7">
      <c r="A51" s="11" t="s">
        <v>89</v>
      </c>
      <c r="B51" s="10">
        <f>'[1]Peer Analysis working '!I50</f>
        <v>0.19180342391424715</v>
      </c>
      <c r="C51" s="10">
        <f>'[1]Peer Analysis working '!J50</f>
        <v>0</v>
      </c>
      <c r="D51" s="10">
        <f>'[1]Peer Analysis working '!K50</f>
        <v>0.24519191423193387</v>
      </c>
      <c r="E51" s="10">
        <f>'[1]Peer Analysis working '!L50</f>
        <v>0.14496340938441668</v>
      </c>
      <c r="F51" s="10">
        <f>'[1]Peer Analysis working '!M50</f>
        <v>0.13001605136436598</v>
      </c>
      <c r="G51" s="10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7"/>
  <sheetViews>
    <sheetView tabSelected="1" zoomScale="70" zoomScaleNormal="70" workbookViewId="0">
      <selection activeCell="E11" sqref="E11"/>
    </sheetView>
  </sheetViews>
  <sheetFormatPr defaultRowHeight="14.5"/>
  <cols>
    <col min="1" max="1" width="72.81640625" bestFit="1" customWidth="1"/>
    <col min="2" max="3" width="9.81640625" customWidth="1"/>
    <col min="4" max="4" width="10.36328125" bestFit="1" customWidth="1"/>
    <col min="5" max="6" width="9.81640625" bestFit="1" customWidth="1"/>
    <col min="7" max="7" width="45.54296875" bestFit="1" customWidth="1"/>
    <col min="8" max="8" width="11.7265625" customWidth="1"/>
    <col min="9" max="10" width="17" bestFit="1" customWidth="1"/>
    <col min="11" max="11" width="9.81640625" bestFit="1" customWidth="1"/>
    <col min="12" max="12" width="44.26953125" bestFit="1" customWidth="1"/>
    <col min="13" max="17" width="10.1796875" bestFit="1" customWidth="1"/>
    <col min="18" max="18" width="11.26953125" bestFit="1" customWidth="1"/>
    <col min="19" max="19" width="11.81640625" customWidth="1"/>
    <col min="20" max="20" width="13.54296875" bestFit="1" customWidth="1"/>
    <col min="22" max="22" width="9.26953125" bestFit="1" customWidth="1"/>
    <col min="24" max="24" width="9.81640625" bestFit="1" customWidth="1"/>
  </cols>
  <sheetData>
    <row r="1" spans="1:21" ht="19" thickBot="1">
      <c r="A1" s="164" t="s">
        <v>135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1"/>
      <c r="M1" s="161"/>
      <c r="N1" s="161"/>
      <c r="O1" s="161"/>
      <c r="P1" s="161"/>
      <c r="Q1" s="161"/>
      <c r="R1" s="161"/>
      <c r="S1" s="161"/>
      <c r="T1" s="161"/>
    </row>
    <row r="2" spans="1:21" ht="19" thickBot="1">
      <c r="A2" s="115" t="s">
        <v>78</v>
      </c>
      <c r="B2" s="116"/>
      <c r="C2" s="116"/>
      <c r="D2" s="116"/>
      <c r="E2" s="116"/>
      <c r="F2" s="116"/>
      <c r="G2" s="135" t="s">
        <v>130</v>
      </c>
      <c r="H2" s="136"/>
      <c r="I2" s="136"/>
      <c r="J2" s="136"/>
      <c r="K2" s="137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1">
      <c r="A3" s="79" t="s">
        <v>0</v>
      </c>
      <c r="B3" s="60" t="s">
        <v>120</v>
      </c>
      <c r="C3" s="60" t="s">
        <v>129</v>
      </c>
      <c r="D3" s="60" t="s">
        <v>132</v>
      </c>
      <c r="E3" s="61" t="s">
        <v>134</v>
      </c>
      <c r="F3" s="58"/>
      <c r="G3" s="79" t="s">
        <v>0</v>
      </c>
      <c r="H3" s="60" t="s">
        <v>120</v>
      </c>
      <c r="I3" s="60" t="s">
        <v>129</v>
      </c>
      <c r="J3" s="60" t="s">
        <v>132</v>
      </c>
      <c r="K3" s="61" t="s">
        <v>136</v>
      </c>
      <c r="L3" s="58"/>
    </row>
    <row r="4" spans="1:21">
      <c r="A4" s="62" t="s">
        <v>24</v>
      </c>
      <c r="B4" s="139">
        <v>140.779</v>
      </c>
      <c r="C4" s="139">
        <v>249.721</v>
      </c>
      <c r="D4" s="139">
        <v>785.976</v>
      </c>
      <c r="E4" s="140">
        <v>1100.3910000000001</v>
      </c>
      <c r="G4" s="62" t="s">
        <v>1</v>
      </c>
      <c r="H4" s="139">
        <v>183.37899999999999</v>
      </c>
      <c r="I4" s="139">
        <v>225.727</v>
      </c>
      <c r="J4" s="139">
        <v>227.49</v>
      </c>
      <c r="K4" s="140">
        <v>240.71100000000001</v>
      </c>
    </row>
    <row r="5" spans="1:21">
      <c r="A5" s="80" t="s">
        <v>25</v>
      </c>
      <c r="B5" s="94" t="s">
        <v>128</v>
      </c>
      <c r="C5" s="6">
        <f>C4/B4-1</f>
        <v>0.77385121360430187</v>
      </c>
      <c r="D5" s="6">
        <f>D4/C4-1</f>
        <v>2.1474165168327852</v>
      </c>
      <c r="E5" s="88"/>
      <c r="F5" s="48"/>
      <c r="G5" s="62" t="s">
        <v>2</v>
      </c>
      <c r="H5" s="139">
        <v>257.00700000000001</v>
      </c>
      <c r="I5" s="139">
        <v>989.04899999999998</v>
      </c>
      <c r="J5" s="139">
        <v>4229.0159999999996</v>
      </c>
      <c r="K5" s="140">
        <v>4916.2640000000001</v>
      </c>
    </row>
    <row r="6" spans="1:21">
      <c r="A6" s="80" t="s">
        <v>142</v>
      </c>
      <c r="B6" s="127" t="s">
        <v>128</v>
      </c>
      <c r="C6" s="127" t="s">
        <v>128</v>
      </c>
      <c r="D6" s="6">
        <f>((D4/B4)^(1/3)-1)</f>
        <v>0.77401438192163741</v>
      </c>
      <c r="E6" s="88"/>
      <c r="F6" s="48"/>
      <c r="G6" s="85" t="s">
        <v>3</v>
      </c>
      <c r="H6" s="99">
        <f t="shared" ref="H6" si="0">SUM(H4:H5)</f>
        <v>440.38599999999997</v>
      </c>
      <c r="I6" s="99">
        <f>SUM(I4:I5)</f>
        <v>1214.7760000000001</v>
      </c>
      <c r="J6" s="99">
        <f>SUM(J4:J5)</f>
        <v>4456.5059999999994</v>
      </c>
      <c r="K6" s="100">
        <f>SUM(K4:K5)</f>
        <v>5156.9750000000004</v>
      </c>
    </row>
    <row r="7" spans="1:21">
      <c r="A7" s="74" t="s">
        <v>121</v>
      </c>
      <c r="B7" s="3"/>
      <c r="C7" s="3"/>
      <c r="D7" s="3"/>
      <c r="E7" s="63"/>
      <c r="F7" s="47"/>
      <c r="G7" s="62" t="s">
        <v>126</v>
      </c>
      <c r="H7" s="139">
        <v>0</v>
      </c>
      <c r="I7" s="139">
        <v>20.251999999999999</v>
      </c>
      <c r="J7" s="139">
        <v>182.27799999999999</v>
      </c>
      <c r="K7" s="76">
        <v>0</v>
      </c>
    </row>
    <row r="8" spans="1:21">
      <c r="A8" s="75" t="s">
        <v>26</v>
      </c>
      <c r="B8" s="139">
        <v>50.572000000000003</v>
      </c>
      <c r="C8" s="139">
        <v>61.53</v>
      </c>
      <c r="D8" s="139">
        <v>273.85399999999998</v>
      </c>
      <c r="E8" s="140">
        <v>433.68599999999998</v>
      </c>
      <c r="F8" s="47"/>
      <c r="G8" s="62" t="s">
        <v>137</v>
      </c>
      <c r="H8" s="139">
        <v>0</v>
      </c>
      <c r="I8" s="139">
        <v>28.088000000000001</v>
      </c>
      <c r="J8" s="139">
        <v>28.088000000000001</v>
      </c>
      <c r="K8" s="98">
        <v>1051.7919999999999</v>
      </c>
    </row>
    <row r="9" spans="1:21">
      <c r="A9" s="75" t="s">
        <v>143</v>
      </c>
      <c r="B9" s="146">
        <v>6.7960000000000003</v>
      </c>
      <c r="C9" s="147">
        <v>8.5389999999999997</v>
      </c>
      <c r="D9" s="146">
        <v>85.474999999999994</v>
      </c>
      <c r="E9" s="148">
        <v>316.50299999999999</v>
      </c>
      <c r="F9" s="49"/>
      <c r="G9" s="62" t="s">
        <v>141</v>
      </c>
      <c r="H9" s="139">
        <v>0</v>
      </c>
      <c r="I9" s="139">
        <v>0</v>
      </c>
      <c r="J9" s="139">
        <v>20.402999999999999</v>
      </c>
      <c r="K9" s="98"/>
    </row>
    <row r="10" spans="1:21">
      <c r="A10" s="75" t="s">
        <v>27</v>
      </c>
      <c r="B10" s="139">
        <v>31.431999999999999</v>
      </c>
      <c r="C10" s="139">
        <v>71.027000000000001</v>
      </c>
      <c r="D10" s="139">
        <v>182.078</v>
      </c>
      <c r="E10" s="140">
        <v>148.78800000000001</v>
      </c>
      <c r="F10" s="50"/>
      <c r="G10" s="62" t="s">
        <v>4</v>
      </c>
      <c r="H10" s="139">
        <v>8.4209999999999994</v>
      </c>
      <c r="I10" s="139">
        <v>44.186</v>
      </c>
      <c r="J10" s="139">
        <v>67.807000000000002</v>
      </c>
      <c r="K10" s="98">
        <v>1038.0360000000001</v>
      </c>
    </row>
    <row r="11" spans="1:21">
      <c r="A11" s="71" t="s">
        <v>28</v>
      </c>
      <c r="B11" s="102">
        <f>B4-SUM(B8:B10)</f>
        <v>51.978999999999999</v>
      </c>
      <c r="C11" s="102">
        <f>C4-SUM(C8:C10)</f>
        <v>108.625</v>
      </c>
      <c r="D11" s="102">
        <f>D4-SUM(D8:D10)</f>
        <v>244.56900000000007</v>
      </c>
      <c r="E11" s="103">
        <f>E4-SUM(E8:E10)</f>
        <v>201.4140000000001</v>
      </c>
      <c r="F11" s="49"/>
      <c r="G11" s="62" t="s">
        <v>5</v>
      </c>
      <c r="H11" s="141">
        <v>0.29599999999999999</v>
      </c>
      <c r="I11" s="141">
        <v>9.5310000000000006</v>
      </c>
      <c r="J11" s="141">
        <v>59.4</v>
      </c>
      <c r="K11" s="98">
        <v>76.914000000000001</v>
      </c>
    </row>
    <row r="12" spans="1:21">
      <c r="A12" s="80" t="s">
        <v>29</v>
      </c>
      <c r="B12" s="81">
        <f>B11/B4</f>
        <v>0.36922410302672987</v>
      </c>
      <c r="C12" s="81">
        <f>C11/C4</f>
        <v>0.43498544375523085</v>
      </c>
      <c r="D12" s="81">
        <f>D11/D4</f>
        <v>0.3111659898012154</v>
      </c>
      <c r="E12" s="82">
        <f>E11/E4</f>
        <v>0.18303857447034744</v>
      </c>
      <c r="F12" s="47"/>
      <c r="G12" s="85" t="s">
        <v>20</v>
      </c>
      <c r="H12" s="99">
        <f>SUM(H10:H11)</f>
        <v>8.7169999999999987</v>
      </c>
      <c r="I12" s="99">
        <f>SUM(I10:I11)</f>
        <v>53.716999999999999</v>
      </c>
      <c r="J12" s="99">
        <f>SUM(J10:J11)</f>
        <v>127.20699999999999</v>
      </c>
      <c r="K12" s="100">
        <f>SUM(K10:K11)</f>
        <v>1114.95</v>
      </c>
    </row>
    <row r="13" spans="1:21">
      <c r="A13" s="80" t="s">
        <v>25</v>
      </c>
      <c r="B13" s="127" t="s">
        <v>128</v>
      </c>
      <c r="C13" s="6">
        <f>C11/B11-1</f>
        <v>1.0897862598357029</v>
      </c>
      <c r="D13" s="6">
        <f>D11/C11-1</f>
        <v>1.2514982738780214</v>
      </c>
      <c r="E13" s="88"/>
      <c r="F13" s="51"/>
      <c r="G13" s="72"/>
      <c r="H13" s="97"/>
      <c r="I13" s="97"/>
      <c r="J13" s="97"/>
      <c r="K13" s="98"/>
    </row>
    <row r="14" spans="1:21">
      <c r="A14" s="80" t="s">
        <v>142</v>
      </c>
      <c r="B14" s="94" t="s">
        <v>128</v>
      </c>
      <c r="C14" s="94" t="s">
        <v>128</v>
      </c>
      <c r="D14" s="6">
        <f>((D11/B11)^(1/3)-1)</f>
        <v>0.67568029475363089</v>
      </c>
      <c r="E14" s="88"/>
      <c r="F14" s="52"/>
      <c r="G14" s="71" t="s">
        <v>146</v>
      </c>
      <c r="H14" s="102">
        <f>H50-H42</f>
        <v>465.66800000000001</v>
      </c>
      <c r="I14" s="102">
        <f t="shared" ref="I14:K14" si="1">I50-I42</f>
        <v>1352.1279999999997</v>
      </c>
      <c r="J14" s="102">
        <f t="shared" si="1"/>
        <v>4828.8229999999994</v>
      </c>
      <c r="K14" s="102">
        <f t="shared" si="1"/>
        <v>7358.1200000000008</v>
      </c>
    </row>
    <row r="15" spans="1:21">
      <c r="A15" s="62" t="s">
        <v>30</v>
      </c>
      <c r="B15" s="139">
        <v>4.0389999999999997</v>
      </c>
      <c r="C15" s="139">
        <v>0.221</v>
      </c>
      <c r="D15" s="139">
        <v>18.460999999999999</v>
      </c>
      <c r="E15" s="140">
        <v>12.598000000000001</v>
      </c>
      <c r="F15" s="48"/>
      <c r="G15" s="62"/>
      <c r="H15" s="97"/>
      <c r="I15" s="97"/>
      <c r="J15" s="97"/>
      <c r="K15" s="98"/>
    </row>
    <row r="16" spans="1:21">
      <c r="A16" s="75" t="s">
        <v>122</v>
      </c>
      <c r="B16" s="139">
        <v>2.2610000000000001</v>
      </c>
      <c r="C16" s="139">
        <v>9.4090000000000007</v>
      </c>
      <c r="D16" s="139">
        <v>50.999000000000002</v>
      </c>
      <c r="E16" s="140">
        <v>73.536000000000001</v>
      </c>
      <c r="F16" s="48"/>
      <c r="G16" s="71" t="s">
        <v>6</v>
      </c>
      <c r="H16" s="102">
        <f t="shared" ref="H16:K16" si="2">H18+H21</f>
        <v>7.9770000000000003</v>
      </c>
      <c r="I16" s="102">
        <f t="shared" si="2"/>
        <v>17.260000000000002</v>
      </c>
      <c r="J16" s="102">
        <f t="shared" si="2"/>
        <v>1821.0409999999999</v>
      </c>
      <c r="K16" s="103">
        <f t="shared" si="2"/>
        <v>3372.8560000000002</v>
      </c>
    </row>
    <row r="17" spans="1:11">
      <c r="A17" s="75" t="s">
        <v>37</v>
      </c>
      <c r="B17" s="139">
        <v>0.48799999999999999</v>
      </c>
      <c r="C17" s="139">
        <v>2.754</v>
      </c>
      <c r="D17" s="139">
        <v>6.8840000000000003</v>
      </c>
      <c r="E17" s="140">
        <v>36.631999999999998</v>
      </c>
      <c r="F17" s="47"/>
      <c r="G17" s="73" t="s">
        <v>7</v>
      </c>
      <c r="H17" s="97"/>
      <c r="I17" s="97"/>
      <c r="J17" s="97"/>
      <c r="K17" s="98"/>
    </row>
    <row r="18" spans="1:11">
      <c r="A18" s="83" t="s">
        <v>31</v>
      </c>
      <c r="B18" s="149">
        <f t="shared" ref="B18:E18" si="3">B11+B15-SUM(B16:B17)</f>
        <v>53.268999999999998</v>
      </c>
      <c r="C18" s="150">
        <f t="shared" si="3"/>
        <v>96.683000000000007</v>
      </c>
      <c r="D18" s="149">
        <f t="shared" si="3"/>
        <v>205.14700000000008</v>
      </c>
      <c r="E18" s="151">
        <f t="shared" si="3"/>
        <v>103.84400000000011</v>
      </c>
      <c r="F18" s="47"/>
      <c r="G18" s="62" t="s">
        <v>8</v>
      </c>
      <c r="H18" s="139">
        <v>7.9770000000000003</v>
      </c>
      <c r="I18" s="139">
        <v>17.260000000000002</v>
      </c>
      <c r="J18" s="139">
        <v>63.04</v>
      </c>
      <c r="K18" s="98">
        <v>84.994</v>
      </c>
    </row>
    <row r="19" spans="1:11">
      <c r="A19" s="62" t="s">
        <v>32</v>
      </c>
      <c r="B19" s="97">
        <v>10.500999999999999</v>
      </c>
      <c r="C19" s="97">
        <v>22.748999999999999</v>
      </c>
      <c r="D19" s="97">
        <f>16.343+2.135+24.077</f>
        <v>42.555000000000007</v>
      </c>
      <c r="E19" s="98">
        <v>21.771999999999998</v>
      </c>
      <c r="F19" s="47"/>
      <c r="G19" s="62" t="s">
        <v>138</v>
      </c>
      <c r="H19" s="139">
        <v>401.178</v>
      </c>
      <c r="I19" s="139">
        <v>926.68399999999997</v>
      </c>
      <c r="J19" s="139">
        <v>1806.5409999999999</v>
      </c>
      <c r="K19" s="98">
        <v>2283.1460000000002</v>
      </c>
    </row>
    <row r="20" spans="1:11">
      <c r="A20" s="80" t="s">
        <v>33</v>
      </c>
      <c r="B20" s="111">
        <f t="shared" ref="B20" si="4">B19/B18</f>
        <v>0.19713153992002852</v>
      </c>
      <c r="C20" s="111">
        <f>C19/C18</f>
        <v>0.23529472606352717</v>
      </c>
      <c r="D20" s="111">
        <f>D19/D18</f>
        <v>0.20743661861981891</v>
      </c>
      <c r="E20" s="112">
        <f>E19/E18</f>
        <v>0.20966064481337368</v>
      </c>
      <c r="F20" s="47"/>
      <c r="G20" s="62" t="s">
        <v>139</v>
      </c>
      <c r="H20" s="139">
        <v>0</v>
      </c>
      <c r="I20" s="139">
        <v>0</v>
      </c>
      <c r="J20" s="139">
        <v>348.27600000000001</v>
      </c>
      <c r="K20" s="98">
        <v>791.12400000000002</v>
      </c>
    </row>
    <row r="21" spans="1:11">
      <c r="A21" s="71" t="s">
        <v>77</v>
      </c>
      <c r="B21" s="152">
        <f t="shared" ref="B21" si="5">B18-B19</f>
        <v>42.768000000000001</v>
      </c>
      <c r="C21" s="152">
        <f>C18-C19</f>
        <v>73.934000000000012</v>
      </c>
      <c r="D21" s="152">
        <f>D18-D19</f>
        <v>162.59200000000007</v>
      </c>
      <c r="E21" s="153">
        <f>E18-E19</f>
        <v>82.072000000000116</v>
      </c>
      <c r="F21" s="53"/>
      <c r="G21" s="62" t="s">
        <v>124</v>
      </c>
      <c r="H21" s="139">
        <v>0</v>
      </c>
      <c r="I21" s="139">
        <v>0</v>
      </c>
      <c r="J21" s="139">
        <v>1758.001</v>
      </c>
      <c r="K21" s="98">
        <v>3287.8620000000001</v>
      </c>
    </row>
    <row r="22" spans="1:11">
      <c r="A22" s="80" t="s">
        <v>34</v>
      </c>
      <c r="B22" s="81">
        <f>B21/B4</f>
        <v>0.30379531038009933</v>
      </c>
      <c r="C22" s="81">
        <f>C21/C4</f>
        <v>0.2960664101136869</v>
      </c>
      <c r="D22" s="81">
        <f>D21/D4</f>
        <v>0.20686636742088826</v>
      </c>
      <c r="E22" s="82">
        <f>E21/E4</f>
        <v>7.4584397727716883E-2</v>
      </c>
      <c r="F22" s="54"/>
      <c r="G22" s="74" t="s">
        <v>9</v>
      </c>
      <c r="H22" s="139"/>
      <c r="I22" s="139"/>
      <c r="J22" s="139"/>
      <c r="K22" s="98"/>
    </row>
    <row r="23" spans="1:11">
      <c r="A23" s="80" t="s">
        <v>25</v>
      </c>
      <c r="B23" s="6" t="s">
        <v>128</v>
      </c>
      <c r="C23" s="6">
        <f>C21/B21-1</f>
        <v>0.72872240927796517</v>
      </c>
      <c r="D23" s="6">
        <f>D21/C21-1</f>
        <v>1.1991505937728251</v>
      </c>
      <c r="E23" s="88"/>
      <c r="F23" s="55"/>
      <c r="G23" s="75" t="s">
        <v>21</v>
      </c>
      <c r="H23" s="139">
        <v>4.8529999999999998</v>
      </c>
      <c r="I23" s="139">
        <v>7.9669999999999996</v>
      </c>
      <c r="J23" s="139">
        <v>56.96</v>
      </c>
      <c r="K23" s="98">
        <v>63.597000000000001</v>
      </c>
    </row>
    <row r="24" spans="1:11">
      <c r="A24" s="80" t="s">
        <v>142</v>
      </c>
      <c r="B24" s="6" t="s">
        <v>128</v>
      </c>
      <c r="C24" s="6">
        <f>-C25</f>
        <v>0</v>
      </c>
      <c r="D24" s="6">
        <f>((D21/B21)^(1/3)-1)</f>
        <v>0.56072628257350954</v>
      </c>
      <c r="E24" s="88"/>
      <c r="F24" s="53"/>
      <c r="G24" s="62" t="s">
        <v>123</v>
      </c>
      <c r="H24" s="139">
        <v>0</v>
      </c>
      <c r="I24" s="139">
        <v>0</v>
      </c>
      <c r="J24" s="139">
        <v>0.51500000000000001</v>
      </c>
      <c r="K24" s="98">
        <v>24.08</v>
      </c>
    </row>
    <row r="25" spans="1:11">
      <c r="A25" s="62" t="s">
        <v>35</v>
      </c>
      <c r="B25" s="97">
        <v>0</v>
      </c>
      <c r="C25" s="97">
        <v>0</v>
      </c>
      <c r="D25" s="97">
        <v>0</v>
      </c>
      <c r="E25" s="98">
        <v>0</v>
      </c>
      <c r="F25" s="56"/>
      <c r="G25" s="62" t="s">
        <v>10</v>
      </c>
      <c r="H25" s="142">
        <v>0</v>
      </c>
      <c r="I25" s="142">
        <v>16.317</v>
      </c>
      <c r="J25" s="142">
        <v>47.332000000000001</v>
      </c>
      <c r="K25" s="104">
        <v>110.911</v>
      </c>
    </row>
    <row r="26" spans="1:11">
      <c r="A26" s="72" t="s">
        <v>38</v>
      </c>
      <c r="B26" s="154">
        <f t="shared" ref="B26:C26" si="6">B21+B25</f>
        <v>42.768000000000001</v>
      </c>
      <c r="C26" s="154">
        <f t="shared" si="6"/>
        <v>73.934000000000012</v>
      </c>
      <c r="D26" s="154">
        <f>D21+D25</f>
        <v>162.59200000000007</v>
      </c>
      <c r="E26" s="155">
        <f>E21+E25</f>
        <v>82.072000000000116</v>
      </c>
      <c r="F26" s="50"/>
      <c r="G26" s="77" t="s">
        <v>7</v>
      </c>
      <c r="H26" s="99">
        <f t="shared" ref="H26:K26" si="7">SUM(H18:H25)</f>
        <v>414.00799999999998</v>
      </c>
      <c r="I26" s="99">
        <f t="shared" si="7"/>
        <v>968.22799999999995</v>
      </c>
      <c r="J26" s="99">
        <f t="shared" si="7"/>
        <v>4080.665</v>
      </c>
      <c r="K26" s="100">
        <f t="shared" si="7"/>
        <v>6645.7139999999999</v>
      </c>
    </row>
    <row r="27" spans="1:11">
      <c r="A27" s="80" t="s">
        <v>25</v>
      </c>
      <c r="B27" s="6" t="s">
        <v>128</v>
      </c>
      <c r="C27" s="6">
        <f>C26/B26-1</f>
        <v>0.72872240927796517</v>
      </c>
      <c r="D27" s="6">
        <f>D26/C26-1</f>
        <v>1.1991505937728251</v>
      </c>
      <c r="E27" s="88"/>
      <c r="F27" s="53"/>
      <c r="G27" s="62"/>
      <c r="H27" s="97"/>
      <c r="I27" s="97"/>
      <c r="J27" s="97"/>
      <c r="K27" s="98"/>
    </row>
    <row r="28" spans="1:11">
      <c r="A28" s="80" t="s">
        <v>142</v>
      </c>
      <c r="B28" s="6" t="s">
        <v>128</v>
      </c>
      <c r="C28" s="6">
        <f>-C29</f>
        <v>0</v>
      </c>
      <c r="D28" s="6">
        <f>((D26/B26)^(1/3)-1)</f>
        <v>0.56072628257350954</v>
      </c>
      <c r="E28" s="88"/>
      <c r="F28" s="53"/>
      <c r="G28" s="73" t="s">
        <v>11</v>
      </c>
      <c r="H28" s="97"/>
      <c r="I28" s="97"/>
      <c r="J28" s="97"/>
      <c r="K28" s="98"/>
    </row>
    <row r="29" spans="1:11">
      <c r="A29" s="62" t="s">
        <v>36</v>
      </c>
      <c r="E29" s="76"/>
      <c r="F29" s="53"/>
      <c r="G29" s="73"/>
      <c r="H29" s="97"/>
      <c r="I29" s="97"/>
      <c r="J29" s="97"/>
      <c r="K29" s="98"/>
    </row>
    <row r="30" spans="1:11">
      <c r="A30" s="75" t="s">
        <v>39</v>
      </c>
      <c r="B30" s="156">
        <v>2.33</v>
      </c>
      <c r="C30" s="156">
        <v>3.6</v>
      </c>
      <c r="D30" s="156">
        <v>5.92</v>
      </c>
      <c r="E30" s="157">
        <v>3.08</v>
      </c>
      <c r="F30" s="52"/>
      <c r="G30" s="74" t="s">
        <v>9</v>
      </c>
      <c r="H30" s="97"/>
      <c r="I30" s="97"/>
      <c r="J30" s="97"/>
      <c r="K30" s="98"/>
    </row>
    <row r="31" spans="1:11">
      <c r="A31" s="75" t="s">
        <v>40</v>
      </c>
      <c r="B31" s="156">
        <v>2.33</v>
      </c>
      <c r="C31" s="156">
        <v>3.29</v>
      </c>
      <c r="D31" s="156">
        <v>5.41</v>
      </c>
      <c r="E31" s="157">
        <v>2.92</v>
      </c>
      <c r="F31" s="48"/>
      <c r="G31" s="75" t="s">
        <v>13</v>
      </c>
      <c r="H31" s="139">
        <v>0</v>
      </c>
      <c r="I31" s="139">
        <v>0</v>
      </c>
      <c r="J31" s="139">
        <v>0.33100000000000002</v>
      </c>
      <c r="K31" s="98">
        <v>10.326000000000001</v>
      </c>
    </row>
    <row r="32" spans="1:11">
      <c r="A32" s="80" t="s">
        <v>25</v>
      </c>
      <c r="B32" s="6" t="s">
        <v>128</v>
      </c>
      <c r="C32" s="6">
        <f>C31/B31-1</f>
        <v>0.41201716738197414</v>
      </c>
      <c r="D32" s="6">
        <f>D31/C31-1</f>
        <v>0.64437689969604861</v>
      </c>
      <c r="E32" s="88"/>
      <c r="F32" s="95"/>
      <c r="G32" s="75" t="s">
        <v>12</v>
      </c>
      <c r="H32" s="139">
        <v>74.504000000000005</v>
      </c>
      <c r="I32" s="139">
        <v>97.542000000000002</v>
      </c>
      <c r="J32" s="139">
        <v>496.50599999999997</v>
      </c>
      <c r="K32" s="98">
        <v>764.202</v>
      </c>
    </row>
    <row r="33" spans="1:15" ht="15" thickBot="1">
      <c r="A33" s="92" t="s">
        <v>142</v>
      </c>
      <c r="B33" s="128" t="s">
        <v>128</v>
      </c>
      <c r="C33" s="128" t="s">
        <v>128</v>
      </c>
      <c r="D33" s="93">
        <f>((D31/B31)^(1/3)-1)</f>
        <v>0.3241802760797321</v>
      </c>
      <c r="E33" s="96"/>
      <c r="F33" s="47"/>
      <c r="G33" s="75" t="s">
        <v>14</v>
      </c>
      <c r="H33" s="139">
        <v>10.034000000000001</v>
      </c>
      <c r="I33" s="139">
        <v>314.99700000000001</v>
      </c>
      <c r="J33" s="139">
        <v>429.988</v>
      </c>
      <c r="K33" s="98">
        <v>575.72799999999995</v>
      </c>
    </row>
    <row r="34" spans="1:15" ht="15" thickBot="1">
      <c r="A34" s="62"/>
      <c r="F34" s="53"/>
      <c r="G34" s="75" t="s">
        <v>21</v>
      </c>
      <c r="H34" s="139">
        <v>2.1779999999999999</v>
      </c>
      <c r="I34" s="139">
        <v>9.1880000000000006</v>
      </c>
      <c r="J34" s="139">
        <v>25.111999999999998</v>
      </c>
      <c r="K34" s="98">
        <v>37.512999999999998</v>
      </c>
      <c r="N34" s="117"/>
    </row>
    <row r="35" spans="1:15">
      <c r="A35" s="59" t="s">
        <v>41</v>
      </c>
      <c r="B35" s="60" t="s">
        <v>120</v>
      </c>
      <c r="C35" s="60" t="s">
        <v>129</v>
      </c>
      <c r="D35" s="60" t="s">
        <v>133</v>
      </c>
      <c r="E35" s="61" t="s">
        <v>136</v>
      </c>
      <c r="F35" s="48"/>
      <c r="G35" s="62" t="s">
        <v>15</v>
      </c>
      <c r="H35" s="139">
        <v>16.289000000000001</v>
      </c>
      <c r="I35" s="139">
        <v>60.374000000000002</v>
      </c>
      <c r="J35" s="139">
        <v>185.03899999999999</v>
      </c>
      <c r="K35" s="98">
        <v>484.34199999999998</v>
      </c>
    </row>
    <row r="36" spans="1:15">
      <c r="A36" s="62" t="s">
        <v>42</v>
      </c>
      <c r="B36" s="139">
        <v>3.9980000000000002</v>
      </c>
      <c r="C36" s="139">
        <v>10.034000000000001</v>
      </c>
      <c r="D36" s="158">
        <f>C43</f>
        <v>314.99699999999996</v>
      </c>
      <c r="E36" s="140">
        <v>429.988</v>
      </c>
      <c r="F36" s="48"/>
      <c r="G36" s="77" t="s">
        <v>11</v>
      </c>
      <c r="H36" s="99">
        <f t="shared" ref="H36:K36" si="8">SUM(H31:H35)</f>
        <v>103.00500000000001</v>
      </c>
      <c r="I36" s="99">
        <f t="shared" si="8"/>
        <v>482.101</v>
      </c>
      <c r="J36" s="99">
        <f t="shared" si="8"/>
        <v>1136.9760000000001</v>
      </c>
      <c r="K36" s="100">
        <f t="shared" si="8"/>
        <v>1872.1109999999999</v>
      </c>
    </row>
    <row r="37" spans="1:15">
      <c r="A37" s="75" t="s">
        <v>43</v>
      </c>
      <c r="B37" s="139">
        <v>-4.5490000000000004</v>
      </c>
      <c r="C37" s="139">
        <v>75.682000000000002</v>
      </c>
      <c r="D37" s="139">
        <v>9.4749999999999996</v>
      </c>
      <c r="E37" s="140">
        <v>233.62299999999999</v>
      </c>
      <c r="G37" s="62"/>
      <c r="H37" s="97"/>
      <c r="I37" s="97"/>
      <c r="J37" s="97"/>
      <c r="K37" s="98"/>
    </row>
    <row r="38" spans="1:15">
      <c r="A38" s="75" t="s">
        <v>44</v>
      </c>
      <c r="B38" s="139">
        <v>-244.536</v>
      </c>
      <c r="C38" s="139">
        <v>-447.10500000000002</v>
      </c>
      <c r="D38" s="158">
        <v>-2729.6329999999998</v>
      </c>
      <c r="E38" s="140">
        <v>-2227.1309999999999</v>
      </c>
      <c r="G38" s="74" t="s">
        <v>16</v>
      </c>
      <c r="H38" s="97"/>
      <c r="I38" s="97"/>
      <c r="J38" s="97"/>
      <c r="K38" s="98"/>
    </row>
    <row r="39" spans="1:15">
      <c r="A39" s="75" t="s">
        <v>45</v>
      </c>
      <c r="B39" s="139">
        <v>255.12</v>
      </c>
      <c r="C39" s="139">
        <v>676.38599999999997</v>
      </c>
      <c r="D39" s="139">
        <v>2835.1489999999999</v>
      </c>
      <c r="E39" s="140">
        <v>1878.492</v>
      </c>
      <c r="F39" s="2"/>
      <c r="G39" s="62" t="s">
        <v>17</v>
      </c>
      <c r="H39" s="139">
        <v>13.519</v>
      </c>
      <c r="I39" s="139">
        <v>44.244</v>
      </c>
      <c r="J39" s="139">
        <v>123.84399999999999</v>
      </c>
      <c r="K39" s="98">
        <v>330.72699999999998</v>
      </c>
    </row>
    <row r="40" spans="1:15">
      <c r="A40" s="84" t="s">
        <v>46</v>
      </c>
      <c r="B40" s="159">
        <f>SUM(B37:B39)</f>
        <v>6.0349999999999966</v>
      </c>
      <c r="C40" s="159">
        <f>SUM(C37:C39)</f>
        <v>304.96299999999997</v>
      </c>
      <c r="D40" s="159">
        <f>SUM(D37:D39)</f>
        <v>114.99099999999999</v>
      </c>
      <c r="E40" s="162">
        <f>SUM(E37:E39)</f>
        <v>-115.01599999999985</v>
      </c>
      <c r="F40" s="48"/>
      <c r="G40" s="62" t="s">
        <v>23</v>
      </c>
      <c r="H40" s="139">
        <v>32.555</v>
      </c>
      <c r="I40" s="139">
        <v>43.073999999999998</v>
      </c>
      <c r="J40" s="139">
        <v>176.40100000000001</v>
      </c>
      <c r="K40" s="98">
        <v>679.84500000000003</v>
      </c>
      <c r="M40">
        <f>95.3+1143.14</f>
        <v>1238.44</v>
      </c>
      <c r="N40">
        <f>4.32+438.12</f>
        <v>442.44</v>
      </c>
      <c r="O40">
        <f>86.06+3221.21</f>
        <v>3307.27</v>
      </c>
    </row>
    <row r="41" spans="1:15">
      <c r="A41" s="84" t="s">
        <v>144</v>
      </c>
      <c r="B41" s="159"/>
      <c r="C41" s="159"/>
      <c r="D41" s="159"/>
      <c r="E41" s="162">
        <v>258.08600000000001</v>
      </c>
      <c r="F41" s="48"/>
      <c r="G41" s="62" t="s">
        <v>22</v>
      </c>
      <c r="H41" s="139">
        <v>4.976</v>
      </c>
      <c r="I41" s="139">
        <v>1.3480000000000001</v>
      </c>
      <c r="J41" s="139">
        <v>29.172999999999998</v>
      </c>
      <c r="K41" s="98">
        <v>72.218999999999994</v>
      </c>
    </row>
    <row r="42" spans="1:15">
      <c r="A42" s="84" t="s">
        <v>145</v>
      </c>
      <c r="B42" s="159"/>
      <c r="C42" s="159"/>
      <c r="D42" s="159"/>
      <c r="E42" s="162">
        <v>2.67</v>
      </c>
      <c r="F42" s="53"/>
      <c r="G42" s="71" t="s">
        <v>16</v>
      </c>
      <c r="H42" s="99">
        <f>SUM(H39:H41)+H11</f>
        <v>51.345999999999997</v>
      </c>
      <c r="I42" s="99">
        <f>SUM(I39:I41)+I11</f>
        <v>98.197000000000003</v>
      </c>
      <c r="J42" s="99">
        <f>SUM(J39:J41)+J11</f>
        <v>388.81799999999998</v>
      </c>
      <c r="K42" s="100">
        <f>SUM(K39:K41)+K11</f>
        <v>1159.7049999999999</v>
      </c>
    </row>
    <row r="43" spans="1:15" ht="15" thickBot="1">
      <c r="A43" s="78" t="s">
        <v>47</v>
      </c>
      <c r="B43" s="160">
        <f>B36+B40</f>
        <v>10.032999999999998</v>
      </c>
      <c r="C43" s="160">
        <f>C36+C40</f>
        <v>314.99699999999996</v>
      </c>
      <c r="D43" s="160">
        <f>D36+D40</f>
        <v>429.98799999999994</v>
      </c>
      <c r="E43" s="163">
        <f>E36+E40+E41+E42</f>
        <v>575.72800000000018</v>
      </c>
      <c r="F43" s="2"/>
      <c r="G43" s="71" t="s">
        <v>18</v>
      </c>
      <c r="H43" s="102">
        <f>H36-H42</f>
        <v>51.659000000000013</v>
      </c>
      <c r="I43" s="102">
        <f t="shared" ref="I43:K43" si="9">I36-I42</f>
        <v>383.904</v>
      </c>
      <c r="J43" s="102">
        <f t="shared" si="9"/>
        <v>748.15800000000013</v>
      </c>
      <c r="K43" s="102">
        <f t="shared" si="9"/>
        <v>712.40599999999995</v>
      </c>
    </row>
    <row r="44" spans="1:15" ht="15" thickBot="1">
      <c r="A44" s="62"/>
      <c r="G44" s="73" t="s">
        <v>125</v>
      </c>
      <c r="H44" s="97"/>
      <c r="I44" s="97"/>
      <c r="J44" s="97"/>
      <c r="K44" s="98"/>
    </row>
    <row r="45" spans="1:15">
      <c r="A45" s="59" t="s">
        <v>48</v>
      </c>
      <c r="B45" s="60" t="s">
        <v>120</v>
      </c>
      <c r="C45" s="60" t="s">
        <v>129</v>
      </c>
      <c r="D45" s="60" t="s">
        <v>133</v>
      </c>
      <c r="E45" s="61" t="s">
        <v>136</v>
      </c>
      <c r="G45" s="62" t="s">
        <v>140</v>
      </c>
      <c r="H45" s="139">
        <v>10.172000000000001</v>
      </c>
      <c r="I45" s="139">
        <v>32.920999999999999</v>
      </c>
      <c r="J45" s="139">
        <v>47.372</v>
      </c>
      <c r="K45" s="98">
        <v>76.796999999999997</v>
      </c>
    </row>
    <row r="46" spans="1:15">
      <c r="A46" s="62" t="s">
        <v>49</v>
      </c>
      <c r="B46" s="97">
        <f>B37</f>
        <v>-4.5490000000000004</v>
      </c>
      <c r="C46" s="97">
        <f>C37</f>
        <v>75.682000000000002</v>
      </c>
      <c r="D46" s="97">
        <f>D37</f>
        <v>9.4749999999999996</v>
      </c>
      <c r="E46" s="98">
        <f>E37</f>
        <v>233.62299999999999</v>
      </c>
      <c r="G46" s="62" t="s">
        <v>127</v>
      </c>
      <c r="H46" s="138"/>
      <c r="I46" s="138"/>
      <c r="J46" s="143"/>
      <c r="K46" s="105"/>
      <c r="L46" s="57"/>
    </row>
    <row r="47" spans="1:15">
      <c r="A47" s="64" t="s">
        <v>50</v>
      </c>
      <c r="B47" s="130">
        <v>-244.45599999999999</v>
      </c>
      <c r="C47" s="113">
        <v>-447.17899999999997</v>
      </c>
      <c r="D47" s="113">
        <v>-907.36300000000006</v>
      </c>
      <c r="E47" s="114">
        <f>-817.502+17.393</f>
        <v>-800.10899999999992</v>
      </c>
      <c r="G47" s="62" t="s">
        <v>22</v>
      </c>
      <c r="H47" s="139">
        <v>6.6890000000000001</v>
      </c>
      <c r="I47" s="139">
        <v>11.904999999999999</v>
      </c>
      <c r="J47" s="138">
        <v>26.369</v>
      </c>
      <c r="K47" s="98">
        <v>34.520000000000003</v>
      </c>
    </row>
    <row r="48" spans="1:15" ht="15" thickBot="1">
      <c r="A48" s="78" t="s">
        <v>51</v>
      </c>
      <c r="B48" s="109">
        <f t="shared" ref="B48:D48" si="10">B46-B47</f>
        <v>239.90699999999998</v>
      </c>
      <c r="C48" s="109">
        <f t="shared" si="10"/>
        <v>522.86099999999999</v>
      </c>
      <c r="D48" s="109">
        <f t="shared" si="10"/>
        <v>916.83800000000008</v>
      </c>
      <c r="E48" s="110">
        <f>E46-E47</f>
        <v>1033.732</v>
      </c>
      <c r="G48" s="62"/>
      <c r="H48" s="106">
        <f>SUM(H45:H47)+H10</f>
        <v>25.282</v>
      </c>
      <c r="I48" s="106">
        <f>SUM(I45:I47)+I10</f>
        <v>89.012</v>
      </c>
      <c r="J48" s="106">
        <f>SUM(J45:J47)+J10</f>
        <v>141.548</v>
      </c>
      <c r="K48" s="107">
        <f>SUM(K45:K47)+K10</f>
        <v>1149.3530000000001</v>
      </c>
    </row>
    <row r="49" spans="1:16" ht="15" thickBot="1">
      <c r="A49" s="62"/>
      <c r="G49" s="62"/>
      <c r="H49" s="101"/>
      <c r="I49" s="101"/>
      <c r="J49" s="101"/>
      <c r="K49" s="108"/>
      <c r="M49" s="57"/>
    </row>
    <row r="50" spans="1:16">
      <c r="A50" s="59" t="s">
        <v>48</v>
      </c>
      <c r="B50" s="60" t="s">
        <v>120</v>
      </c>
      <c r="C50" s="60" t="s">
        <v>129</v>
      </c>
      <c r="D50" s="60" t="s">
        <v>133</v>
      </c>
      <c r="E50" s="61" t="s">
        <v>136</v>
      </c>
      <c r="F50" s="118"/>
      <c r="G50" s="71" t="s">
        <v>131</v>
      </c>
      <c r="H50" s="102">
        <f>H6+H42+H48+H7+H9+H8</f>
        <v>517.01400000000001</v>
      </c>
      <c r="I50" s="102">
        <f>I6+I42+I48+I7+I9+I8</f>
        <v>1450.3249999999998</v>
      </c>
      <c r="J50" s="102">
        <f>J6+J42+J48+J7+J9+J8</f>
        <v>5217.6409999999996</v>
      </c>
      <c r="K50" s="103">
        <f>K6+K42+K48+K7+K9+K8</f>
        <v>8517.8250000000007</v>
      </c>
    </row>
    <row r="51" spans="1:16" ht="15" thickBot="1">
      <c r="A51" s="62" t="s">
        <v>87</v>
      </c>
      <c r="B51" s="129"/>
      <c r="C51" s="129">
        <f>21187460/10^6</f>
        <v>21.187460000000002</v>
      </c>
      <c r="D51" s="129">
        <f>23973407/10^6</f>
        <v>23.973407000000002</v>
      </c>
      <c r="E51" s="119">
        <f>23973407/10^6</f>
        <v>23.973407000000002</v>
      </c>
      <c r="G51" s="78" t="s">
        <v>19</v>
      </c>
      <c r="H51" s="109">
        <f>H26+H36</f>
        <v>517.01300000000003</v>
      </c>
      <c r="I51" s="109">
        <f t="shared" ref="H51:K51" si="11">I26+I36</f>
        <v>1450.329</v>
      </c>
      <c r="J51" s="109">
        <f t="shared" si="11"/>
        <v>5217.6409999999996</v>
      </c>
      <c r="K51" s="110">
        <f t="shared" si="11"/>
        <v>8517.8250000000007</v>
      </c>
    </row>
    <row r="52" spans="1:16">
      <c r="A52" s="62" t="s">
        <v>88</v>
      </c>
      <c r="B52" s="97"/>
      <c r="C52" s="97">
        <v>10</v>
      </c>
      <c r="D52" s="97">
        <v>10</v>
      </c>
      <c r="E52" s="98">
        <v>10</v>
      </c>
      <c r="G52" s="62"/>
      <c r="K52" s="3"/>
    </row>
    <row r="53" spans="1:16" ht="15" thickBot="1">
      <c r="A53" s="64" t="s">
        <v>55</v>
      </c>
      <c r="B53" s="113">
        <f>B51*H55</f>
        <v>0</v>
      </c>
      <c r="C53" s="113">
        <f>C51*I55</f>
        <v>6504.5502200000001</v>
      </c>
      <c r="D53" s="113">
        <f>D51*J55</f>
        <v>6441.6544609000002</v>
      </c>
      <c r="E53" s="114">
        <f>E51*K55</f>
        <v>9364.0127742000004</v>
      </c>
      <c r="L53" s="3"/>
      <c r="M53" s="3"/>
      <c r="P53" s="76"/>
    </row>
    <row r="54" spans="1:16">
      <c r="A54" s="64" t="s">
        <v>53</v>
      </c>
      <c r="B54" s="113">
        <f>H12</f>
        <v>8.7169999999999987</v>
      </c>
      <c r="C54" s="113">
        <f>I12</f>
        <v>53.716999999999999</v>
      </c>
      <c r="D54" s="113">
        <f>J12</f>
        <v>127.20699999999999</v>
      </c>
      <c r="E54" s="114">
        <f>K12</f>
        <v>1114.95</v>
      </c>
      <c r="G54" s="59" t="s">
        <v>48</v>
      </c>
      <c r="H54" s="60" t="s">
        <v>120</v>
      </c>
      <c r="I54" s="60" t="s">
        <v>129</v>
      </c>
      <c r="J54" s="60" t="s">
        <v>133</v>
      </c>
      <c r="K54" s="61" t="s">
        <v>136</v>
      </c>
    </row>
    <row r="55" spans="1:16">
      <c r="A55" s="64" t="s">
        <v>54</v>
      </c>
      <c r="B55" s="113">
        <f>H33</f>
        <v>10.034000000000001</v>
      </c>
      <c r="C55" s="113">
        <f>I33</f>
        <v>314.99700000000001</v>
      </c>
      <c r="D55" s="113">
        <f>J33</f>
        <v>429.988</v>
      </c>
      <c r="E55" s="114">
        <f>K33</f>
        <v>575.72799999999995</v>
      </c>
      <c r="G55" s="62" t="s">
        <v>57</v>
      </c>
      <c r="H55" s="54"/>
      <c r="I55" s="120">
        <v>307</v>
      </c>
      <c r="J55" s="120">
        <v>268.7</v>
      </c>
      <c r="K55" s="121">
        <v>390.6</v>
      </c>
    </row>
    <row r="56" spans="1:16" ht="15" thickBot="1">
      <c r="A56" s="78" t="s">
        <v>56</v>
      </c>
      <c r="B56" s="109">
        <f>SUM(B53:B54)-B55</f>
        <v>-1.3170000000000019</v>
      </c>
      <c r="C56" s="109">
        <f>SUM(C53:C54)-C55</f>
        <v>6243.2702199999994</v>
      </c>
      <c r="D56" s="109">
        <f>SUM(D53:D54)-D55</f>
        <v>6138.8734609000003</v>
      </c>
      <c r="E56" s="110">
        <f>SUM(E53:E54)-E55</f>
        <v>9903.234774200002</v>
      </c>
      <c r="F56" s="87"/>
      <c r="G56" s="64" t="s">
        <v>58</v>
      </c>
      <c r="H56" s="65">
        <f>B31</f>
        <v>2.33</v>
      </c>
      <c r="I56" s="65">
        <f t="shared" ref="I56:J56" si="12">C31</f>
        <v>3.29</v>
      </c>
      <c r="J56" s="65">
        <f t="shared" si="12"/>
        <v>5.41</v>
      </c>
      <c r="K56" s="66">
        <f>E31+D31-1.43</f>
        <v>6.9</v>
      </c>
    </row>
    <row r="57" spans="1:16">
      <c r="A57" s="86"/>
      <c r="B57" s="86"/>
      <c r="C57" s="87"/>
      <c r="D57" s="87"/>
      <c r="E57" s="87"/>
      <c r="G57" s="64" t="s">
        <v>59</v>
      </c>
      <c r="H57" s="65" t="e">
        <f>H6/B51</f>
        <v>#DIV/0!</v>
      </c>
      <c r="I57" s="65">
        <f>I6/C51</f>
        <v>57.334668714418811</v>
      </c>
      <c r="J57" s="65">
        <f>J6/D51</f>
        <v>185.89372799619173</v>
      </c>
      <c r="K57" s="66">
        <f>K6/E51</f>
        <v>215.11231173775175</v>
      </c>
      <c r="L57" s="54"/>
    </row>
    <row r="58" spans="1:16">
      <c r="G58" s="62" t="s">
        <v>60</v>
      </c>
      <c r="H58" s="3"/>
      <c r="I58" s="3"/>
      <c r="J58" s="3"/>
      <c r="K58" s="66">
        <f>K7/E52</f>
        <v>0</v>
      </c>
    </row>
    <row r="59" spans="1:16">
      <c r="A59" s="7"/>
      <c r="B59" s="7"/>
      <c r="G59" s="64" t="s">
        <v>61</v>
      </c>
      <c r="H59" s="65">
        <f>H55/H56</f>
        <v>0</v>
      </c>
      <c r="I59" s="65">
        <f>I55/I56</f>
        <v>93.313069908814583</v>
      </c>
      <c r="J59" s="65">
        <f t="shared" ref="J59:K59" si="13">J55/J56</f>
        <v>49.667282809611827</v>
      </c>
      <c r="K59" s="66">
        <f t="shared" si="13"/>
        <v>56.608695652173914</v>
      </c>
    </row>
    <row r="60" spans="1:16">
      <c r="G60" s="64" t="s">
        <v>62</v>
      </c>
      <c r="H60" s="65" t="e">
        <f>H55/H57</f>
        <v>#DIV/0!</v>
      </c>
      <c r="I60" s="65">
        <f>I55/I57</f>
        <v>5.3545264476743037</v>
      </c>
      <c r="J60" s="65">
        <f t="shared" ref="J60:K60" si="14">J55/J57</f>
        <v>1.4454495205212339</v>
      </c>
      <c r="K60" s="66">
        <f t="shared" si="14"/>
        <v>1.8157956503958232</v>
      </c>
    </row>
    <row r="61" spans="1:16">
      <c r="G61" s="64" t="s">
        <v>63</v>
      </c>
      <c r="H61" s="65">
        <f>+B56/B11</f>
        <v>-2.5337155389676638E-2</v>
      </c>
      <c r="I61" s="65">
        <f>+C56/C11</f>
        <v>57.475445063291133</v>
      </c>
      <c r="J61" s="65">
        <f>+D56/D11</f>
        <v>25.10078325912114</v>
      </c>
      <c r="K61" s="66">
        <f>+E56/E11</f>
        <v>49.168552206897225</v>
      </c>
    </row>
    <row r="62" spans="1:16">
      <c r="G62" s="64" t="s">
        <v>76</v>
      </c>
      <c r="H62" s="65">
        <f>B4/SUM(H18:H19)</f>
        <v>0.34407253974655083</v>
      </c>
      <c r="I62" s="65">
        <f>C4/SUM(I18:I19)</f>
        <v>0.26455065130982347</v>
      </c>
      <c r="J62" s="65">
        <f>D4/SUM(J18:J19)</f>
        <v>0.42040221846499298</v>
      </c>
      <c r="K62" s="66">
        <f>E4/SUM(K18:K19)</f>
        <v>0.46466467354126018</v>
      </c>
    </row>
    <row r="63" spans="1:16">
      <c r="G63" s="64" t="s">
        <v>64</v>
      </c>
      <c r="H63" s="67">
        <f>B21/H6</f>
        <v>9.7114803831184468E-2</v>
      </c>
      <c r="I63" s="67">
        <f>C21/I6</f>
        <v>6.0862249501142607E-2</v>
      </c>
      <c r="J63" s="67">
        <f>D21/J6</f>
        <v>3.6484187388056942E-2</v>
      </c>
      <c r="K63" s="122">
        <f>E21/K6</f>
        <v>1.5914756228215206E-2</v>
      </c>
    </row>
    <row r="64" spans="1:16">
      <c r="G64" s="64" t="s">
        <v>65</v>
      </c>
      <c r="H64" s="67">
        <f>(B18+B17)/H14</f>
        <v>0.11544061434326601</v>
      </c>
      <c r="I64" s="67">
        <f t="shared" ref="I64:K64" si="15">(C18+C17)/I14</f>
        <v>7.354111445070291E-2</v>
      </c>
      <c r="J64" s="67">
        <f t="shared" si="15"/>
        <v>4.3909457853394104E-2</v>
      </c>
      <c r="K64" s="122">
        <f t="shared" si="15"/>
        <v>1.9091289622892818E-2</v>
      </c>
    </row>
    <row r="65" spans="7:19">
      <c r="G65" s="64" t="s">
        <v>66</v>
      </c>
      <c r="H65" s="65">
        <f>H12/H6</f>
        <v>1.9793998900964154E-2</v>
      </c>
      <c r="I65" s="65">
        <f t="shared" ref="I65:K65" si="16">I12/I6</f>
        <v>4.4219675067666796E-2</v>
      </c>
      <c r="J65" s="65">
        <f t="shared" si="16"/>
        <v>2.8544110565541708E-2</v>
      </c>
      <c r="K65" s="66">
        <f t="shared" si="16"/>
        <v>0.21620232791510527</v>
      </c>
    </row>
    <row r="66" spans="7:19">
      <c r="G66" s="64" t="s">
        <v>67</v>
      </c>
      <c r="H66" s="65">
        <f>(SUM(H10:H11)-SUM(H33))/H6</f>
        <v>-2.9905582829608617E-3</v>
      </c>
      <c r="I66" s="65">
        <f>(SUM(I10:I11)-SUM(I33))/I6</f>
        <v>-0.21508492100601265</v>
      </c>
      <c r="J66" s="65">
        <f t="shared" ref="J66:K66" si="17">(SUM(J10:J11)-SUM(J33))/J6</f>
        <v>-6.7941342387960443E-2</v>
      </c>
      <c r="K66" s="66">
        <f t="shared" si="17"/>
        <v>0.10456168587204709</v>
      </c>
    </row>
    <row r="67" spans="7:19">
      <c r="G67" s="64" t="s">
        <v>68</v>
      </c>
      <c r="H67" s="68">
        <v>0</v>
      </c>
      <c r="I67" s="68">
        <f>I58/I55</f>
        <v>0</v>
      </c>
      <c r="J67" s="68">
        <f>J58/J55</f>
        <v>0</v>
      </c>
      <c r="K67" s="123">
        <f>K58/K55</f>
        <v>0</v>
      </c>
    </row>
    <row r="68" spans="7:19">
      <c r="G68" s="64" t="s">
        <v>69</v>
      </c>
      <c r="H68" s="90">
        <f>AVERAGE(H32:H32)/B4*365</f>
        <v>193.16773098260398</v>
      </c>
      <c r="I68" s="90">
        <f>AVERAGE(H32:I32)/C4*365</f>
        <v>125.73389903131894</v>
      </c>
      <c r="J68" s="90">
        <f>AVERAGE(I32:J32)/D4*365</f>
        <v>137.93520412837034</v>
      </c>
      <c r="K68" s="124">
        <f>AVERAGE(J32:K32)/E4*365</f>
        <v>209.08859668972212</v>
      </c>
    </row>
    <row r="69" spans="7:19">
      <c r="G69" s="64" t="s">
        <v>70</v>
      </c>
      <c r="H69" s="144" t="s">
        <v>147</v>
      </c>
      <c r="I69" s="144" t="s">
        <v>147</v>
      </c>
      <c r="J69" s="144" t="s">
        <v>147</v>
      </c>
      <c r="K69" s="145" t="s">
        <v>147</v>
      </c>
    </row>
    <row r="70" spans="7:19">
      <c r="G70" s="64" t="s">
        <v>72</v>
      </c>
      <c r="H70" s="144" t="s">
        <v>147</v>
      </c>
      <c r="I70" s="144" t="s">
        <v>147</v>
      </c>
      <c r="J70" s="144" t="s">
        <v>147</v>
      </c>
      <c r="K70" s="145" t="s">
        <v>147</v>
      </c>
    </row>
    <row r="71" spans="7:19">
      <c r="G71" s="64" t="s">
        <v>73</v>
      </c>
      <c r="H71" s="90">
        <f>AVERAGE(H43:H43)/B4*365</f>
        <v>133.93712840693573</v>
      </c>
      <c r="I71" s="90">
        <f>AVERAGE(H43:I43)/C4*365</f>
        <v>318.31623091369966</v>
      </c>
      <c r="J71" s="90">
        <f>AVERAGE(I43:J43)/D4*365</f>
        <v>262.8595720480015</v>
      </c>
      <c r="K71" s="124">
        <f>AVERAGE(J43:K43)/E4*365</f>
        <v>242.2347420144294</v>
      </c>
    </row>
    <row r="72" spans="7:19">
      <c r="G72" s="64" t="s">
        <v>74</v>
      </c>
      <c r="H72" s="89" t="s">
        <v>128</v>
      </c>
      <c r="I72" s="67">
        <f>C17/I12</f>
        <v>5.1268685890872537E-2</v>
      </c>
      <c r="J72" s="67">
        <f>D17/J12</f>
        <v>5.4116518745037624E-2</v>
      </c>
      <c r="K72" s="122">
        <f>E17/K12</f>
        <v>3.2855284990358308E-2</v>
      </c>
    </row>
    <row r="73" spans="7:19" ht="15" thickBot="1">
      <c r="G73" s="69" t="s">
        <v>75</v>
      </c>
      <c r="H73" s="70">
        <f>(B18+B17)/B17</f>
        <v>110.1577868852459</v>
      </c>
      <c r="I73" s="70">
        <f t="shared" ref="I73:K73" si="18">(C18+C17)/C17</f>
        <v>36.106390704429927</v>
      </c>
      <c r="J73" s="70">
        <f t="shared" si="18"/>
        <v>30.800552004648466</v>
      </c>
      <c r="K73" s="125">
        <f t="shared" si="18"/>
        <v>3.8347892552959193</v>
      </c>
    </row>
    <row r="75" spans="7:19">
      <c r="L75" s="91"/>
      <c r="M75" s="91"/>
      <c r="N75" s="91"/>
      <c r="O75" s="91"/>
      <c r="P75" s="91"/>
      <c r="Q75" s="91"/>
      <c r="R75" s="91"/>
      <c r="S75" s="91"/>
    </row>
    <row r="76" spans="7:19">
      <c r="M76" s="2"/>
      <c r="N76" s="2"/>
      <c r="O76" s="2"/>
      <c r="P76" s="1"/>
    </row>
    <row r="77" spans="7:19">
      <c r="M77" s="2"/>
      <c r="N77" s="2"/>
      <c r="O77" s="2"/>
      <c r="P77" s="1"/>
    </row>
  </sheetData>
  <mergeCells count="2">
    <mergeCell ref="G2:K2"/>
    <mergeCell ref="A1:K1"/>
  </mergeCells>
  <phoneticPr fontId="12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C40 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2021-05-19T08:13:17Z</cp:lastPrinted>
  <dcterms:created xsi:type="dcterms:W3CDTF">2021-01-27T07:46:46Z</dcterms:created>
  <dcterms:modified xsi:type="dcterms:W3CDTF">2025-11-26T09:55:08Z</dcterms:modified>
</cp:coreProperties>
</file>