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Summary Sheet" sheetId="3" r:id="rId1"/>
  </sheets>
  <definedNames>
    <definedName name="_xlnm.Print_Area" localSheetId="0">'Summary Sheet'!$A$1:$V$73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8" i="3" l="1"/>
  <c r="Y58" i="3"/>
  <c r="X58" i="3"/>
  <c r="W58" i="3"/>
  <c r="Y59" i="3"/>
  <c r="Z55" i="3"/>
  <c r="Z35" i="3" l="1"/>
  <c r="Z30" i="3"/>
  <c r="L59" i="3" s="1"/>
  <c r="L57" i="3"/>
  <c r="L51" i="3"/>
  <c r="L50" i="3"/>
  <c r="L45" i="3"/>
  <c r="Z43" i="3"/>
  <c r="Z17" i="3"/>
  <c r="Z13" i="3"/>
  <c r="L58" i="3" s="1"/>
  <c r="Z10" i="3"/>
  <c r="L7" i="3"/>
  <c r="L22" i="3" s="1"/>
  <c r="L13" i="3" l="1"/>
  <c r="L60" i="3"/>
  <c r="Z51" i="3"/>
  <c r="Z26" i="3"/>
  <c r="Z50" i="3" s="1"/>
  <c r="Z15" i="3" s="1"/>
  <c r="L52" i="3"/>
  <c r="Z49" i="3"/>
  <c r="Z14" i="3"/>
  <c r="L24" i="3"/>
  <c r="L25" i="3"/>
  <c r="L27" i="3"/>
  <c r="L16" i="3"/>
  <c r="Y17" i="3"/>
  <c r="X17" i="3"/>
  <c r="W17" i="3"/>
  <c r="Y68" i="3"/>
  <c r="Y66" i="3"/>
  <c r="Y65" i="3"/>
  <c r="Y55" i="3"/>
  <c r="X68" i="3"/>
  <c r="X66" i="3"/>
  <c r="X55" i="3"/>
  <c r="X13" i="3"/>
  <c r="X71" i="3" s="1"/>
  <c r="Y11" i="3"/>
  <c r="Y13" i="3" s="1"/>
  <c r="Y71" i="3" s="1"/>
  <c r="Y10" i="3"/>
  <c r="X10" i="3"/>
  <c r="X14" i="3" s="1"/>
  <c r="J58" i="3"/>
  <c r="K57" i="3"/>
  <c r="K51" i="3"/>
  <c r="J51" i="3"/>
  <c r="K50" i="3"/>
  <c r="J50" i="3"/>
  <c r="K45" i="3"/>
  <c r="J45" i="3"/>
  <c r="K36" i="3"/>
  <c r="J36" i="3"/>
  <c r="K35" i="3"/>
  <c r="J35" i="3"/>
  <c r="K7" i="3"/>
  <c r="K13" i="3" s="1"/>
  <c r="Y72" i="3" s="1"/>
  <c r="J7" i="3"/>
  <c r="J13" i="3" s="1"/>
  <c r="X72" i="3" s="1"/>
  <c r="K6" i="3"/>
  <c r="K5" i="3"/>
  <c r="Y14" i="3" l="1"/>
  <c r="L31" i="3"/>
  <c r="L28" i="3"/>
  <c r="Y56" i="3"/>
  <c r="X63" i="3"/>
  <c r="Y63" i="3"/>
  <c r="X56" i="3"/>
  <c r="X59" i="3" s="1"/>
  <c r="J52" i="3"/>
  <c r="J22" i="3"/>
  <c r="K52" i="3"/>
  <c r="J16" i="3"/>
  <c r="K16" i="3"/>
  <c r="K14" i="3"/>
  <c r="K58" i="3"/>
  <c r="X38" i="3"/>
  <c r="X67" i="3" s="1"/>
  <c r="X69" i="3" s="1"/>
  <c r="Y43" i="3"/>
  <c r="J24" i="3" l="1"/>
  <c r="X62" i="3"/>
  <c r="X30" i="3"/>
  <c r="Y38" i="3"/>
  <c r="Y30" i="3"/>
  <c r="Y64" i="3" s="1"/>
  <c r="J6" i="3"/>
  <c r="K22" i="3"/>
  <c r="Y67" i="3" l="1"/>
  <c r="Y69" i="3" s="1"/>
  <c r="Y35" i="3"/>
  <c r="K24" i="3"/>
  <c r="Y62" i="3"/>
  <c r="J59" i="3"/>
  <c r="X26" i="3"/>
  <c r="X64" i="3"/>
  <c r="Y26" i="3"/>
  <c r="Y50" i="3" s="1"/>
  <c r="K59" i="3"/>
  <c r="K60" i="3" s="1"/>
  <c r="Y60" i="3" s="1"/>
  <c r="K25" i="3"/>
  <c r="K27" i="3"/>
  <c r="Y61" i="3" s="1"/>
  <c r="Y49" i="3" l="1"/>
  <c r="K31" i="3"/>
  <c r="K28" i="3"/>
  <c r="Y15" i="3"/>
  <c r="Y51" i="3"/>
  <c r="AB55" i="3"/>
  <c r="J25" i="3" l="1"/>
  <c r="I45" i="3"/>
  <c r="I7" i="3"/>
  <c r="X65" i="3"/>
  <c r="I22" i="3" l="1"/>
  <c r="I25" i="3" s="1"/>
  <c r="W35" i="3"/>
  <c r="W13" i="3"/>
  <c r="W10" i="3"/>
  <c r="W14" i="3" s="1"/>
  <c r="I13" i="3" l="1"/>
  <c r="J14" i="3" s="1"/>
  <c r="I6" i="3" l="1"/>
  <c r="I50" i="3" l="1"/>
  <c r="W66" i="3"/>
  <c r="W67" i="3"/>
  <c r="W55" i="3"/>
  <c r="X43" i="3"/>
  <c r="J5" i="3"/>
  <c r="X35" i="3" l="1"/>
  <c r="X51" i="3" l="1"/>
  <c r="X49" i="3"/>
  <c r="Y70" i="3" s="1"/>
  <c r="W43" i="3"/>
  <c r="J57" i="3"/>
  <c r="J60" i="3" s="1"/>
  <c r="X60" i="3" s="1"/>
  <c r="W68" i="3"/>
  <c r="W30" i="3"/>
  <c r="I36" i="3"/>
  <c r="I35" i="3"/>
  <c r="I5" i="3"/>
  <c r="W65" i="3"/>
  <c r="X50" i="3" l="1"/>
  <c r="W69" i="3"/>
  <c r="AA51" i="3" l="1"/>
  <c r="X15" i="3"/>
  <c r="J27" i="3"/>
  <c r="X61" i="3" s="1"/>
  <c r="I57" i="3"/>
  <c r="I59" i="3"/>
  <c r="I52" i="3"/>
  <c r="W72" i="3"/>
  <c r="H50" i="3"/>
  <c r="G50" i="3"/>
  <c r="F50" i="3"/>
  <c r="E50" i="3"/>
  <c r="D50" i="3"/>
  <c r="C50" i="3"/>
  <c r="B50" i="3"/>
  <c r="B52" i="3" s="1"/>
  <c r="W26" i="3"/>
  <c r="W49" i="3" s="1"/>
  <c r="X70" i="3" s="1"/>
  <c r="W71" i="3"/>
  <c r="J28" i="3" l="1"/>
  <c r="J31" i="3"/>
  <c r="W51" i="3"/>
  <c r="I58" i="3"/>
  <c r="I60" i="3" s="1"/>
  <c r="W60" i="3" s="1"/>
  <c r="W64" i="3"/>
  <c r="W63" i="3"/>
  <c r="W56" i="3"/>
  <c r="W59" i="3" s="1"/>
  <c r="W50" i="3"/>
  <c r="W15" i="3" s="1"/>
  <c r="I16" i="3"/>
  <c r="V65" i="3"/>
  <c r="G36" i="3"/>
  <c r="H36" i="3"/>
  <c r="K32" i="3" l="1"/>
  <c r="W62" i="3"/>
  <c r="I27" i="3"/>
  <c r="I24" i="3"/>
  <c r="V66" i="3"/>
  <c r="V67" i="3"/>
  <c r="V68" i="3"/>
  <c r="H35" i="3"/>
  <c r="H7" i="3"/>
  <c r="H6" i="3"/>
  <c r="H5" i="3"/>
  <c r="I28" i="3" l="1"/>
  <c r="W61" i="3"/>
  <c r="I31" i="3"/>
  <c r="J32" i="3" s="1"/>
  <c r="H22" i="3"/>
  <c r="H13" i="3"/>
  <c r="I14" i="3" s="1"/>
  <c r="V69" i="3"/>
  <c r="V58" i="3"/>
  <c r="R68" i="3" l="1"/>
  <c r="R67" i="3"/>
  <c r="R66" i="3"/>
  <c r="R65" i="3"/>
  <c r="T68" i="3"/>
  <c r="S68" i="3"/>
  <c r="T67" i="3"/>
  <c r="S67" i="3"/>
  <c r="T66" i="3"/>
  <c r="S66" i="3"/>
  <c r="U55" i="3"/>
  <c r="T30" i="3"/>
  <c r="S30" i="3"/>
  <c r="E41" i="3"/>
  <c r="C41" i="3"/>
  <c r="D23" i="3"/>
  <c r="C23" i="3"/>
  <c r="B23" i="3"/>
  <c r="T69" i="3" l="1"/>
  <c r="R69" i="3"/>
  <c r="S69" i="3"/>
  <c r="H57" i="3"/>
  <c r="G57" i="3"/>
  <c r="V35" i="3"/>
  <c r="U35" i="3"/>
  <c r="T35" i="3"/>
  <c r="R35" i="3"/>
  <c r="Q35" i="3"/>
  <c r="P35" i="3"/>
  <c r="S35" i="3"/>
  <c r="U10" i="3"/>
  <c r="U14" i="3" s="1"/>
  <c r="T10" i="3"/>
  <c r="T14" i="3" s="1"/>
  <c r="S10" i="3"/>
  <c r="S14" i="3" s="1"/>
  <c r="R10" i="3"/>
  <c r="R14" i="3" s="1"/>
  <c r="Q10" i="3"/>
  <c r="Q14" i="3" s="1"/>
  <c r="P10" i="3"/>
  <c r="P14" i="3" s="1"/>
  <c r="V10" i="3"/>
  <c r="U17" i="3"/>
  <c r="T17" i="3"/>
  <c r="S17" i="3"/>
  <c r="R17" i="3"/>
  <c r="Q17" i="3"/>
  <c r="P17" i="3"/>
  <c r="V17" i="3"/>
  <c r="V43" i="3"/>
  <c r="U43" i="3"/>
  <c r="T43" i="3"/>
  <c r="S43" i="3"/>
  <c r="R43" i="3"/>
  <c r="Q43" i="3"/>
  <c r="P43" i="3"/>
  <c r="B7" i="3"/>
  <c r="B13" i="3" s="1"/>
  <c r="C7" i="3"/>
  <c r="D7" i="3"/>
  <c r="E7" i="3"/>
  <c r="F7" i="3"/>
  <c r="G7" i="3"/>
  <c r="E22" i="3" l="1"/>
  <c r="E13" i="3"/>
  <c r="J15" i="3" s="1"/>
  <c r="D13" i="3"/>
  <c r="I15" i="3" s="1"/>
  <c r="G22" i="3"/>
  <c r="G13" i="3"/>
  <c r="C22" i="3"/>
  <c r="C13" i="3"/>
  <c r="F13" i="3"/>
  <c r="K15" i="3" s="1"/>
  <c r="D22" i="3"/>
  <c r="B22" i="3"/>
  <c r="F22" i="3"/>
  <c r="T72" i="3" l="1"/>
  <c r="S72" i="3"/>
  <c r="R72" i="3"/>
  <c r="F25" i="3"/>
  <c r="F27" i="3" s="1"/>
  <c r="F31" i="3" s="1"/>
  <c r="K33" i="3" s="1"/>
  <c r="E25" i="3"/>
  <c r="E27" i="3" s="1"/>
  <c r="E31" i="3" s="1"/>
  <c r="J33" i="3" s="1"/>
  <c r="D25" i="3"/>
  <c r="D27" i="3" s="1"/>
  <c r="D31" i="3" s="1"/>
  <c r="I33" i="3" s="1"/>
  <c r="C25" i="3"/>
  <c r="C27" i="3" s="1"/>
  <c r="C31" i="3" s="1"/>
  <c r="G25" i="3"/>
  <c r="G27" i="3" s="1"/>
  <c r="G28" i="3" s="1"/>
  <c r="B25" i="3" l="1"/>
  <c r="B27" i="3" s="1"/>
  <c r="B31" i="3" l="1"/>
  <c r="P61" i="3"/>
  <c r="V13" i="3"/>
  <c r="V51" i="3" s="1"/>
  <c r="H59" i="3"/>
  <c r="H45" i="3"/>
  <c r="V26" i="3"/>
  <c r="V50" i="3" s="1"/>
  <c r="V64" i="3" l="1"/>
  <c r="V71" i="3"/>
  <c r="V63" i="3"/>
  <c r="H58" i="3"/>
  <c r="H60" i="3" s="1"/>
  <c r="V60" i="3" s="1"/>
  <c r="V56" i="3"/>
  <c r="V59" i="3" s="1"/>
  <c r="V14" i="3"/>
  <c r="V62" i="3" s="1"/>
  <c r="G59" i="3"/>
  <c r="V15" i="3" l="1"/>
  <c r="V49" i="3"/>
  <c r="W70" i="3" s="1"/>
  <c r="G35" i="3" l="1"/>
  <c r="F35" i="3"/>
  <c r="V72" i="3" l="1"/>
  <c r="G5" i="3"/>
  <c r="H15" i="3" l="1"/>
  <c r="H14" i="3"/>
  <c r="H25" i="3"/>
  <c r="H16" i="3"/>
  <c r="H52" i="3" l="1"/>
  <c r="H27" i="3"/>
  <c r="V61" i="3" s="1"/>
  <c r="H24" i="3"/>
  <c r="H28" i="3" l="1"/>
  <c r="H31" i="3"/>
  <c r="I32" i="3" s="1"/>
  <c r="H33" i="3" l="1"/>
  <c r="G45" i="3"/>
  <c r="U65" i="3" l="1"/>
  <c r="T65" i="3"/>
  <c r="U58" i="3"/>
  <c r="Q68" i="3" l="1"/>
  <c r="C59" i="3"/>
  <c r="U66" i="3"/>
  <c r="Q66" i="3"/>
  <c r="F57" i="3"/>
  <c r="E57" i="3"/>
  <c r="D57" i="3"/>
  <c r="C57" i="3"/>
  <c r="S65" i="3"/>
  <c r="Q65" i="3"/>
  <c r="T55" i="3"/>
  <c r="T58" i="3" s="1"/>
  <c r="S55" i="3"/>
  <c r="S58" i="3" s="1"/>
  <c r="R55" i="3"/>
  <c r="R58" i="3" s="1"/>
  <c r="Q55" i="3"/>
  <c r="Q58" i="3" s="1"/>
  <c r="P55" i="3"/>
  <c r="F45" i="3"/>
  <c r="E45" i="3"/>
  <c r="D45" i="3"/>
  <c r="D47" i="3" s="1"/>
  <c r="C45" i="3"/>
  <c r="B45" i="3"/>
  <c r="E35" i="3"/>
  <c r="D35" i="3"/>
  <c r="C35" i="3"/>
  <c r="F59" i="3"/>
  <c r="D59" i="3"/>
  <c r="U26" i="3"/>
  <c r="U50" i="3" s="1"/>
  <c r="U15" i="3" s="1"/>
  <c r="T26" i="3"/>
  <c r="T50" i="3" s="1"/>
  <c r="T15" i="3" s="1"/>
  <c r="S26" i="3"/>
  <c r="S50" i="3" s="1"/>
  <c r="S15" i="3" s="1"/>
  <c r="Q26" i="3"/>
  <c r="Q50" i="3" s="1"/>
  <c r="Q15" i="3" s="1"/>
  <c r="P26" i="3"/>
  <c r="P50" i="3" s="1"/>
  <c r="P15" i="3" s="1"/>
  <c r="U13" i="3"/>
  <c r="U51" i="3" s="1"/>
  <c r="T13" i="3"/>
  <c r="T71" i="3" s="1"/>
  <c r="S13" i="3"/>
  <c r="S71" i="3" s="1"/>
  <c r="R13" i="3"/>
  <c r="R71" i="3" s="1"/>
  <c r="Q13" i="3"/>
  <c r="P13" i="3"/>
  <c r="Q67" i="3"/>
  <c r="Q56" i="3"/>
  <c r="Q59" i="3" s="1"/>
  <c r="G6" i="3"/>
  <c r="F5" i="3"/>
  <c r="E5" i="3"/>
  <c r="D5" i="3"/>
  <c r="C5" i="3"/>
  <c r="U49" i="3" l="1"/>
  <c r="V70" i="3" s="1"/>
  <c r="G14" i="3"/>
  <c r="R26" i="3"/>
  <c r="U68" i="3"/>
  <c r="E52" i="3"/>
  <c r="F14" i="3"/>
  <c r="F16" i="3"/>
  <c r="U72" i="3"/>
  <c r="G16" i="3"/>
  <c r="G15" i="3"/>
  <c r="G24" i="3"/>
  <c r="B16" i="3"/>
  <c r="E24" i="3"/>
  <c r="E16" i="3"/>
  <c r="U56" i="3"/>
  <c r="F58" i="3"/>
  <c r="F60" i="3" s="1"/>
  <c r="T64" i="3"/>
  <c r="T63" i="3"/>
  <c r="S56" i="3"/>
  <c r="S59" i="3" s="1"/>
  <c r="R64" i="3"/>
  <c r="R63" i="3"/>
  <c r="D58" i="3"/>
  <c r="D60" i="3" s="1"/>
  <c r="U71" i="3"/>
  <c r="G58" i="3"/>
  <c r="G60" i="3" s="1"/>
  <c r="U64" i="3"/>
  <c r="U63" i="3"/>
  <c r="E14" i="3"/>
  <c r="E59" i="3"/>
  <c r="P51" i="3"/>
  <c r="S51" i="3"/>
  <c r="P49" i="3"/>
  <c r="T56" i="3"/>
  <c r="Q51" i="3"/>
  <c r="T51" i="3"/>
  <c r="U67" i="3"/>
  <c r="Q69" i="3"/>
  <c r="P64" i="3"/>
  <c r="P71" i="3"/>
  <c r="P63" i="3"/>
  <c r="S63" i="3"/>
  <c r="E58" i="3"/>
  <c r="S64" i="3"/>
  <c r="R51" i="3"/>
  <c r="S49" i="3"/>
  <c r="R56" i="3"/>
  <c r="R59" i="3" s="1"/>
  <c r="Q64" i="3"/>
  <c r="Q71" i="3"/>
  <c r="Q63" i="3"/>
  <c r="C58" i="3"/>
  <c r="C60" i="3" s="1"/>
  <c r="Q49" i="3"/>
  <c r="T49" i="3"/>
  <c r="T70" i="3" l="1"/>
  <c r="R50" i="3"/>
  <c r="R15" i="3" s="1"/>
  <c r="B47" i="3"/>
  <c r="C47" i="3" s="1"/>
  <c r="R49" i="3"/>
  <c r="S70" i="3" s="1"/>
  <c r="Q60" i="3"/>
  <c r="U60" i="3"/>
  <c r="U69" i="3"/>
  <c r="U59" i="3"/>
  <c r="E60" i="3"/>
  <c r="S60" i="3" s="1"/>
  <c r="U70" i="3"/>
  <c r="Q72" i="3"/>
  <c r="D16" i="3"/>
  <c r="D14" i="3"/>
  <c r="S62" i="3"/>
  <c r="P62" i="3"/>
  <c r="B24" i="3"/>
  <c r="R60" i="3"/>
  <c r="T60" i="3"/>
  <c r="T62" i="3"/>
  <c r="F24" i="3"/>
  <c r="P72" i="3"/>
  <c r="C14" i="3"/>
  <c r="C16" i="3"/>
  <c r="T59" i="3"/>
  <c r="Q70" i="3"/>
  <c r="U62" i="3"/>
  <c r="R70" i="3" l="1"/>
  <c r="E47" i="3"/>
  <c r="F47" i="3" s="1"/>
  <c r="G41" i="3" s="1"/>
  <c r="G52" i="3"/>
  <c r="B28" i="3"/>
  <c r="S61" i="3"/>
  <c r="E28" i="3"/>
  <c r="U61" i="3"/>
  <c r="G31" i="3"/>
  <c r="T61" i="3"/>
  <c r="F28" i="3"/>
  <c r="R62" i="3"/>
  <c r="D24" i="3"/>
  <c r="C24" i="3"/>
  <c r="Q62" i="3"/>
  <c r="F52" i="3"/>
  <c r="H32" i="3" l="1"/>
  <c r="G33" i="3"/>
  <c r="G47" i="3"/>
  <c r="H41" i="3" s="1"/>
  <c r="H47" i="3" s="1"/>
  <c r="D52" i="3"/>
  <c r="C52" i="3"/>
  <c r="G32" i="3"/>
  <c r="R61" i="3"/>
  <c r="D28" i="3"/>
  <c r="Q61" i="3"/>
  <c r="C32" i="3"/>
  <c r="C28" i="3"/>
  <c r="F32" i="3"/>
  <c r="D32" i="3" l="1"/>
  <c r="E32" i="3"/>
  <c r="I41" i="3" l="1"/>
  <c r="I47" i="3" s="1"/>
  <c r="J41" i="3" s="1"/>
  <c r="J47" i="3" s="1"/>
  <c r="K41" i="3" l="1"/>
  <c r="K47" i="3" s="1"/>
  <c r="L41" i="3" s="1"/>
  <c r="L47" i="3" s="1"/>
</calcChain>
</file>

<file path=xl/sharedStrings.xml><?xml version="1.0" encoding="utf-8"?>
<sst xmlns="http://schemas.openxmlformats.org/spreadsheetml/2006/main" count="232" uniqueCount="133">
  <si>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</si>
  <si>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</si>
  <si>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</si>
  <si>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</si>
  <si>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</si>
  <si>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</si>
  <si>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</si>
  <si>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</si>
  <si>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</si>
  <si>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</si>
  <si>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</si>
  <si>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</si>
  <si>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</si>
  <si>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</si>
  <si>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</si>
  <si>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</si>
  <si>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</si>
  <si>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</si>
  <si>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</si>
  <si>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</si>
  <si>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</si>
  <si>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</si>
  <si>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</si>
  <si>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</si>
  <si>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</si>
  <si>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</si>
  <si>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</si>
  <si>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</si>
  <si>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</si>
  <si>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Long Term Debt</t>
  </si>
  <si>
    <t>Short Term Debt</t>
  </si>
  <si>
    <t>Loans</t>
  </si>
  <si>
    <t>Capital Employed</t>
  </si>
  <si>
    <t>Inventories</t>
  </si>
  <si>
    <t>Cash &amp; Bank Balances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</si>
  <si>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</si>
  <si>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</si>
  <si>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</si>
  <si>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</si>
  <si>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</si>
  <si>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</si>
  <si>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</si>
  <si>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</si>
  <si>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</si>
  <si>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</si>
  <si>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</si>
  <si>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</si>
  <si>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</si>
  <si>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</si>
  <si>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</si>
  <si>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</si>
  <si>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</si>
  <si>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</si>
  <si>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</si>
  <si>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</si>
  <si>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</si>
  <si>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</si>
  <si>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</si>
  <si>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</si>
  <si>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</si>
  <si>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</si>
  <si>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</si>
  <si>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</si>
  <si>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</si>
  <si>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</si>
  <si>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</si>
  <si>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</si>
  <si>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CAGR (%) - 5 Years</t>
  </si>
  <si>
    <t>NA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</si>
  <si>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</si>
  <si>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</si>
  <si>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</si>
  <si>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</si>
  <si>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</si>
  <si>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</si>
  <si>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</si>
  <si>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Long Term Loans and Advances</t>
  </si>
  <si>
    <t>Other Non-current Assets</t>
  </si>
  <si>
    <t>Short Term Loans &amp; Advances</t>
  </si>
  <si>
    <t>Provisions</t>
  </si>
  <si>
    <t>Other Current Liabilities</t>
  </si>
  <si>
    <t>Other Long term Provision</t>
  </si>
  <si>
    <t>FY19</t>
  </si>
  <si>
    <t>Cash Conversion Cycle</t>
  </si>
  <si>
    <t>Interest Coverage Ratio</t>
  </si>
  <si>
    <t>Working Capital Cycle</t>
  </si>
  <si>
    <t>Gross Block</t>
  </si>
  <si>
    <t>Credit Rating</t>
  </si>
  <si>
    <t>Other Financial Liabilities</t>
  </si>
  <si>
    <t>FY20</t>
  </si>
  <si>
    <t>Current Tax Assets</t>
  </si>
  <si>
    <t>FY21</t>
  </si>
  <si>
    <t>CMP</t>
  </si>
  <si>
    <t>Total Revenue</t>
  </si>
  <si>
    <t>Account Receivable</t>
  </si>
  <si>
    <t>Cost of material consumed</t>
  </si>
  <si>
    <t>Purchase of stock-in-trade</t>
  </si>
  <si>
    <t>PAT (Before Merger)</t>
  </si>
  <si>
    <t>Impact of Merger</t>
  </si>
  <si>
    <t xml:space="preserve">Non Controlling Interests </t>
  </si>
  <si>
    <t xml:space="preserve">Optionally Convertible Preference Shares </t>
  </si>
  <si>
    <t>NON-CURRENT ASSETS</t>
  </si>
  <si>
    <t xml:space="preserve">Lease Liabilities </t>
  </si>
  <si>
    <t>CURRENT ASSETS</t>
  </si>
  <si>
    <t xml:space="preserve">CURRENT LIABILITIES </t>
  </si>
  <si>
    <t xml:space="preserve">NON CURRENT LIABILITIES </t>
  </si>
  <si>
    <t>Right of Use Assets</t>
  </si>
  <si>
    <t>Goodwill</t>
  </si>
  <si>
    <t>Other Intangible Assets</t>
  </si>
  <si>
    <t xml:space="preserve">Other Investments </t>
  </si>
  <si>
    <t>Investments</t>
  </si>
  <si>
    <t xml:space="preserve">Property, Plant and Equipment </t>
  </si>
  <si>
    <t>Other Financial assets</t>
  </si>
  <si>
    <t>Share Capital Pending Allotment</t>
  </si>
  <si>
    <t>Current Tax Liabilities</t>
  </si>
  <si>
    <t>Share Suspense Account pending allotment upon Scheme of
Amalgamation</t>
  </si>
  <si>
    <t>Valiant Organics Ltd.</t>
  </si>
  <si>
    <t>FY22</t>
  </si>
  <si>
    <t>PAT (After Merger)</t>
  </si>
  <si>
    <t>FY23</t>
  </si>
  <si>
    <t>Borrowings</t>
  </si>
  <si>
    <t>TTM</t>
  </si>
  <si>
    <t>Total comprehensive income</t>
  </si>
  <si>
    <t>Share of profit/(loss) of associate</t>
  </si>
  <si>
    <t>FY24</t>
  </si>
  <si>
    <t>-</t>
  </si>
  <si>
    <t>Loss of controlling interest in step down subsidiary</t>
  </si>
  <si>
    <t>FY25</t>
  </si>
  <si>
    <t>Other Fiancial Liabilities</t>
  </si>
  <si>
    <t xml:space="preserve"> CRISIL A-/Negative (Reaffirmed)</t>
  </si>
  <si>
    <t>H1 FY26</t>
  </si>
  <si>
    <t>9M FY26</t>
  </si>
  <si>
    <t>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</si>
</sst>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4" fillId="0" borderId="0" xfId="0" applyFont="1"/>
    <xf numFmtId="165" fontId="4" fillId="0" borderId="0" xfId="0" applyNumberFormat="1" applyFont="1"/>
    <xf numFmtId="168" fontId="4" fillId="0" borderId="0" xfId="2" applyNumberFormat="1" applyFont="1" applyBorder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/>
    <xf numFmtId="165" fontId="7" fillId="5" borderId="1" xfId="0" applyNumberFormat="1" applyFont="1" applyFill="1" applyBorder="1" applyAlignment="1">
      <alignment horizontal="center" vertical="center"/>
    </xf>
    <xf numFmtId="168" fontId="7" fillId="5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8" fontId="7" fillId="3" borderId="1" xfId="2" applyNumberFormat="1" applyFont="1" applyFill="1" applyBorder="1" applyAlignment="1">
      <alignment vertical="center"/>
    </xf>
    <xf numFmtId="10" fontId="8" fillId="0" borderId="0" xfId="1" applyNumberFormat="1" applyFont="1" applyFill="1" applyBorder="1"/>
    <xf numFmtId="0" fontId="8" fillId="0" borderId="1" xfId="0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9" fillId="3" borderId="1" xfId="0" applyNumberFormat="1" applyFont="1" applyFill="1" applyBorder="1" applyAlignment="1">
      <alignment vertical="center"/>
    </xf>
    <xf numFmtId="168" fontId="8" fillId="0" borderId="1" xfId="2" applyNumberFormat="1" applyFont="1" applyFill="1" applyBorder="1" applyAlignment="1">
      <alignment vertical="center"/>
    </xf>
    <xf numFmtId="168" fontId="8" fillId="0" borderId="1" xfId="2" applyNumberFormat="1" applyFont="1" applyFill="1" applyBorder="1" applyAlignment="1">
      <alignment horizontal="center" vertical="center"/>
    </xf>
    <xf numFmtId="164" fontId="8" fillId="0" borderId="1" xfId="2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165" fontId="8" fillId="0" borderId="0" xfId="0" applyNumberFormat="1" applyFont="1"/>
    <xf numFmtId="165" fontId="7" fillId="3" borderId="1" xfId="0" applyNumberFormat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8" fillId="0" borderId="1" xfId="2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0" xfId="0" applyNumberFormat="1" applyFont="1"/>
    <xf numFmtId="10" fontId="9" fillId="3" borderId="1" xfId="0" applyNumberFormat="1" applyFont="1" applyFill="1" applyBorder="1" applyAlignment="1">
      <alignment vertical="center"/>
    </xf>
    <xf numFmtId="10" fontId="7" fillId="3" borderId="1" xfId="1" applyNumberFormat="1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164" fontId="7" fillId="0" borderId="1" xfId="2" applyFont="1" applyFill="1" applyBorder="1" applyAlignment="1">
      <alignment vertical="center"/>
    </xf>
    <xf numFmtId="166" fontId="9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8" fontId="7" fillId="0" borderId="1" xfId="2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8" fillId="0" borderId="1" xfId="2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164" fontId="7" fillId="5" borderId="1" xfId="2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2" applyFont="1" applyFill="1" applyBorder="1" applyAlignment="1">
      <alignment horizontal="right" vertical="center"/>
    </xf>
    <xf numFmtId="164" fontId="7" fillId="3" borderId="1" xfId="2" applyFont="1" applyFill="1" applyBorder="1" applyAlignment="1">
      <alignment vertical="center"/>
    </xf>
    <xf numFmtId="167" fontId="8" fillId="0" borderId="1" xfId="2" applyNumberFormat="1" applyFont="1" applyFill="1" applyBorder="1" applyAlignment="1">
      <alignment vertical="center"/>
    </xf>
    <xf numFmtId="164" fontId="7" fillId="3" borderId="1" xfId="2" applyFont="1" applyFill="1" applyBorder="1" applyAlignment="1">
      <alignment horizontal="right" vertical="center"/>
    </xf>
    <xf numFmtId="164" fontId="8" fillId="0" borderId="1" xfId="2" applyFont="1" applyFill="1" applyBorder="1" applyAlignment="1">
      <alignment horizontal="right" vertical="center"/>
    </xf>
    <xf numFmtId="164" fontId="8" fillId="3" borderId="1" xfId="2" applyFont="1" applyFill="1" applyBorder="1" applyAlignment="1">
      <alignment horizontal="right" vertical="center"/>
    </xf>
    <xf numFmtId="164" fontId="8" fillId="3" borderId="1" xfId="2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vertical="center"/>
    </xf>
    <xf numFmtId="10" fontId="8" fillId="3" borderId="1" xfId="0" applyNumberFormat="1" applyFont="1" applyFill="1" applyBorder="1" applyAlignment="1">
      <alignment vertical="center"/>
    </xf>
    <xf numFmtId="10" fontId="8" fillId="3" borderId="1" xfId="1" applyNumberFormat="1" applyFont="1" applyFill="1" applyBorder="1" applyAlignment="1">
      <alignment vertical="center"/>
    </xf>
    <xf numFmtId="2" fontId="8" fillId="0" borderId="0" xfId="0" applyNumberFormat="1" applyFont="1"/>
    <xf numFmtId="10" fontId="8" fillId="0" borderId="0" xfId="0" applyNumberFormat="1" applyFont="1"/>
    <xf numFmtId="10" fontId="7" fillId="0" borderId="1" xfId="0" applyNumberFormat="1" applyFont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10" fontId="8" fillId="3" borderId="1" xfId="2" applyNumberFormat="1" applyFont="1" applyFill="1" applyBorder="1" applyAlignment="1">
      <alignment vertical="center"/>
    </xf>
    <xf numFmtId="10" fontId="8" fillId="0" borderId="0" xfId="0" applyNumberFormat="1" applyFont="1" applyAlignment="1">
      <alignment vertical="center"/>
    </xf>
    <xf numFmtId="167" fontId="8" fillId="3" borderId="1" xfId="2" applyNumberFormat="1" applyFont="1" applyFill="1" applyBorder="1" applyAlignment="1">
      <alignment horizontal="right" vertical="center"/>
    </xf>
    <xf numFmtId="167" fontId="8" fillId="3" borderId="1" xfId="2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 wrapText="1"/>
    </xf>
    <xf numFmtId="168" fontId="7" fillId="4" borderId="0" xfId="2" applyNumberFormat="1" applyFont="1" applyFill="1" applyBorder="1"/>
    <xf numFmtId="0" fontId="8" fillId="0" borderId="0" xfId="0" applyFont="1" applyAlignment="1">
      <alignment wrapText="1"/>
    </xf>
    <xf numFmtId="168" fontId="8" fillId="0" borderId="0" xfId="2" applyNumberFormat="1" applyFont="1" applyBorder="1"/>
    <xf numFmtId="10" fontId="8" fillId="3" borderId="1" xfId="1" applyNumberFormat="1" applyFont="1" applyFill="1" applyBorder="1" applyAlignment="1">
      <alignment horizontal="right" vertical="center"/>
    </xf>
    <xf numFmtId="164" fontId="8" fillId="4" borderId="1" xfId="2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Comma" xfId="2" builtinId="3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324"/>
  <sheetViews>
    <sheetView tabSelected="1" topLeftCell="J46" zoomScale="90" zoomScaleNormal="90" zoomScaleSheetLayoutView="91" workbookViewId="0">
      <selection activeCell="Y55" sqref="Y55"/>
    </sheetView>
  </sheetViews>
  <sheetFormatPr defaultColWidth="9.140625" defaultRowHeight="15" customHeight="1" x14ac:dyDescent="0.2"/>
  <cols>
    <col min="1" max="1" width="49" style="5" bestFit="1" customWidth="1"/>
    <col min="2" max="2" width="14.28515625" style="5" hidden="1" customWidth="1"/>
    <col min="3" max="3" width="14.5703125" style="5" hidden="1" customWidth="1"/>
    <col min="4" max="4" width="15.5703125" style="5" hidden="1" customWidth="1"/>
    <col min="5" max="5" width="11.140625" style="5" bestFit="1" customWidth="1"/>
    <col min="6" max="9" width="12" style="5" bestFit="1" customWidth="1"/>
    <col min="10" max="12" width="12" style="5" customWidth="1"/>
    <col min="13" max="13" width="4.7109375" style="1" customWidth="1"/>
    <col min="14" max="14" width="3.85546875" style="1" customWidth="1"/>
    <col min="15" max="15" width="40.28515625" style="1" bestFit="1" customWidth="1"/>
    <col min="16" max="16" width="9" style="1" customWidth="1"/>
    <col min="17" max="17" width="8.85546875" style="1" customWidth="1"/>
    <col min="18" max="18" width="9.140625" style="2" customWidth="1"/>
    <col min="19" max="19" width="8.42578125" style="3" customWidth="1"/>
    <col min="20" max="20" width="9.7109375" style="3" customWidth="1"/>
    <col min="21" max="21" width="12" style="1" bestFit="1" customWidth="1"/>
    <col min="22" max="22" width="9.140625" style="1" customWidth="1"/>
    <col min="23" max="23" width="10.85546875" style="1" bestFit="1" customWidth="1"/>
    <col min="24" max="24" width="9.5703125" style="1" bestFit="1" customWidth="1"/>
    <col min="25" max="25" width="9.5703125" style="1" customWidth="1"/>
    <col min="26" max="16384" width="9.140625" style="1"/>
  </cols>
  <sheetData>
    <row r="1" spans="1:27" ht="15" customHeight="1" x14ac:dyDescent="0.2">
      <c r="A1" s="75" t="s">
        <v>116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4"/>
    </row>
    <row r="2" spans="1:27" s="9" customFormat="1" ht="15" customHeight="1" x14ac:dyDescent="0.2">
      <c r="A2" s="78" t="s">
        <v>71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6"/>
      <c r="M2" s="7"/>
      <c r="N2" s="7"/>
      <c r="O2" s="76" t="s">
        <v>72</v>
      </c>
      <c r="P2" s="77"/>
      <c r="Q2" s="77"/>
      <c r="R2" s="77"/>
      <c r="S2" s="77"/>
      <c r="T2" s="77"/>
      <c r="U2" s="77"/>
      <c r="V2" s="77"/>
      <c r="W2" s="8"/>
    </row>
    <row r="3" spans="1:27" s="9" customFormat="1" ht="15" customHeight="1" x14ac:dyDescent="0.2">
      <c r="A3" s="10" t="s">
        <v>0</v>
      </c>
      <c r="B3" s="11" t="s">
        <v>24</v>
      </c>
      <c r="C3" s="11" t="s">
        <v>25</v>
      </c>
      <c r="D3" s="11" t="s">
        <v>65</v>
      </c>
      <c r="E3" s="11" t="s">
        <v>82</v>
      </c>
      <c r="F3" s="11" t="s">
        <v>89</v>
      </c>
      <c r="G3" s="11" t="s">
        <v>91</v>
      </c>
      <c r="H3" s="11" t="s">
        <v>117</v>
      </c>
      <c r="I3" s="11" t="s">
        <v>119</v>
      </c>
      <c r="J3" s="11" t="s">
        <v>124</v>
      </c>
      <c r="K3" s="11" t="s">
        <v>127</v>
      </c>
      <c r="L3" s="11" t="s">
        <v>131</v>
      </c>
      <c r="M3" s="12"/>
      <c r="N3" s="12"/>
      <c r="O3" s="10" t="s">
        <v>0</v>
      </c>
      <c r="P3" s="11" t="s">
        <v>24</v>
      </c>
      <c r="Q3" s="11" t="s">
        <v>25</v>
      </c>
      <c r="R3" s="13" t="s">
        <v>65</v>
      </c>
      <c r="S3" s="14" t="s">
        <v>82</v>
      </c>
      <c r="T3" s="14" t="s">
        <v>89</v>
      </c>
      <c r="U3" s="14" t="s">
        <v>91</v>
      </c>
      <c r="V3" s="14" t="s">
        <v>117</v>
      </c>
      <c r="W3" s="14" t="s">
        <v>119</v>
      </c>
      <c r="X3" s="14" t="s">
        <v>124</v>
      </c>
      <c r="Y3" s="14" t="s">
        <v>127</v>
      </c>
      <c r="Z3" s="14" t="s">
        <v>130</v>
      </c>
    </row>
    <row r="4" spans="1:27" s="9" customFormat="1" ht="15" customHeight="1" x14ac:dyDescent="0.2">
      <c r="A4" s="15" t="s">
        <v>93</v>
      </c>
      <c r="B4" s="16">
        <v>534.76113099999998</v>
      </c>
      <c r="C4" s="16">
        <v>748.84327800000005</v>
      </c>
      <c r="D4" s="16">
        <v>1221.292942</v>
      </c>
      <c r="E4" s="16">
        <v>7010.2929999999997</v>
      </c>
      <c r="F4" s="16">
        <v>6812.3740000000007</v>
      </c>
      <c r="G4" s="16">
        <v>7548</v>
      </c>
      <c r="H4" s="16">
        <v>11533</v>
      </c>
      <c r="I4" s="16">
        <v>10518.048000000001</v>
      </c>
      <c r="J4" s="16">
        <v>7230.5940000000001</v>
      </c>
      <c r="K4" s="16">
        <v>7187.6180000000004</v>
      </c>
      <c r="L4" s="16">
        <v>5209.817</v>
      </c>
      <c r="M4" s="17"/>
      <c r="N4" s="17"/>
      <c r="O4" s="18" t="s">
        <v>26</v>
      </c>
      <c r="P4" s="19">
        <v>36.403199999999998</v>
      </c>
      <c r="Q4" s="19">
        <v>36.403199999999998</v>
      </c>
      <c r="R4" s="19">
        <v>58.643500000000003</v>
      </c>
      <c r="S4" s="19">
        <v>58.644000000000005</v>
      </c>
      <c r="T4" s="19">
        <v>121.492</v>
      </c>
      <c r="U4" s="19">
        <v>271.53499999999997</v>
      </c>
      <c r="V4" s="19">
        <v>271.53500000000003</v>
      </c>
      <c r="W4" s="19">
        <v>271.53500000000003</v>
      </c>
      <c r="X4" s="19">
        <v>275.75</v>
      </c>
      <c r="Y4" s="19">
        <v>280.04599999999999</v>
      </c>
      <c r="Z4" s="19">
        <v>280.04599999999999</v>
      </c>
    </row>
    <row r="5" spans="1:27" s="9" customFormat="1" ht="15" customHeight="1" x14ac:dyDescent="0.2">
      <c r="A5" s="20" t="s">
        <v>1</v>
      </c>
      <c r="B5" s="21"/>
      <c r="C5" s="21">
        <f t="shared" ref="C5:J5" si="0">(C4/B4-1)</f>
        <v>0.40033228780047603</v>
      </c>
      <c r="D5" s="21">
        <f t="shared" si="0"/>
        <v>0.6309059290240433</v>
      </c>
      <c r="E5" s="21">
        <f t="shared" si="0"/>
        <v>4.7400585550915268</v>
      </c>
      <c r="F5" s="21">
        <f t="shared" si="0"/>
        <v>-2.8232628793118719E-2</v>
      </c>
      <c r="G5" s="21">
        <f t="shared" si="0"/>
        <v>0.10798379537001335</v>
      </c>
      <c r="H5" s="21">
        <f t="shared" si="0"/>
        <v>0.52795442501324863</v>
      </c>
      <c r="I5" s="21">
        <f>(I4/H4-1)</f>
        <v>-8.8004161969999051E-2</v>
      </c>
      <c r="J5" s="21">
        <f t="shared" si="0"/>
        <v>-0.31255362211695559</v>
      </c>
      <c r="K5" s="21">
        <f>(K4/J4-1)</f>
        <v>-5.9436333999668411E-3</v>
      </c>
      <c r="L5" s="21"/>
      <c r="O5" s="18" t="s">
        <v>100</v>
      </c>
      <c r="P5" s="22"/>
      <c r="Q5" s="22"/>
      <c r="R5" s="22"/>
      <c r="S5" s="23">
        <v>0</v>
      </c>
      <c r="T5" s="19">
        <v>18.331</v>
      </c>
      <c r="U5" s="19">
        <v>4.056</v>
      </c>
      <c r="V5" s="19">
        <v>4.056</v>
      </c>
      <c r="W5" s="19">
        <v>4.056</v>
      </c>
      <c r="X5" s="24">
        <v>0</v>
      </c>
      <c r="Y5" s="24">
        <v>0</v>
      </c>
      <c r="Z5" s="24">
        <v>0</v>
      </c>
    </row>
    <row r="6" spans="1:27" s="9" customFormat="1" ht="24.95" customHeight="1" x14ac:dyDescent="0.2">
      <c r="A6" s="20" t="s">
        <v>67</v>
      </c>
      <c r="B6" s="21"/>
      <c r="C6" s="21"/>
      <c r="D6" s="21"/>
      <c r="E6" s="21"/>
      <c r="F6" s="21"/>
      <c r="G6" s="21">
        <f t="shared" ref="G6:K6" si="1">+((G4/B4)^(1/5)-1)</f>
        <v>0.69798719847392721</v>
      </c>
      <c r="H6" s="21">
        <f t="shared" si="1"/>
        <v>0.72786684487997944</v>
      </c>
      <c r="I6" s="21">
        <f t="shared" si="1"/>
        <v>0.53823631562868313</v>
      </c>
      <c r="J6" s="21">
        <f t="shared" si="1"/>
        <v>6.2075258993563587E-3</v>
      </c>
      <c r="K6" s="21">
        <f t="shared" si="1"/>
        <v>1.0781538172445648E-2</v>
      </c>
      <c r="L6" s="21"/>
      <c r="O6" s="25" t="s">
        <v>115</v>
      </c>
      <c r="P6" s="22"/>
      <c r="Q6" s="19">
        <v>22.240300000000001</v>
      </c>
      <c r="R6" s="22"/>
      <c r="S6" s="22"/>
      <c r="T6" s="22"/>
      <c r="U6" s="22"/>
      <c r="V6" s="22"/>
      <c r="W6" s="22"/>
      <c r="X6" s="19"/>
      <c r="Y6" s="19"/>
      <c r="Z6" s="19"/>
    </row>
    <row r="7" spans="1:27" s="9" customFormat="1" ht="15" customHeight="1" x14ac:dyDescent="0.2">
      <c r="A7" s="15" t="s">
        <v>3</v>
      </c>
      <c r="B7" s="16">
        <f t="shared" ref="B7:F7" si="2">SUM(B8:B12,B18,B19)</f>
        <v>377.240319</v>
      </c>
      <c r="C7" s="16">
        <f t="shared" si="2"/>
        <v>569.75912199999993</v>
      </c>
      <c r="D7" s="16">
        <f t="shared" si="2"/>
        <v>968.95206900000005</v>
      </c>
      <c r="E7" s="16">
        <f t="shared" si="2"/>
        <v>5298.148000000002</v>
      </c>
      <c r="F7" s="16">
        <f t="shared" si="2"/>
        <v>5127.5030000000006</v>
      </c>
      <c r="G7" s="16">
        <f t="shared" ref="G7:L7" si="3">SUM(G8:G12,G18,G19)</f>
        <v>5758.7959999999994</v>
      </c>
      <c r="H7" s="16">
        <f t="shared" si="3"/>
        <v>9845.1800000000021</v>
      </c>
      <c r="I7" s="16">
        <f t="shared" si="3"/>
        <v>9275.5499999999993</v>
      </c>
      <c r="J7" s="16">
        <f t="shared" si="3"/>
        <v>7360.777</v>
      </c>
      <c r="K7" s="16">
        <f t="shared" si="3"/>
        <v>7244.8420000000006</v>
      </c>
      <c r="L7" s="16">
        <f t="shared" si="3"/>
        <v>5035.3389999999999</v>
      </c>
      <c r="O7" s="18" t="s">
        <v>113</v>
      </c>
      <c r="P7" s="22"/>
      <c r="Q7" s="22"/>
      <c r="R7" s="22"/>
      <c r="S7" s="19">
        <v>81.179999999999993</v>
      </c>
      <c r="T7" s="22"/>
      <c r="U7" s="22"/>
      <c r="V7" s="22"/>
      <c r="W7" s="22"/>
      <c r="X7" s="19"/>
      <c r="Y7" s="19"/>
      <c r="Z7" s="19"/>
    </row>
    <row r="8" spans="1:27" s="9" customFormat="1" ht="15" customHeight="1" x14ac:dyDescent="0.2">
      <c r="A8" s="18" t="s">
        <v>95</v>
      </c>
      <c r="B8" s="19">
        <v>235.196608</v>
      </c>
      <c r="C8" s="19">
        <v>421.619775</v>
      </c>
      <c r="D8" s="19">
        <v>769.98213199999998</v>
      </c>
      <c r="E8" s="45">
        <v>4175.6230000000005</v>
      </c>
      <c r="F8" s="45">
        <v>3851.9550000000004</v>
      </c>
      <c r="G8" s="45">
        <v>4065.67</v>
      </c>
      <c r="H8" s="45">
        <v>7808.88</v>
      </c>
      <c r="I8" s="45">
        <v>6796.0919999999996</v>
      </c>
      <c r="J8" s="45">
        <v>4834.0200000000004</v>
      </c>
      <c r="K8" s="45">
        <v>4400.701</v>
      </c>
      <c r="L8" s="74">
        <v>3198.3780000000002</v>
      </c>
      <c r="O8" s="18" t="s">
        <v>27</v>
      </c>
      <c r="P8" s="19">
        <v>191.12258600000001</v>
      </c>
      <c r="Q8" s="19">
        <v>415.63292200000001</v>
      </c>
      <c r="R8" s="19">
        <v>533.13116100000002</v>
      </c>
      <c r="S8" s="19">
        <v>2757.826</v>
      </c>
      <c r="T8" s="19">
        <v>3735.8330000000001</v>
      </c>
      <c r="U8" s="19">
        <v>4747.1190000000006</v>
      </c>
      <c r="V8" s="19">
        <v>5855.9</v>
      </c>
      <c r="W8" s="19">
        <v>6616.1809999999996</v>
      </c>
      <c r="X8" s="19">
        <v>7017.1779999999999</v>
      </c>
      <c r="Y8" s="19">
        <v>6972.58</v>
      </c>
      <c r="Z8" s="45">
        <v>7115.2290000000003</v>
      </c>
    </row>
    <row r="9" spans="1:27" s="9" customFormat="1" ht="15" customHeight="1" x14ac:dyDescent="0.2">
      <c r="A9" s="18" t="s">
        <v>96</v>
      </c>
      <c r="B9" s="19">
        <v>0</v>
      </c>
      <c r="C9" s="19">
        <v>0.53251199999999999</v>
      </c>
      <c r="D9" s="19">
        <v>0</v>
      </c>
      <c r="E9" s="19">
        <v>114.21</v>
      </c>
      <c r="F9" s="19">
        <v>39.012999999999998</v>
      </c>
      <c r="G9" s="19">
        <v>153.94499999999999</v>
      </c>
      <c r="H9" s="19">
        <v>170.87</v>
      </c>
      <c r="I9" s="19">
        <v>138.52199999999999</v>
      </c>
      <c r="J9" s="19">
        <v>62.305</v>
      </c>
      <c r="K9" s="19">
        <v>126.15600000000001</v>
      </c>
      <c r="L9" s="19">
        <v>14.241</v>
      </c>
      <c r="O9" s="18" t="s">
        <v>99</v>
      </c>
      <c r="P9" s="22"/>
      <c r="Q9" s="22"/>
      <c r="R9" s="22"/>
      <c r="S9" s="19">
        <v>116.268</v>
      </c>
      <c r="T9" s="19">
        <v>131.268</v>
      </c>
      <c r="U9" s="19">
        <v>63.012999999999998</v>
      </c>
      <c r="V9" s="19">
        <v>357.54</v>
      </c>
      <c r="W9" s="19">
        <v>508.85</v>
      </c>
      <c r="X9" s="19">
        <v>1.2999999999999999E-2</v>
      </c>
      <c r="Y9" s="19">
        <v>1.2999999999999999E-2</v>
      </c>
      <c r="Z9" s="19">
        <v>-3.5999999999999997E-2</v>
      </c>
    </row>
    <row r="10" spans="1:27" s="9" customFormat="1" ht="15" customHeight="1" x14ac:dyDescent="0.2">
      <c r="A10" s="18" t="s">
        <v>73</v>
      </c>
      <c r="B10" s="19">
        <v>15.977713</v>
      </c>
      <c r="C10" s="19">
        <v>4.6200510000000001</v>
      </c>
      <c r="D10" s="19">
        <v>-26.344075</v>
      </c>
      <c r="E10" s="19">
        <v>-26.274999999999999</v>
      </c>
      <c r="F10" s="19">
        <v>40.247</v>
      </c>
      <c r="G10" s="19">
        <v>-98.3</v>
      </c>
      <c r="H10" s="40">
        <v>-225.57</v>
      </c>
      <c r="I10" s="19">
        <v>-49.851999999999997</v>
      </c>
      <c r="J10" s="19">
        <v>-10.439</v>
      </c>
      <c r="K10" s="19">
        <v>44.552</v>
      </c>
      <c r="L10" s="19">
        <v>-171.23099999999999</v>
      </c>
      <c r="O10" s="15" t="s">
        <v>28</v>
      </c>
      <c r="P10" s="16">
        <f t="shared" ref="P10:V10" si="4">SUM(P4:P9)</f>
        <v>227.52578600000001</v>
      </c>
      <c r="Q10" s="16">
        <f t="shared" si="4"/>
        <v>474.27642200000003</v>
      </c>
      <c r="R10" s="16">
        <f t="shared" si="4"/>
        <v>591.77466100000004</v>
      </c>
      <c r="S10" s="16">
        <f t="shared" si="4"/>
        <v>3013.9180000000001</v>
      </c>
      <c r="T10" s="16">
        <f t="shared" si="4"/>
        <v>4006.924</v>
      </c>
      <c r="U10" s="16">
        <f t="shared" si="4"/>
        <v>5085.7230000000009</v>
      </c>
      <c r="V10" s="16">
        <f t="shared" si="4"/>
        <v>6489.0309999999999</v>
      </c>
      <c r="W10" s="16">
        <f>SUM(W4:W9)</f>
        <v>7400.6220000000003</v>
      </c>
      <c r="X10" s="16">
        <f>SUM(X4:X9)</f>
        <v>7292.9409999999998</v>
      </c>
      <c r="Y10" s="16">
        <f>SUM(Y4:Y9)</f>
        <v>7252.6390000000001</v>
      </c>
      <c r="Z10" s="16">
        <f>SUM(Z4:Z9)</f>
        <v>7395.2390000000005</v>
      </c>
    </row>
    <row r="11" spans="1:27" s="9" customFormat="1" ht="15" customHeight="1" x14ac:dyDescent="0.2">
      <c r="A11" s="18" t="s">
        <v>52</v>
      </c>
      <c r="B11" s="19">
        <v>23.095053</v>
      </c>
      <c r="C11" s="19">
        <v>32.537860000000002</v>
      </c>
      <c r="D11" s="19">
        <v>47.750261000000002</v>
      </c>
      <c r="E11" s="19">
        <v>184.83099999999999</v>
      </c>
      <c r="F11" s="19">
        <v>227.84699999999998</v>
      </c>
      <c r="G11" s="19">
        <v>293.7</v>
      </c>
      <c r="H11" s="19">
        <v>371.6</v>
      </c>
      <c r="I11" s="19">
        <v>463.31599999999997</v>
      </c>
      <c r="J11" s="19">
        <v>493.47300000000001</v>
      </c>
      <c r="K11" s="19">
        <v>449.88900000000001</v>
      </c>
      <c r="L11" s="19">
        <v>355.30099999999999</v>
      </c>
      <c r="O11" s="18" t="s">
        <v>29</v>
      </c>
      <c r="P11" s="22">
        <v>0</v>
      </c>
      <c r="Q11" s="19">
        <v>3.087072</v>
      </c>
      <c r="R11" s="19">
        <v>3</v>
      </c>
      <c r="S11" s="19">
        <v>449.18599999999998</v>
      </c>
      <c r="T11" s="19">
        <v>840.7639999999999</v>
      </c>
      <c r="U11" s="19">
        <v>750.65</v>
      </c>
      <c r="V11" s="19">
        <v>1057.68</v>
      </c>
      <c r="W11" s="19">
        <v>706.072</v>
      </c>
      <c r="X11" s="19">
        <v>741.61</v>
      </c>
      <c r="Y11" s="19">
        <f>506.91</f>
        <v>506.91</v>
      </c>
      <c r="Z11" s="19">
        <v>388.88900000000001</v>
      </c>
    </row>
    <row r="12" spans="1:27" s="9" customFormat="1" ht="15" customHeight="1" x14ac:dyDescent="0.2">
      <c r="A12" s="18" t="s">
        <v>54</v>
      </c>
      <c r="B12" s="19">
        <v>88.851423999999994</v>
      </c>
      <c r="C12" s="19">
        <v>90.808244000000002</v>
      </c>
      <c r="D12" s="19">
        <v>150.98880800000001</v>
      </c>
      <c r="E12" s="19">
        <v>676.58199999999999</v>
      </c>
      <c r="F12" s="19">
        <v>787.51</v>
      </c>
      <c r="G12" s="19">
        <v>1081.402</v>
      </c>
      <c r="H12" s="19">
        <v>1358.42</v>
      </c>
      <c r="I12" s="19">
        <v>1527.652</v>
      </c>
      <c r="J12" s="19">
        <v>1468.7349999999999</v>
      </c>
      <c r="K12" s="19">
        <v>1629.55</v>
      </c>
      <c r="L12" s="19">
        <v>1197.779</v>
      </c>
      <c r="O12" s="18" t="s">
        <v>30</v>
      </c>
      <c r="P12" s="19">
        <v>9.7127379999999999</v>
      </c>
      <c r="Q12" s="19">
        <v>2.7769020000000002</v>
      </c>
      <c r="R12" s="19">
        <v>3.2051989999999999</v>
      </c>
      <c r="S12" s="19">
        <v>326.12700000000001</v>
      </c>
      <c r="T12" s="19">
        <v>406.35599999999999</v>
      </c>
      <c r="U12" s="19">
        <v>1329.66</v>
      </c>
      <c r="V12" s="19">
        <v>2568.06</v>
      </c>
      <c r="W12" s="19">
        <v>2017.921</v>
      </c>
      <c r="X12" s="19">
        <v>1823.0239999999999</v>
      </c>
      <c r="Y12" s="19">
        <v>1977.675</v>
      </c>
      <c r="Z12" s="19">
        <v>1969.241</v>
      </c>
    </row>
    <row r="13" spans="1:27" s="9" customFormat="1" ht="15" customHeight="1" x14ac:dyDescent="0.2">
      <c r="A13" s="15" t="s">
        <v>4</v>
      </c>
      <c r="B13" s="16">
        <f t="shared" ref="B13:G13" si="5">(B4-B7+B18+B19)</f>
        <v>171.64033299999997</v>
      </c>
      <c r="C13" s="16">
        <f t="shared" si="5"/>
        <v>198.72483600000012</v>
      </c>
      <c r="D13" s="16">
        <f t="shared" si="5"/>
        <v>278.91581600000001</v>
      </c>
      <c r="E13" s="16">
        <f t="shared" si="5"/>
        <v>1885.3219999999978</v>
      </c>
      <c r="F13" s="16">
        <f t="shared" si="5"/>
        <v>1865.8019999999999</v>
      </c>
      <c r="G13" s="16">
        <f t="shared" si="5"/>
        <v>2051.5830000000005</v>
      </c>
      <c r="H13" s="16">
        <f>(H4-H7+H18+H19)</f>
        <v>2048.7999999999979</v>
      </c>
      <c r="I13" s="16">
        <f>(I4-I7+I18+I19)</f>
        <v>1642.3180000000013</v>
      </c>
      <c r="J13" s="16">
        <f>(J4-J7+J18+J19)</f>
        <v>382.5</v>
      </c>
      <c r="K13" s="16">
        <f>(K4-K7+K18+K19)</f>
        <v>536.76999999999975</v>
      </c>
      <c r="L13" s="16">
        <f>(L4-L7+L18+L19)</f>
        <v>615.34900000000005</v>
      </c>
      <c r="O13" s="15" t="s">
        <v>31</v>
      </c>
      <c r="P13" s="16">
        <f t="shared" ref="P13:V13" si="6">(P11+P12)</f>
        <v>9.7127379999999999</v>
      </c>
      <c r="Q13" s="16">
        <f t="shared" si="6"/>
        <v>5.8639740000000007</v>
      </c>
      <c r="R13" s="16">
        <f t="shared" si="6"/>
        <v>6.2051990000000004</v>
      </c>
      <c r="S13" s="16">
        <f t="shared" si="6"/>
        <v>775.31299999999999</v>
      </c>
      <c r="T13" s="16">
        <f t="shared" si="6"/>
        <v>1247.1199999999999</v>
      </c>
      <c r="U13" s="16">
        <f t="shared" si="6"/>
        <v>2080.31</v>
      </c>
      <c r="V13" s="16">
        <f t="shared" si="6"/>
        <v>3625.74</v>
      </c>
      <c r="W13" s="16">
        <f>(W11+W12)</f>
        <v>2723.9929999999999</v>
      </c>
      <c r="X13" s="27">
        <f>(X11+X12)</f>
        <v>2564.634</v>
      </c>
      <c r="Y13" s="27">
        <f>(Y11+Y12)</f>
        <v>2484.585</v>
      </c>
      <c r="Z13" s="27">
        <f>(Z11+Z12)</f>
        <v>2358.13</v>
      </c>
    </row>
    <row r="14" spans="1:27" s="9" customFormat="1" ht="15" customHeight="1" x14ac:dyDescent="0.2">
      <c r="A14" s="20" t="s">
        <v>1</v>
      </c>
      <c r="B14" s="21"/>
      <c r="C14" s="21">
        <f t="shared" ref="C14:H14" si="7">(C13/B13-1)</f>
        <v>0.15779801009824523</v>
      </c>
      <c r="D14" s="21">
        <f t="shared" si="7"/>
        <v>0.40352772010842086</v>
      </c>
      <c r="E14" s="21">
        <f t="shared" si="7"/>
        <v>5.7594660892231291</v>
      </c>
      <c r="F14" s="21">
        <f t="shared" si="7"/>
        <v>-1.0353669028419499E-2</v>
      </c>
      <c r="G14" s="21">
        <f t="shared" si="7"/>
        <v>9.9571658729061596E-2</v>
      </c>
      <c r="H14" s="21">
        <f t="shared" si="7"/>
        <v>-1.3565134825169745E-3</v>
      </c>
      <c r="I14" s="21">
        <f>(I13/H13-1)</f>
        <v>-0.19840003904724568</v>
      </c>
      <c r="J14" s="21">
        <f>(J13/I13-1)</f>
        <v>-0.76709748051230053</v>
      </c>
      <c r="K14" s="21">
        <f>(K13/J13-1)</f>
        <v>0.40332026143790789</v>
      </c>
      <c r="L14" s="21"/>
      <c r="O14" s="15" t="s">
        <v>32</v>
      </c>
      <c r="P14" s="16">
        <f t="shared" ref="P14:Y14" si="8">(P10+P11+P47+P45+P46+P44)</f>
        <v>360.11842500000006</v>
      </c>
      <c r="Q14" s="16">
        <f t="shared" si="8"/>
        <v>513.11674399999993</v>
      </c>
      <c r="R14" s="16">
        <f t="shared" si="8"/>
        <v>642.54434600000013</v>
      </c>
      <c r="S14" s="16">
        <f t="shared" si="8"/>
        <v>3614.1690000000003</v>
      </c>
      <c r="T14" s="16">
        <f t="shared" si="8"/>
        <v>4999.2930000000006</v>
      </c>
      <c r="U14" s="16">
        <f t="shared" si="8"/>
        <v>6056.9050000000007</v>
      </c>
      <c r="V14" s="16">
        <f t="shared" si="8"/>
        <v>7828.6260000000011</v>
      </c>
      <c r="W14" s="16">
        <f t="shared" si="8"/>
        <v>8465.2290000000012</v>
      </c>
      <c r="X14" s="27">
        <f t="shared" si="8"/>
        <v>8363.753999999999</v>
      </c>
      <c r="Y14" s="27">
        <f t="shared" si="8"/>
        <v>8140.9629999999997</v>
      </c>
      <c r="Z14" s="27">
        <f t="shared" ref="Z14" si="9">(Z10+Z11+Z47+Z45+Z46+Z44)</f>
        <v>8358.2380000000012</v>
      </c>
    </row>
    <row r="15" spans="1:27" s="9" customFormat="1" ht="15" customHeight="1" x14ac:dyDescent="0.2">
      <c r="A15" s="20" t="s">
        <v>67</v>
      </c>
      <c r="B15" s="21"/>
      <c r="C15" s="21"/>
      <c r="D15" s="21"/>
      <c r="E15" s="21"/>
      <c r="F15" s="21"/>
      <c r="G15" s="21">
        <f t="shared" ref="G15:K15" si="10">+((G13/B13)^(1/5)-1)</f>
        <v>0.64245677396118372</v>
      </c>
      <c r="H15" s="21">
        <f t="shared" si="10"/>
        <v>0.59459164280501575</v>
      </c>
      <c r="I15" s="21">
        <f t="shared" si="10"/>
        <v>0.42559716229665767</v>
      </c>
      <c r="J15" s="21">
        <f t="shared" si="10"/>
        <v>-0.27314265932440829</v>
      </c>
      <c r="K15" s="21">
        <f t="shared" si="10"/>
        <v>-0.22055668577786836</v>
      </c>
      <c r="L15" s="21"/>
      <c r="O15" s="15" t="s">
        <v>32</v>
      </c>
      <c r="P15" s="16">
        <f t="shared" ref="P15:Y15" si="11">P50-P35-P12</f>
        <v>360.118425</v>
      </c>
      <c r="Q15" s="16">
        <f t="shared" si="11"/>
        <v>513.11674400000004</v>
      </c>
      <c r="R15" s="16">
        <f t="shared" si="11"/>
        <v>642.54434499999991</v>
      </c>
      <c r="S15" s="16">
        <f t="shared" si="11"/>
        <v>3614.1659999999993</v>
      </c>
      <c r="T15" s="16">
        <f t="shared" si="11"/>
        <v>4999.2929999999997</v>
      </c>
      <c r="U15" s="16">
        <f t="shared" si="11"/>
        <v>6056.9049999999997</v>
      </c>
      <c r="V15" s="16">
        <f t="shared" si="11"/>
        <v>7828.655999999999</v>
      </c>
      <c r="W15" s="16">
        <f t="shared" si="11"/>
        <v>8465.2319999999982</v>
      </c>
      <c r="X15" s="27">
        <f t="shared" si="11"/>
        <v>8363.7540000000008</v>
      </c>
      <c r="Y15" s="27">
        <f t="shared" si="11"/>
        <v>8140.9660000000013</v>
      </c>
      <c r="Z15" s="27">
        <f t="shared" ref="Z15" si="12">Z50-Z35-Z12</f>
        <v>8358.237000000001</v>
      </c>
      <c r="AA15" s="26"/>
    </row>
    <row r="16" spans="1:27" s="9" customFormat="1" ht="15" customHeight="1" x14ac:dyDescent="0.2">
      <c r="A16" s="15" t="s">
        <v>5</v>
      </c>
      <c r="B16" s="28">
        <f t="shared" ref="B16:H16" si="13">(B13/B4)</f>
        <v>0.32096635871614981</v>
      </c>
      <c r="C16" s="28">
        <f t="shared" si="13"/>
        <v>0.26537573593603137</v>
      </c>
      <c r="D16" s="28">
        <f t="shared" si="13"/>
        <v>0.22837748946886161</v>
      </c>
      <c r="E16" s="28">
        <f t="shared" si="13"/>
        <v>0.26893626272111565</v>
      </c>
      <c r="F16" s="28">
        <f t="shared" si="13"/>
        <v>0.27388425826297846</v>
      </c>
      <c r="G16" s="28">
        <f t="shared" si="13"/>
        <v>0.27180484896661372</v>
      </c>
      <c r="H16" s="28">
        <f t="shared" si="13"/>
        <v>0.17764675279632341</v>
      </c>
      <c r="I16" s="28">
        <f t="shared" ref="I16" si="14">(I13/I4)</f>
        <v>0.15614285084076449</v>
      </c>
      <c r="J16" s="28">
        <f>(J13/J4)</f>
        <v>5.290021815635064E-2</v>
      </c>
      <c r="K16" s="28">
        <f>(K13/K4)</f>
        <v>7.467981743047554E-2</v>
      </c>
      <c r="L16" s="28">
        <f>(L13/L4)</f>
        <v>0.11811336175531695</v>
      </c>
      <c r="O16" s="29" t="s">
        <v>86</v>
      </c>
      <c r="P16" s="30" t="s">
        <v>68</v>
      </c>
      <c r="Q16" s="30">
        <v>405.56981300000001</v>
      </c>
      <c r="R16" s="30">
        <v>468.90404699999999</v>
      </c>
      <c r="S16" s="22">
        <v>1790.3240000000001</v>
      </c>
      <c r="T16" s="22">
        <v>3155.9549999999999</v>
      </c>
      <c r="U16" s="22">
        <v>5556.3950000000004</v>
      </c>
      <c r="V16" s="22">
        <v>6419.683</v>
      </c>
      <c r="W16" s="22">
        <v>7990.8329999999996</v>
      </c>
      <c r="X16" s="22">
        <v>7855.951</v>
      </c>
      <c r="Y16" s="31"/>
      <c r="Z16" s="31"/>
      <c r="AA16" s="32"/>
    </row>
    <row r="17" spans="1:26" s="9" customFormat="1" ht="15" customHeight="1" x14ac:dyDescent="0.2">
      <c r="A17" s="18" t="s">
        <v>6</v>
      </c>
      <c r="B17" s="22">
        <v>13.767310999999999</v>
      </c>
      <c r="C17" s="22">
        <v>14.966426</v>
      </c>
      <c r="D17" s="22">
        <v>14.846119</v>
      </c>
      <c r="E17" s="22">
        <v>87.269000000000005</v>
      </c>
      <c r="F17" s="22">
        <v>63.039000000000001</v>
      </c>
      <c r="G17" s="22">
        <v>59.380999999999993</v>
      </c>
      <c r="H17" s="22">
        <v>74.180000000000007</v>
      </c>
      <c r="I17" s="22">
        <v>80.325999999999993</v>
      </c>
      <c r="J17" s="22">
        <v>93.007000000000005</v>
      </c>
      <c r="K17" s="22">
        <v>86.364999999999995</v>
      </c>
      <c r="L17" s="22">
        <v>29.102</v>
      </c>
      <c r="O17" s="15" t="s">
        <v>101</v>
      </c>
      <c r="P17" s="16">
        <f t="shared" ref="P17:V17" si="15">SUM(P18:P25)</f>
        <v>264.49218500000001</v>
      </c>
      <c r="Q17" s="16">
        <f t="shared" si="15"/>
        <v>343.77029300000004</v>
      </c>
      <c r="R17" s="16">
        <f t="shared" si="15"/>
        <v>386.13054699999998</v>
      </c>
      <c r="S17" s="16">
        <f t="shared" si="15"/>
        <v>2625.2829999999999</v>
      </c>
      <c r="T17" s="16">
        <f t="shared" si="15"/>
        <v>4450.7280000000001</v>
      </c>
      <c r="U17" s="16">
        <f t="shared" si="15"/>
        <v>5730.6530000000002</v>
      </c>
      <c r="V17" s="16">
        <f t="shared" si="15"/>
        <v>6652.2179999999998</v>
      </c>
      <c r="W17" s="16">
        <f>SUM(W18:W25)</f>
        <v>7681.8179999999993</v>
      </c>
      <c r="X17" s="16">
        <f>SUM(X18:X25)</f>
        <v>8352.9719999999998</v>
      </c>
      <c r="Y17" s="16">
        <f>SUM(Y18:Y25)</f>
        <v>8268.6920000000009</v>
      </c>
      <c r="Z17" s="16">
        <f>SUM(Z18:Z25)</f>
        <v>8786.41</v>
      </c>
    </row>
    <row r="18" spans="1:26" s="9" customFormat="1" ht="15" customHeight="1" x14ac:dyDescent="0.2">
      <c r="A18" s="18" t="s">
        <v>7</v>
      </c>
      <c r="B18" s="22">
        <v>9.2667870000000008</v>
      </c>
      <c r="C18" s="22">
        <v>17.093682000000001</v>
      </c>
      <c r="D18" s="22">
        <v>21.884025000000001</v>
      </c>
      <c r="E18" s="22">
        <v>136.41199999999998</v>
      </c>
      <c r="F18" s="22">
        <v>157.667</v>
      </c>
      <c r="G18" s="22">
        <v>212.39899999999997</v>
      </c>
      <c r="H18" s="22">
        <v>296.19</v>
      </c>
      <c r="I18" s="22">
        <v>291.89299999999997</v>
      </c>
      <c r="J18" s="22">
        <v>349.24900000000002</v>
      </c>
      <c r="K18" s="22">
        <v>357.60399999999998</v>
      </c>
      <c r="L18" s="22">
        <v>293.12700000000001</v>
      </c>
      <c r="O18" s="18" t="s">
        <v>111</v>
      </c>
      <c r="P18" s="19">
        <v>124.36668299999999</v>
      </c>
      <c r="Q18" s="19">
        <v>264.23576100000002</v>
      </c>
      <c r="R18" s="19">
        <v>306.377724</v>
      </c>
      <c r="S18" s="19">
        <v>1430.9549999999999</v>
      </c>
      <c r="T18" s="19">
        <v>2728.5990000000002</v>
      </c>
      <c r="U18" s="19">
        <v>4966.9800000000005</v>
      </c>
      <c r="V18" s="19">
        <v>5302.6</v>
      </c>
      <c r="W18" s="19">
        <v>6564.63</v>
      </c>
      <c r="X18" s="19">
        <v>6297.1379999999999</v>
      </c>
      <c r="Y18" s="19">
        <v>6437.3909999999996</v>
      </c>
      <c r="Z18" s="19">
        <v>6940.0159999999996</v>
      </c>
    </row>
    <row r="19" spans="1:26" s="9" customFormat="1" ht="15" customHeight="1" x14ac:dyDescent="0.2">
      <c r="A19" s="18" t="s">
        <v>74</v>
      </c>
      <c r="B19" s="22">
        <v>4.8527339999999999</v>
      </c>
      <c r="C19" s="22">
        <v>2.5469979999999999</v>
      </c>
      <c r="D19" s="22">
        <v>4.6909179999999999</v>
      </c>
      <c r="E19" s="22">
        <v>36.765000000000001</v>
      </c>
      <c r="F19" s="22">
        <v>23.263999999999999</v>
      </c>
      <c r="G19" s="22">
        <v>49.980000000000004</v>
      </c>
      <c r="H19" s="22">
        <v>64.790000000000006</v>
      </c>
      <c r="I19" s="22">
        <v>107.92700000000001</v>
      </c>
      <c r="J19" s="22">
        <v>163.434</v>
      </c>
      <c r="K19" s="22">
        <v>236.39</v>
      </c>
      <c r="L19" s="22">
        <v>147.744</v>
      </c>
      <c r="O19" s="18" t="s">
        <v>75</v>
      </c>
      <c r="P19" s="19">
        <v>1.6074980000000001</v>
      </c>
      <c r="Q19" s="22">
        <v>0</v>
      </c>
      <c r="R19" s="22"/>
      <c r="S19" s="19">
        <v>655.60599999999999</v>
      </c>
      <c r="T19" s="19">
        <v>1291.2180000000001</v>
      </c>
      <c r="U19" s="19">
        <v>458.91</v>
      </c>
      <c r="V19" s="19">
        <v>1116.07</v>
      </c>
      <c r="W19" s="19">
        <v>708.84900000000005</v>
      </c>
      <c r="X19" s="19">
        <v>861.38900000000001</v>
      </c>
      <c r="Y19" s="19">
        <v>656.971</v>
      </c>
      <c r="Z19" s="19">
        <v>85.477000000000004</v>
      </c>
    </row>
    <row r="20" spans="1:26" s="9" customFormat="1" ht="15" customHeight="1" x14ac:dyDescent="0.2">
      <c r="A20" s="18" t="s">
        <v>123</v>
      </c>
      <c r="B20" s="22"/>
      <c r="C20" s="22"/>
      <c r="D20" s="22"/>
      <c r="E20" s="22"/>
      <c r="F20" s="22"/>
      <c r="G20" s="22"/>
      <c r="H20" s="22"/>
      <c r="I20" s="22"/>
      <c r="J20" s="22">
        <v>-15.646000000000001</v>
      </c>
      <c r="K20" s="22">
        <v>-7.6230000000000002</v>
      </c>
      <c r="L20" s="22">
        <v>-17.251000000000001</v>
      </c>
      <c r="O20" s="18" t="s">
        <v>106</v>
      </c>
      <c r="P20" s="22"/>
      <c r="Q20" s="22"/>
      <c r="R20" s="22"/>
      <c r="S20" s="19">
        <v>8.8709999999999987</v>
      </c>
      <c r="T20" s="19">
        <v>6.7629999999999999</v>
      </c>
      <c r="U20" s="19">
        <v>6.4909999999999997</v>
      </c>
      <c r="V20" s="19">
        <v>8.4</v>
      </c>
      <c r="W20" s="19">
        <v>12.430999999999999</v>
      </c>
      <c r="X20" s="19">
        <v>5.34</v>
      </c>
      <c r="Y20" s="19">
        <v>3.0009999999999999</v>
      </c>
      <c r="Z20" s="19">
        <v>0.94899999999999995</v>
      </c>
    </row>
    <row r="21" spans="1:26" s="9" customFormat="1" ht="15" customHeight="1" x14ac:dyDescent="0.2">
      <c r="A21" s="18" t="s">
        <v>8</v>
      </c>
      <c r="B21" s="22">
        <v>0.27310499999999999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48.978000000000002</v>
      </c>
      <c r="J21" s="22">
        <v>-34.109000000000002</v>
      </c>
      <c r="K21" s="22">
        <v>0</v>
      </c>
      <c r="L21" s="22">
        <v>57.207999999999998</v>
      </c>
      <c r="O21" s="18" t="s">
        <v>107</v>
      </c>
      <c r="P21" s="22"/>
      <c r="Q21" s="22"/>
      <c r="R21" s="22"/>
      <c r="S21" s="19">
        <v>65.703999999999994</v>
      </c>
      <c r="T21" s="19">
        <v>28.158999999999999</v>
      </c>
      <c r="U21" s="19">
        <v>123.276</v>
      </c>
      <c r="V21" s="19">
        <v>123.27</v>
      </c>
      <c r="W21" s="19">
        <v>123.276</v>
      </c>
      <c r="X21" s="19">
        <v>123.276</v>
      </c>
      <c r="Y21" s="19">
        <v>123.276</v>
      </c>
      <c r="Z21" s="19">
        <v>123.276</v>
      </c>
    </row>
    <row r="22" spans="1:26" s="9" customFormat="1" ht="15" customHeight="1" x14ac:dyDescent="0.2">
      <c r="A22" s="15" t="s">
        <v>9</v>
      </c>
      <c r="B22" s="16">
        <f>B4-B7-B21</f>
        <v>157.24770699999999</v>
      </c>
      <c r="C22" s="16">
        <f>C4-C7</f>
        <v>179.08415600000012</v>
      </c>
      <c r="D22" s="16">
        <f>D4-D7</f>
        <v>252.34087299999999</v>
      </c>
      <c r="E22" s="16">
        <f>E4-E7</f>
        <v>1712.1449999999977</v>
      </c>
      <c r="F22" s="16">
        <f>F4-F7</f>
        <v>1684.8710000000001</v>
      </c>
      <c r="G22" s="16">
        <f>G4-G7</f>
        <v>1789.2040000000006</v>
      </c>
      <c r="H22" s="16">
        <f>H4+H17-H7</f>
        <v>1761.9999999999982</v>
      </c>
      <c r="I22" s="16">
        <f>I4+I17-I7+I21</f>
        <v>1371.8020000000006</v>
      </c>
      <c r="J22" s="16">
        <f>J4+J17-J7+J21+J20</f>
        <v>-86.931000000000395</v>
      </c>
      <c r="K22" s="16">
        <f>K4+K17-K7+K21+K20</f>
        <v>21.517999999999621</v>
      </c>
      <c r="L22" s="16">
        <f>L4+L17-L7+L21+L20</f>
        <v>243.53699999999989</v>
      </c>
      <c r="O22" s="18" t="s">
        <v>108</v>
      </c>
      <c r="P22" s="22">
        <v>0</v>
      </c>
      <c r="Q22" s="22">
        <v>0</v>
      </c>
      <c r="R22" s="22">
        <v>0</v>
      </c>
      <c r="S22" s="19">
        <v>0.28500000000000003</v>
      </c>
      <c r="T22" s="19">
        <v>0.27900000000000003</v>
      </c>
      <c r="U22" s="19">
        <v>0.14899999999999999</v>
      </c>
      <c r="V22" s="19">
        <v>1.7999999999999999E-2</v>
      </c>
      <c r="W22" s="19">
        <v>2.1309999999999998</v>
      </c>
      <c r="X22" s="19">
        <v>2.375</v>
      </c>
      <c r="Y22" s="19">
        <v>4.5449999999999999</v>
      </c>
      <c r="Z22" s="19">
        <v>4.3499999999999996</v>
      </c>
    </row>
    <row r="23" spans="1:26" s="9" customFormat="1" ht="15" customHeight="1" x14ac:dyDescent="0.2">
      <c r="A23" s="18" t="s">
        <v>10</v>
      </c>
      <c r="B23" s="19">
        <f>(53800000+343407+657226)/1000000</f>
        <v>54.800632999999998</v>
      </c>
      <c r="C23" s="19">
        <f>(59400000+994630+2489813)/1000000</f>
        <v>62.884442999999997</v>
      </c>
      <c r="D23" s="19">
        <f>(84600000+4364312)/1000000</f>
        <v>88.964312000000007</v>
      </c>
      <c r="E23" s="19">
        <v>499.64099999999996</v>
      </c>
      <c r="F23" s="19">
        <v>422.90299999999996</v>
      </c>
      <c r="G23" s="19">
        <v>539.899</v>
      </c>
      <c r="H23" s="19">
        <v>482.57</v>
      </c>
      <c r="I23" s="19">
        <v>346.15499999999997</v>
      </c>
      <c r="J23" s="19">
        <v>-2.9670000000000001</v>
      </c>
      <c r="K23" s="19">
        <v>55.792999999999999</v>
      </c>
      <c r="L23" s="19">
        <v>68.745000000000005</v>
      </c>
      <c r="O23" s="18" t="s">
        <v>109</v>
      </c>
      <c r="P23" s="22"/>
      <c r="Q23" s="22"/>
      <c r="R23" s="22"/>
      <c r="S23" s="19">
        <v>339.22300000000001</v>
      </c>
      <c r="T23" s="19">
        <v>181.08099999999999</v>
      </c>
      <c r="U23" s="19">
        <v>23.37</v>
      </c>
      <c r="V23" s="19">
        <v>32.450000000000003</v>
      </c>
      <c r="W23" s="19">
        <v>36.680999999999997</v>
      </c>
      <c r="X23" s="19">
        <v>952.96600000000001</v>
      </c>
      <c r="Y23" s="19">
        <v>935.83199999999999</v>
      </c>
      <c r="Z23" s="19">
        <v>1523.9269999999999</v>
      </c>
    </row>
    <row r="24" spans="1:26" s="9" customFormat="1" ht="15" customHeight="1" x14ac:dyDescent="0.2">
      <c r="A24" s="20" t="s">
        <v>11</v>
      </c>
      <c r="B24" s="33">
        <f t="shared" ref="B24:E24" si="16">(B23/B22)</f>
        <v>0.34849877333982365</v>
      </c>
      <c r="C24" s="33">
        <f t="shared" si="16"/>
        <v>0.3511446484411494</v>
      </c>
      <c r="D24" s="33">
        <f t="shared" si="16"/>
        <v>0.35255609185437037</v>
      </c>
      <c r="E24" s="33">
        <f t="shared" si="16"/>
        <v>0.29182166230079848</v>
      </c>
      <c r="F24" s="33">
        <f t="shared" ref="F24:I24" si="17">(F23/F22)</f>
        <v>0.25100022494303714</v>
      </c>
      <c r="G24" s="33">
        <f t="shared" si="17"/>
        <v>0.30175374076963823</v>
      </c>
      <c r="H24" s="33">
        <f t="shared" si="17"/>
        <v>0.27387627695800254</v>
      </c>
      <c r="I24" s="33">
        <f t="shared" si="17"/>
        <v>0.25233597851584982</v>
      </c>
      <c r="J24" s="33">
        <f>(J23/J22)</f>
        <v>3.4130517306829401E-2</v>
      </c>
      <c r="K24" s="33">
        <f>(K23/K22)</f>
        <v>2.5928524955851371</v>
      </c>
      <c r="L24" s="33">
        <f>(L23/L22)</f>
        <v>0.28227743628278262</v>
      </c>
      <c r="O24" s="18" t="s">
        <v>76</v>
      </c>
      <c r="P24" s="19">
        <v>118.935644</v>
      </c>
      <c r="Q24" s="19">
        <v>13.073307</v>
      </c>
      <c r="R24" s="19">
        <v>8.739846</v>
      </c>
      <c r="S24" s="19">
        <v>39.118000000000002</v>
      </c>
      <c r="T24" s="19">
        <v>60.544000000000004</v>
      </c>
      <c r="U24" s="19">
        <v>58.345000000000006</v>
      </c>
      <c r="V24" s="19">
        <v>58.04</v>
      </c>
      <c r="W24" s="19">
        <v>67.534999999999997</v>
      </c>
      <c r="X24" s="19">
        <v>54.078000000000003</v>
      </c>
      <c r="Y24" s="19">
        <v>56.798999999999999</v>
      </c>
      <c r="Z24" s="19">
        <v>57.063000000000002</v>
      </c>
    </row>
    <row r="25" spans="1:26" s="9" customFormat="1" ht="15" customHeight="1" x14ac:dyDescent="0.2">
      <c r="A25" s="15" t="s">
        <v>97</v>
      </c>
      <c r="B25" s="16">
        <f t="shared" ref="B25:F25" si="18">(B22-B23)</f>
        <v>102.44707399999999</v>
      </c>
      <c r="C25" s="16">
        <f t="shared" si="18"/>
        <v>116.19971300000012</v>
      </c>
      <c r="D25" s="16">
        <f t="shared" si="18"/>
        <v>163.37656099999998</v>
      </c>
      <c r="E25" s="16">
        <f t="shared" si="18"/>
        <v>1212.5039999999976</v>
      </c>
      <c r="F25" s="16">
        <f t="shared" si="18"/>
        <v>1261.9680000000001</v>
      </c>
      <c r="G25" s="16">
        <f t="shared" ref="G25:L25" si="19">(G22-G23)</f>
        <v>1249.3050000000007</v>
      </c>
      <c r="H25" s="16">
        <f t="shared" si="19"/>
        <v>1279.4299999999982</v>
      </c>
      <c r="I25" s="16">
        <f t="shared" si="19"/>
        <v>1025.6470000000006</v>
      </c>
      <c r="J25" s="16">
        <f t="shared" si="19"/>
        <v>-83.964000000000397</v>
      </c>
      <c r="K25" s="16">
        <f t="shared" si="19"/>
        <v>-34.275000000000375</v>
      </c>
      <c r="L25" s="16">
        <f t="shared" si="19"/>
        <v>174.79199999999989</v>
      </c>
      <c r="O25" s="18" t="s">
        <v>77</v>
      </c>
      <c r="P25" s="19">
        <v>19.582360000000001</v>
      </c>
      <c r="Q25" s="19">
        <v>66.461224999999999</v>
      </c>
      <c r="R25" s="19">
        <v>71.012977000000006</v>
      </c>
      <c r="S25" s="19">
        <v>85.521000000000001</v>
      </c>
      <c r="T25" s="19">
        <v>154.08499999999998</v>
      </c>
      <c r="U25" s="19">
        <v>93.132000000000005</v>
      </c>
      <c r="V25" s="19">
        <v>11.37</v>
      </c>
      <c r="W25" s="19">
        <v>166.285</v>
      </c>
      <c r="X25" s="19">
        <v>56.41</v>
      </c>
      <c r="Y25" s="19">
        <v>50.877000000000002</v>
      </c>
      <c r="Z25" s="19">
        <v>51.351999999999997</v>
      </c>
    </row>
    <row r="26" spans="1:26" s="9" customFormat="1" ht="15" customHeight="1" x14ac:dyDescent="0.2">
      <c r="A26" s="18" t="s">
        <v>98</v>
      </c>
      <c r="B26" s="19"/>
      <c r="C26" s="19"/>
      <c r="D26" s="19"/>
      <c r="E26" s="19">
        <v>119.65899999999999</v>
      </c>
      <c r="F26" s="19"/>
      <c r="G26" s="19"/>
      <c r="H26" s="19"/>
      <c r="I26" s="19"/>
      <c r="J26" s="19"/>
      <c r="K26" s="19"/>
      <c r="L26" s="19"/>
      <c r="O26" s="15" t="s">
        <v>103</v>
      </c>
      <c r="P26" s="16">
        <f t="shared" ref="P26:V26" si="20">SUM(P27:P34)</f>
        <v>143.25658899999999</v>
      </c>
      <c r="Q26" s="16">
        <f t="shared" si="20"/>
        <v>341.34867599999995</v>
      </c>
      <c r="R26" s="16">
        <f t="shared" si="20"/>
        <v>575.58385999999996</v>
      </c>
      <c r="S26" s="16">
        <f t="shared" si="20"/>
        <v>2185.5789999999997</v>
      </c>
      <c r="T26" s="16">
        <f t="shared" si="20"/>
        <v>2240.3129999999996</v>
      </c>
      <c r="U26" s="16">
        <f t="shared" si="20"/>
        <v>3032.4</v>
      </c>
      <c r="V26" s="16">
        <f t="shared" si="20"/>
        <v>5195.1180000000004</v>
      </c>
      <c r="W26" s="16">
        <f t="shared" ref="W26" si="21">SUM(W27:W34)</f>
        <v>4710.4459999999999</v>
      </c>
      <c r="X26" s="16">
        <f>SUM(X27:X34)</f>
        <v>4126.6750000000002</v>
      </c>
      <c r="Y26" s="16">
        <f>SUM(Y27:Y34)</f>
        <v>3560.5979999999995</v>
      </c>
      <c r="Z26" s="16">
        <f>SUM(Z27:Z34)</f>
        <v>2838.8170000000005</v>
      </c>
    </row>
    <row r="27" spans="1:26" s="9" customFormat="1" ht="15" customHeight="1" x14ac:dyDescent="0.2">
      <c r="A27" s="15" t="s">
        <v>118</v>
      </c>
      <c r="B27" s="16">
        <f t="shared" ref="B27:D27" si="22">B25+B26</f>
        <v>102.44707399999999</v>
      </c>
      <c r="C27" s="16">
        <f t="shared" si="22"/>
        <v>116.19971300000012</v>
      </c>
      <c r="D27" s="16">
        <f t="shared" si="22"/>
        <v>163.37656099999998</v>
      </c>
      <c r="E27" s="16">
        <f>E25+E26</f>
        <v>1332.1629999999977</v>
      </c>
      <c r="F27" s="16">
        <f t="shared" ref="F27:G27" si="23">F25+F26</f>
        <v>1261.9680000000001</v>
      </c>
      <c r="G27" s="16">
        <f t="shared" si="23"/>
        <v>1249.3050000000007</v>
      </c>
      <c r="H27" s="16">
        <f>(H22-H23)</f>
        <v>1279.4299999999982</v>
      </c>
      <c r="I27" s="16">
        <f>(I22-I23)</f>
        <v>1025.6470000000006</v>
      </c>
      <c r="J27" s="16">
        <f>(J22-J23)</f>
        <v>-83.964000000000397</v>
      </c>
      <c r="K27" s="16">
        <f>(K22-K23)</f>
        <v>-34.275000000000375</v>
      </c>
      <c r="L27" s="16">
        <f>(L22-L23)</f>
        <v>174.79199999999989</v>
      </c>
      <c r="O27" s="18" t="s">
        <v>33</v>
      </c>
      <c r="P27" s="19">
        <v>24.642568000000001</v>
      </c>
      <c r="Q27" s="19">
        <v>93.744753000000003</v>
      </c>
      <c r="R27" s="19">
        <v>70.944616999999994</v>
      </c>
      <c r="S27" s="19">
        <v>479.09899999999999</v>
      </c>
      <c r="T27" s="19">
        <v>448.64300000000003</v>
      </c>
      <c r="U27" s="19">
        <v>721.70399999999995</v>
      </c>
      <c r="V27" s="19">
        <v>1136.3699999999999</v>
      </c>
      <c r="W27" s="19">
        <v>1262.2180000000001</v>
      </c>
      <c r="X27" s="19">
        <v>1142.3240000000001</v>
      </c>
      <c r="Y27" s="19">
        <v>889.71199999999999</v>
      </c>
      <c r="Z27" s="19">
        <v>973.61599999999999</v>
      </c>
    </row>
    <row r="28" spans="1:26" s="9" customFormat="1" ht="15" customHeight="1" x14ac:dyDescent="0.2">
      <c r="A28" s="15" t="s">
        <v>63</v>
      </c>
      <c r="B28" s="34">
        <f t="shared" ref="B28:I28" si="24">B27/B4</f>
        <v>0.19157539331331841</v>
      </c>
      <c r="C28" s="34">
        <f t="shared" si="24"/>
        <v>0.15517227224145572</v>
      </c>
      <c r="D28" s="34">
        <f t="shared" si="24"/>
        <v>0.13377344237530195</v>
      </c>
      <c r="E28" s="34">
        <f t="shared" si="24"/>
        <v>0.19002957508338064</v>
      </c>
      <c r="F28" s="34">
        <f t="shared" si="24"/>
        <v>0.18524643538361221</v>
      </c>
      <c r="G28" s="34">
        <f t="shared" si="24"/>
        <v>0.16551470588235304</v>
      </c>
      <c r="H28" s="34">
        <f t="shared" si="24"/>
        <v>0.11093644324980476</v>
      </c>
      <c r="I28" s="34">
        <f t="shared" si="24"/>
        <v>9.7513055654433273E-2</v>
      </c>
      <c r="J28" s="34">
        <f>J27/J4</f>
        <v>-1.1612323966744695E-2</v>
      </c>
      <c r="K28" s="34">
        <f>K27/K4</f>
        <v>-4.7686173639167207E-3</v>
      </c>
      <c r="L28" s="34">
        <f>L27/L4</f>
        <v>3.3550506668468372E-2</v>
      </c>
      <c r="O28" s="18" t="s">
        <v>110</v>
      </c>
      <c r="P28" s="22"/>
      <c r="Q28" s="22"/>
      <c r="R28" s="22"/>
      <c r="S28" s="19">
        <v>104.34100000000001</v>
      </c>
      <c r="T28" s="19">
        <v>47.466999999999999</v>
      </c>
      <c r="U28" s="19">
        <v>40.006</v>
      </c>
      <c r="V28" s="19">
        <v>45.649000000000001</v>
      </c>
      <c r="W28" s="19">
        <v>375.209</v>
      </c>
      <c r="X28" s="19">
        <v>33</v>
      </c>
      <c r="Y28" s="19">
        <v>0</v>
      </c>
      <c r="Z28" s="19">
        <v>0</v>
      </c>
    </row>
    <row r="29" spans="1:26" s="9" customFormat="1" ht="15" customHeight="1" x14ac:dyDescent="0.2">
      <c r="A29" s="18" t="s">
        <v>12</v>
      </c>
      <c r="B29" s="19"/>
      <c r="C29" s="19"/>
      <c r="D29" s="19"/>
      <c r="E29" s="19">
        <v>-0.19</v>
      </c>
      <c r="F29" s="19"/>
      <c r="G29" s="19"/>
      <c r="H29" s="19"/>
      <c r="I29" s="19"/>
      <c r="J29" s="19"/>
      <c r="K29" s="19"/>
      <c r="L29" s="19"/>
      <c r="O29" s="18" t="s">
        <v>94</v>
      </c>
      <c r="P29" s="19">
        <v>101.872074</v>
      </c>
      <c r="Q29" s="19">
        <v>176.84246999999999</v>
      </c>
      <c r="R29" s="19">
        <v>368.87466899999998</v>
      </c>
      <c r="S29" s="19">
        <v>1413.777</v>
      </c>
      <c r="T29" s="19">
        <v>1325.943</v>
      </c>
      <c r="U29" s="19">
        <v>1567.79</v>
      </c>
      <c r="V29" s="19">
        <v>3209.36</v>
      </c>
      <c r="W29" s="19">
        <v>2542.9870000000001</v>
      </c>
      <c r="X29" s="19">
        <v>2093.6219999999998</v>
      </c>
      <c r="Y29" s="19">
        <v>1768.8630000000001</v>
      </c>
      <c r="Z29" s="19">
        <v>1549.9480000000001</v>
      </c>
    </row>
    <row r="30" spans="1:26" s="9" customFormat="1" ht="15" customHeight="1" x14ac:dyDescent="0.2">
      <c r="A30" s="18" t="s">
        <v>55</v>
      </c>
      <c r="B30" s="19"/>
      <c r="C30" s="19"/>
      <c r="D30" s="19"/>
      <c r="E30" s="19"/>
      <c r="F30" s="19">
        <v>2.371</v>
      </c>
      <c r="G30" s="19">
        <v>69.433999999999997</v>
      </c>
      <c r="H30" s="19">
        <v>5.95</v>
      </c>
      <c r="I30" s="19">
        <v>1.5229999999999999</v>
      </c>
      <c r="J30" s="19">
        <v>7.0739999999999998</v>
      </c>
      <c r="K30" s="19">
        <v>-9.5399999999999991</v>
      </c>
      <c r="L30" s="19">
        <v>0.73899999999999999</v>
      </c>
      <c r="O30" s="19" t="s">
        <v>34</v>
      </c>
      <c r="P30" s="19">
        <v>11.426399999999999</v>
      </c>
      <c r="Q30" s="19">
        <v>50.347675000000002</v>
      </c>
      <c r="R30" s="19">
        <v>115.55900200000001</v>
      </c>
      <c r="S30" s="19">
        <f>(286+77.78)/10</f>
        <v>36.378</v>
      </c>
      <c r="T30" s="19">
        <f>(765.77+502.19)/10</f>
        <v>126.79600000000001</v>
      </c>
      <c r="U30" s="19">
        <v>309.83999999999997</v>
      </c>
      <c r="V30" s="19">
        <v>453.8</v>
      </c>
      <c r="W30" s="19">
        <f>77.508+3.995</f>
        <v>81.503</v>
      </c>
      <c r="X30" s="19">
        <f>34.394+3.588</f>
        <v>37.981999999999999</v>
      </c>
      <c r="Y30" s="19">
        <f>70.968+5.487</f>
        <v>76.454999999999998</v>
      </c>
      <c r="Z30" s="19">
        <f>60.189+3.679</f>
        <v>63.868000000000002</v>
      </c>
    </row>
    <row r="31" spans="1:26" s="9" customFormat="1" ht="15" customHeight="1" x14ac:dyDescent="0.2">
      <c r="A31" s="15" t="s">
        <v>122</v>
      </c>
      <c r="B31" s="16">
        <f t="shared" ref="B31:F31" si="25">(B27-B29+B30)</f>
        <v>102.44707399999999</v>
      </c>
      <c r="C31" s="16">
        <f t="shared" si="25"/>
        <v>116.19971300000012</v>
      </c>
      <c r="D31" s="16">
        <f t="shared" si="25"/>
        <v>163.37656099999998</v>
      </c>
      <c r="E31" s="16">
        <f t="shared" si="25"/>
        <v>1332.3529999999978</v>
      </c>
      <c r="F31" s="16">
        <f t="shared" si="25"/>
        <v>1264.3390000000002</v>
      </c>
      <c r="G31" s="16">
        <f t="shared" ref="G31:L31" si="26">(G27-G29+G30)</f>
        <v>1318.7390000000007</v>
      </c>
      <c r="H31" s="16">
        <f t="shared" si="26"/>
        <v>1285.3799999999983</v>
      </c>
      <c r="I31" s="16">
        <f t="shared" si="26"/>
        <v>1027.1700000000005</v>
      </c>
      <c r="J31" s="16">
        <f t="shared" si="26"/>
        <v>-76.890000000000398</v>
      </c>
      <c r="K31" s="16">
        <f t="shared" si="26"/>
        <v>-43.815000000000374</v>
      </c>
      <c r="L31" s="16">
        <f t="shared" si="26"/>
        <v>175.53099999999989</v>
      </c>
      <c r="O31" s="18" t="s">
        <v>78</v>
      </c>
      <c r="P31" s="19">
        <v>5.3155469999999996</v>
      </c>
      <c r="Q31" s="22"/>
      <c r="R31" s="19">
        <v>20.205572</v>
      </c>
      <c r="S31" s="19">
        <v>4.7810000000000006</v>
      </c>
      <c r="T31" s="19">
        <v>7.4550000000000001</v>
      </c>
      <c r="U31" s="19">
        <v>4.74</v>
      </c>
      <c r="V31" s="19">
        <v>4.66</v>
      </c>
      <c r="W31" s="19">
        <v>7.8380000000000001</v>
      </c>
      <c r="X31" s="19">
        <v>492.39299999999997</v>
      </c>
      <c r="Y31" s="19">
        <v>491.85700000000003</v>
      </c>
      <c r="Z31" s="19">
        <v>5.1020000000000003</v>
      </c>
    </row>
    <row r="32" spans="1:26" s="9" customFormat="1" ht="15" customHeight="1" x14ac:dyDescent="0.2">
      <c r="A32" s="20" t="s">
        <v>1</v>
      </c>
      <c r="B32" s="21"/>
      <c r="C32" s="21">
        <f t="shared" ref="C32:H32" si="27">(C31/B31-1)</f>
        <v>0.13424140351729452</v>
      </c>
      <c r="D32" s="21">
        <f t="shared" si="27"/>
        <v>0.40599797350618094</v>
      </c>
      <c r="E32" s="21">
        <f t="shared" si="27"/>
        <v>7.1551049418894177</v>
      </c>
      <c r="F32" s="21">
        <f t="shared" si="27"/>
        <v>-5.1048033066310339E-2</v>
      </c>
      <c r="G32" s="21">
        <f t="shared" si="27"/>
        <v>4.3026435157027088E-2</v>
      </c>
      <c r="H32" s="21">
        <f t="shared" si="27"/>
        <v>-2.5296135171555822E-2</v>
      </c>
      <c r="I32" s="21">
        <f>(I31/H31-1)</f>
        <v>-0.20088222937963718</v>
      </c>
      <c r="J32" s="21">
        <f>(J31/I31-1)</f>
        <v>-1.0748561581821903</v>
      </c>
      <c r="K32" s="21">
        <f>(K31/J31-1)</f>
        <v>-0.43015996878657636</v>
      </c>
      <c r="L32" s="21"/>
      <c r="O32" s="18" t="s">
        <v>112</v>
      </c>
      <c r="P32" s="22"/>
      <c r="Q32" s="19">
        <v>20.413778000000001</v>
      </c>
      <c r="R32" s="22"/>
      <c r="S32" s="19">
        <v>0</v>
      </c>
      <c r="T32" s="19">
        <v>0</v>
      </c>
      <c r="U32" s="19">
        <v>2.15</v>
      </c>
      <c r="V32" s="19">
        <v>3.4</v>
      </c>
      <c r="W32" s="19">
        <v>36.369</v>
      </c>
      <c r="X32" s="19">
        <v>29.335000000000001</v>
      </c>
      <c r="Y32" s="19">
        <v>55.070999999999998</v>
      </c>
      <c r="Z32" s="19">
        <v>44.058999999999997</v>
      </c>
    </row>
    <row r="33" spans="1:26" s="9" customFormat="1" ht="15" customHeight="1" x14ac:dyDescent="0.2">
      <c r="A33" s="20" t="s">
        <v>2</v>
      </c>
      <c r="B33" s="21"/>
      <c r="C33" s="21"/>
      <c r="D33" s="21"/>
      <c r="E33" s="21"/>
      <c r="F33" s="21"/>
      <c r="G33" s="21">
        <f t="shared" ref="G33:K33" si="28">+((G31/B31)^(1/5)-1)</f>
        <v>0.66698563822684842</v>
      </c>
      <c r="H33" s="21">
        <f t="shared" si="28"/>
        <v>0.61720582354753795</v>
      </c>
      <c r="I33" s="21">
        <f t="shared" si="28"/>
        <v>0.44441009586890967</v>
      </c>
      <c r="J33" s="21">
        <f t="shared" si="28"/>
        <v>-1.5652624172272471</v>
      </c>
      <c r="K33" s="21">
        <f t="shared" si="28"/>
        <v>-1.5104484111137548</v>
      </c>
      <c r="L33" s="21"/>
      <c r="O33" s="35" t="s">
        <v>53</v>
      </c>
      <c r="P33" s="18"/>
      <c r="Q33" s="36"/>
      <c r="R33" s="19"/>
      <c r="S33" s="19">
        <v>146.71199999999999</v>
      </c>
      <c r="T33" s="19">
        <v>242.42199999999997</v>
      </c>
      <c r="U33" s="19">
        <v>364.49</v>
      </c>
      <c r="V33" s="19">
        <v>232.60900000000001</v>
      </c>
      <c r="W33" s="19">
        <v>308.37099999999998</v>
      </c>
      <c r="X33" s="19">
        <v>171.10499999999999</v>
      </c>
      <c r="Y33" s="19">
        <v>157.31</v>
      </c>
      <c r="Z33" s="19">
        <v>99.674000000000007</v>
      </c>
    </row>
    <row r="34" spans="1:26" s="9" customFormat="1" ht="15" customHeight="1" x14ac:dyDescent="0.2">
      <c r="A34" s="29" t="s">
        <v>13</v>
      </c>
      <c r="B34" s="37">
        <v>28.14</v>
      </c>
      <c r="C34" s="37">
        <v>21.89</v>
      </c>
      <c r="D34" s="37">
        <v>27.86</v>
      </c>
      <c r="E34" s="37">
        <v>95.29</v>
      </c>
      <c r="F34" s="37">
        <v>44.32</v>
      </c>
      <c r="G34" s="37">
        <v>40.97</v>
      </c>
      <c r="H34" s="37">
        <v>40.51</v>
      </c>
      <c r="I34" s="37">
        <v>31.5</v>
      </c>
      <c r="J34" s="37">
        <v>-3</v>
      </c>
      <c r="K34" s="37">
        <v>-1.24</v>
      </c>
      <c r="L34" s="37">
        <v>6.25</v>
      </c>
      <c r="O34" s="18" t="s">
        <v>90</v>
      </c>
      <c r="P34" s="22"/>
      <c r="Q34" s="22"/>
      <c r="R34" s="22"/>
      <c r="S34" s="19">
        <v>0.49099999999999999</v>
      </c>
      <c r="T34" s="19">
        <v>41.587000000000003</v>
      </c>
      <c r="U34" s="19">
        <v>21.68</v>
      </c>
      <c r="V34" s="19">
        <v>109.27</v>
      </c>
      <c r="W34" s="19">
        <v>95.950999999999993</v>
      </c>
      <c r="X34" s="19">
        <v>126.914</v>
      </c>
      <c r="Y34" s="19">
        <v>121.33</v>
      </c>
      <c r="Z34" s="19">
        <v>102.55</v>
      </c>
    </row>
    <row r="35" spans="1:26" s="9" customFormat="1" ht="15" customHeight="1" x14ac:dyDescent="0.2">
      <c r="A35" s="20" t="s">
        <v>1</v>
      </c>
      <c r="B35" s="38"/>
      <c r="C35" s="38">
        <f t="shared" ref="C35:H35" si="29">(C34/B34-1)</f>
        <v>-0.22210376687988631</v>
      </c>
      <c r="D35" s="38">
        <f t="shared" si="29"/>
        <v>0.27272727272727271</v>
      </c>
      <c r="E35" s="38">
        <f t="shared" si="29"/>
        <v>2.4203158650394836</v>
      </c>
      <c r="F35" s="38">
        <f t="shared" si="29"/>
        <v>-0.5348934830517369</v>
      </c>
      <c r="G35" s="38">
        <f t="shared" si="29"/>
        <v>-7.5586642599278053E-2</v>
      </c>
      <c r="H35" s="38">
        <f t="shared" si="29"/>
        <v>-1.1227727605565119E-2</v>
      </c>
      <c r="I35" s="38">
        <f>(I34/H34-1)</f>
        <v>-0.22241421871142919</v>
      </c>
      <c r="J35" s="38">
        <f>(J34/I34-1)</f>
        <v>-1.0952380952380953</v>
      </c>
      <c r="K35" s="38">
        <f>(K34/J34-1)</f>
        <v>-0.58666666666666667</v>
      </c>
      <c r="L35" s="38"/>
      <c r="O35" s="15" t="s">
        <v>104</v>
      </c>
      <c r="P35" s="16">
        <f t="shared" ref="P35:V35" si="30">SUM(P36:P42)</f>
        <v>37.917611000000001</v>
      </c>
      <c r="Q35" s="16">
        <f t="shared" si="30"/>
        <v>169.225323</v>
      </c>
      <c r="R35" s="16">
        <f t="shared" si="30"/>
        <v>315.96486300000004</v>
      </c>
      <c r="S35" s="16">
        <f t="shared" si="30"/>
        <v>870.56899999999996</v>
      </c>
      <c r="T35" s="16">
        <f t="shared" si="30"/>
        <v>1285.3920000000003</v>
      </c>
      <c r="U35" s="16">
        <f t="shared" si="30"/>
        <v>1376.4880000000003</v>
      </c>
      <c r="V35" s="16">
        <f t="shared" si="30"/>
        <v>1450.6200000000001</v>
      </c>
      <c r="W35" s="16">
        <f>SUM(W36:W42)</f>
        <v>1909.1110000000001</v>
      </c>
      <c r="X35" s="16">
        <f>SUM(X36:X42)</f>
        <v>2292.8690000000001</v>
      </c>
      <c r="Y35" s="16">
        <f>SUM(Y36:Y42)</f>
        <v>1710.6489999999999</v>
      </c>
      <c r="Z35" s="16">
        <f>SUM(Z36:Z42)</f>
        <v>1297.749</v>
      </c>
    </row>
    <row r="36" spans="1:26" s="9" customFormat="1" ht="15" customHeight="1" x14ac:dyDescent="0.2">
      <c r="A36" s="20" t="s">
        <v>67</v>
      </c>
      <c r="B36" s="38"/>
      <c r="C36" s="38"/>
      <c r="D36" s="38"/>
      <c r="E36" s="38"/>
      <c r="F36" s="38"/>
      <c r="G36" s="38">
        <f t="shared" ref="G36:K36" si="31">((G34/B34)^(1/3)-1)</f>
        <v>0.1333932546324339</v>
      </c>
      <c r="H36" s="38">
        <f t="shared" si="31"/>
        <v>0.22773742293947152</v>
      </c>
      <c r="I36" s="38">
        <f t="shared" si="31"/>
        <v>4.1781115286522175E-2</v>
      </c>
      <c r="J36" s="38">
        <f t="shared" si="31"/>
        <v>-1.3157606271200493</v>
      </c>
      <c r="K36" s="38">
        <f t="shared" si="31"/>
        <v>-1.3035805740225785</v>
      </c>
      <c r="L36" s="38"/>
      <c r="O36" s="18" t="s">
        <v>102</v>
      </c>
      <c r="P36" s="22"/>
      <c r="Q36" s="22"/>
      <c r="R36" s="22"/>
      <c r="S36" s="19">
        <v>0</v>
      </c>
      <c r="T36" s="19">
        <v>0</v>
      </c>
      <c r="U36" s="19">
        <v>4.7750000000000004</v>
      </c>
      <c r="V36" s="19">
        <v>3.14</v>
      </c>
      <c r="W36" s="19">
        <v>1.752</v>
      </c>
      <c r="X36" s="19">
        <v>2.2650000000000001</v>
      </c>
      <c r="Y36" s="19">
        <v>1.9350000000000001</v>
      </c>
      <c r="Z36" s="19">
        <v>0.63700000000000001</v>
      </c>
    </row>
    <row r="37" spans="1:26" s="9" customFormat="1" ht="15" customHeight="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O37" s="18" t="s">
        <v>120</v>
      </c>
      <c r="P37" s="22"/>
      <c r="Q37" s="22"/>
      <c r="R37" s="22"/>
      <c r="S37" s="19"/>
      <c r="T37" s="19"/>
      <c r="U37" s="19"/>
      <c r="V37" s="19"/>
      <c r="W37" s="40"/>
      <c r="X37" s="40"/>
      <c r="Y37" s="40"/>
      <c r="Z37" s="40"/>
    </row>
    <row r="38" spans="1:26" s="9" customFormat="1" ht="15" customHeigh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O38" s="18" t="s">
        <v>64</v>
      </c>
      <c r="P38" s="19">
        <v>34.288851000000001</v>
      </c>
      <c r="Q38" s="19">
        <v>125.683677</v>
      </c>
      <c r="R38" s="19">
        <v>249.676017</v>
      </c>
      <c r="S38" s="19">
        <v>742.83600000000001</v>
      </c>
      <c r="T38" s="19">
        <v>878.87000000000012</v>
      </c>
      <c r="U38" s="19">
        <v>1072.0620000000001</v>
      </c>
      <c r="V38" s="19">
        <v>1237.8800000000001</v>
      </c>
      <c r="W38" s="19">
        <v>1655.9690000000001</v>
      </c>
      <c r="X38" s="19">
        <f>46.512+2027.939</f>
        <v>2074.451</v>
      </c>
      <c r="Y38" s="19">
        <f>78.397+1408.407</f>
        <v>1486.8039999999999</v>
      </c>
      <c r="Z38" s="19">
        <v>999.31</v>
      </c>
    </row>
    <row r="39" spans="1:26" s="9" customFormat="1" ht="15" customHeight="1" x14ac:dyDescent="0.25">
      <c r="A39" s="41" t="s">
        <v>14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/>
      <c r="M39" s="12"/>
      <c r="N39" s="12"/>
      <c r="O39" s="18" t="s">
        <v>88</v>
      </c>
      <c r="P39" s="22"/>
      <c r="Q39" s="22"/>
      <c r="R39" s="22"/>
      <c r="S39" s="19">
        <v>78.8</v>
      </c>
      <c r="T39" s="19">
        <v>359.36099999999999</v>
      </c>
      <c r="U39" s="19">
        <v>252.661</v>
      </c>
      <c r="V39" s="19">
        <v>161.49</v>
      </c>
      <c r="W39" s="19">
        <v>199.886</v>
      </c>
      <c r="X39" s="19">
        <v>157.38800000000001</v>
      </c>
      <c r="Y39" s="19">
        <v>158.13300000000001</v>
      </c>
      <c r="Z39" s="19">
        <v>227.53700000000001</v>
      </c>
    </row>
    <row r="40" spans="1:26" s="9" customFormat="1" ht="15" customHeight="1" x14ac:dyDescent="0.2">
      <c r="A40" s="10" t="s">
        <v>0</v>
      </c>
      <c r="B40" s="42" t="s">
        <v>24</v>
      </c>
      <c r="C40" s="42" t="s">
        <v>25</v>
      </c>
      <c r="D40" s="42" t="s">
        <v>65</v>
      </c>
      <c r="E40" s="42" t="s">
        <v>82</v>
      </c>
      <c r="F40" s="42" t="s">
        <v>89</v>
      </c>
      <c r="G40" s="42" t="s">
        <v>91</v>
      </c>
      <c r="H40" s="42" t="s">
        <v>117</v>
      </c>
      <c r="I40" s="42" t="s">
        <v>119</v>
      </c>
      <c r="J40" s="42" t="s">
        <v>124</v>
      </c>
      <c r="K40" s="42" t="s">
        <v>127</v>
      </c>
      <c r="L40" s="42" t="s">
        <v>130</v>
      </c>
      <c r="M40" s="12"/>
      <c r="N40" s="12"/>
      <c r="O40" s="18" t="s">
        <v>80</v>
      </c>
      <c r="P40" s="19">
        <v>1.509938</v>
      </c>
      <c r="Q40" s="19">
        <v>3.0439660000000002</v>
      </c>
      <c r="R40" s="19">
        <v>11.877563</v>
      </c>
      <c r="S40" s="19">
        <v>8.7089999999999996</v>
      </c>
      <c r="T40" s="19">
        <v>12.236000000000001</v>
      </c>
      <c r="U40" s="19">
        <v>20.57</v>
      </c>
      <c r="V40" s="19">
        <v>23.74</v>
      </c>
      <c r="W40" s="19">
        <v>21.709</v>
      </c>
      <c r="X40" s="19">
        <v>21.983000000000001</v>
      </c>
      <c r="Y40" s="19">
        <v>16.846</v>
      </c>
      <c r="Z40" s="19">
        <v>9.42</v>
      </c>
    </row>
    <row r="41" spans="1:26" s="9" customFormat="1" ht="15" customHeight="1" x14ac:dyDescent="0.2">
      <c r="A41" s="29" t="s">
        <v>15</v>
      </c>
      <c r="B41" s="19">
        <v>7.964747</v>
      </c>
      <c r="C41" s="19">
        <f>(11426400+22983158)/1000000</f>
        <v>34.409557999999997</v>
      </c>
      <c r="D41" s="19">
        <v>50.347675000000002</v>
      </c>
      <c r="E41" s="19">
        <f>(1255.91+231.75)/10</f>
        <v>148.76600000000002</v>
      </c>
      <c r="F41" s="19">
        <v>28.6</v>
      </c>
      <c r="G41" s="19">
        <f>(F47)</f>
        <v>76.57700000000014</v>
      </c>
      <c r="H41" s="19">
        <f>(G47)</f>
        <v>128.32700000000008</v>
      </c>
      <c r="I41" s="19">
        <f>(H47)</f>
        <v>250.46700000000018</v>
      </c>
      <c r="J41" s="19">
        <f>I47</f>
        <v>77.507000000000147</v>
      </c>
      <c r="K41" s="19">
        <f>J47</f>
        <v>34.393000000000121</v>
      </c>
      <c r="L41" s="19">
        <f>K47</f>
        <v>70.968000000000103</v>
      </c>
      <c r="M41" s="12"/>
      <c r="N41" s="12"/>
      <c r="O41" s="18" t="s">
        <v>79</v>
      </c>
      <c r="P41" s="19">
        <v>2.1188220000000002</v>
      </c>
      <c r="Q41" s="19">
        <v>40.497680000000003</v>
      </c>
      <c r="R41" s="19">
        <v>54.411282999999997</v>
      </c>
      <c r="S41" s="19">
        <v>24.292999999999999</v>
      </c>
      <c r="T41" s="19">
        <v>34.924999999999997</v>
      </c>
      <c r="U41" s="19">
        <v>26.42</v>
      </c>
      <c r="V41" s="19">
        <v>24.37</v>
      </c>
      <c r="W41" s="19">
        <v>29.795000000000002</v>
      </c>
      <c r="X41" s="19">
        <v>36.781999999999996</v>
      </c>
      <c r="Y41" s="19">
        <v>46.930999999999997</v>
      </c>
      <c r="Z41" s="19">
        <v>60.844999999999999</v>
      </c>
    </row>
    <row r="42" spans="1:26" s="9" customFormat="1" ht="15" customHeight="1" x14ac:dyDescent="0.2">
      <c r="A42" s="18" t="s">
        <v>16</v>
      </c>
      <c r="B42" s="19">
        <v>177.91082399999999</v>
      </c>
      <c r="C42" s="19">
        <v>94.911085</v>
      </c>
      <c r="D42" s="19">
        <v>177.66151400000001</v>
      </c>
      <c r="E42" s="19">
        <v>759.81299999999999</v>
      </c>
      <c r="F42" s="19">
        <v>1612.5840000000001</v>
      </c>
      <c r="G42" s="19">
        <v>1150.97</v>
      </c>
      <c r="H42" s="19">
        <v>-307.47000000000003</v>
      </c>
      <c r="I42" s="19">
        <v>2379.2649999999999</v>
      </c>
      <c r="J42" s="19">
        <v>839.96600000000001</v>
      </c>
      <c r="K42" s="19">
        <v>564.322</v>
      </c>
      <c r="L42" s="19">
        <v>922.42200000000003</v>
      </c>
      <c r="M42" s="12"/>
      <c r="N42" s="12"/>
      <c r="O42" s="18" t="s">
        <v>114</v>
      </c>
      <c r="P42" s="22"/>
      <c r="Q42" s="22"/>
      <c r="R42" s="22"/>
      <c r="S42" s="19">
        <v>15.931000000000001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</row>
    <row r="43" spans="1:26" s="9" customFormat="1" ht="15" customHeight="1" x14ac:dyDescent="0.2">
      <c r="A43" s="18" t="s">
        <v>62</v>
      </c>
      <c r="B43" s="19">
        <v>-14.501625000000001</v>
      </c>
      <c r="C43" s="19">
        <v>-37.239339999999999</v>
      </c>
      <c r="D43" s="19">
        <v>-62.265923000000001</v>
      </c>
      <c r="E43" s="19">
        <v>-882.25599999999997</v>
      </c>
      <c r="F43" s="19">
        <v>-1836.2139999999999</v>
      </c>
      <c r="G43" s="19">
        <v>-1585.92</v>
      </c>
      <c r="H43" s="19">
        <v>-1239.52</v>
      </c>
      <c r="I43" s="19">
        <v>-1427.423</v>
      </c>
      <c r="J43" s="19">
        <v>-650.26800000000003</v>
      </c>
      <c r="K43" s="19">
        <v>-209.614</v>
      </c>
      <c r="L43" s="19">
        <v>-702.44500000000005</v>
      </c>
      <c r="O43" s="15" t="s">
        <v>105</v>
      </c>
      <c r="P43" s="16">
        <f t="shared" ref="P43:V43" si="32">SUM(P44:P48)</f>
        <v>132.59263899999999</v>
      </c>
      <c r="Q43" s="16">
        <f t="shared" si="32"/>
        <v>35.753250000000001</v>
      </c>
      <c r="R43" s="16">
        <f t="shared" si="32"/>
        <v>47.769685000000003</v>
      </c>
      <c r="S43" s="16">
        <f t="shared" si="32"/>
        <v>151.06499999999997</v>
      </c>
      <c r="T43" s="16">
        <f t="shared" si="32"/>
        <v>151.60500000000002</v>
      </c>
      <c r="U43" s="16">
        <f t="shared" si="32"/>
        <v>220.53200000000001</v>
      </c>
      <c r="V43" s="16">
        <f t="shared" si="32"/>
        <v>281.91500000000002</v>
      </c>
      <c r="W43" s="16">
        <f>SUM(W44:W48)</f>
        <v>358.53499999999997</v>
      </c>
      <c r="X43" s="16">
        <f>SUM(X44:X48)</f>
        <v>329.20299999999997</v>
      </c>
      <c r="Y43" s="16">
        <f>SUM(Y44:Y48)</f>
        <v>381.41400000000004</v>
      </c>
      <c r="Z43" s="16">
        <f>SUM(Z44:Z48)</f>
        <v>574.11</v>
      </c>
    </row>
    <row r="44" spans="1:26" s="9" customFormat="1" ht="15" customHeight="1" x14ac:dyDescent="0.2">
      <c r="A44" s="18" t="s">
        <v>17</v>
      </c>
      <c r="B44" s="19">
        <v>-159.94754499999999</v>
      </c>
      <c r="C44" s="19">
        <v>-41.733628000000003</v>
      </c>
      <c r="D44" s="19">
        <v>-50.184263000000001</v>
      </c>
      <c r="E44" s="19">
        <v>10.054</v>
      </c>
      <c r="F44" s="19">
        <v>271.60700000000003</v>
      </c>
      <c r="G44" s="19">
        <v>486.7</v>
      </c>
      <c r="H44" s="19">
        <v>1669.13</v>
      </c>
      <c r="I44" s="19">
        <v>-1124.8019999999999</v>
      </c>
      <c r="J44" s="19">
        <v>-231.19200000000001</v>
      </c>
      <c r="K44" s="19">
        <v>-318.13299999999998</v>
      </c>
      <c r="L44" s="19">
        <v>-230.75700000000001</v>
      </c>
      <c r="O44" s="18" t="s">
        <v>102</v>
      </c>
      <c r="P44" s="22"/>
      <c r="Q44" s="22"/>
      <c r="R44" s="22"/>
      <c r="S44" s="19">
        <v>0</v>
      </c>
      <c r="T44" s="19">
        <v>0</v>
      </c>
      <c r="U44" s="19">
        <v>2.367</v>
      </c>
      <c r="V44" s="19">
        <v>5.3</v>
      </c>
      <c r="W44" s="19">
        <v>10.781000000000001</v>
      </c>
      <c r="X44" s="19">
        <v>3.24</v>
      </c>
      <c r="Y44" s="19">
        <v>1.3049999999999999</v>
      </c>
      <c r="Z44" s="19">
        <v>0.45900000000000002</v>
      </c>
    </row>
    <row r="45" spans="1:26" s="9" customFormat="1" ht="15" customHeight="1" x14ac:dyDescent="0.2">
      <c r="A45" s="29" t="s">
        <v>18</v>
      </c>
      <c r="B45" s="43">
        <f t="shared" ref="B45:G45" si="33">+B42+B43+B44</f>
        <v>3.46165400000001</v>
      </c>
      <c r="C45" s="43">
        <f t="shared" si="33"/>
        <v>15.938116999999998</v>
      </c>
      <c r="D45" s="43">
        <f t="shared" si="33"/>
        <v>65.211328000000009</v>
      </c>
      <c r="E45" s="43">
        <f t="shared" si="33"/>
        <v>-112.38899999999998</v>
      </c>
      <c r="F45" s="43">
        <f t="shared" si="33"/>
        <v>47.977000000000146</v>
      </c>
      <c r="G45" s="43">
        <f t="shared" si="33"/>
        <v>51.749999999999943</v>
      </c>
      <c r="H45" s="43">
        <f t="shared" ref="H45" si="34">+H42+H43+H44</f>
        <v>122.1400000000001</v>
      </c>
      <c r="I45" s="19">
        <f>+I42+I43+I44</f>
        <v>-172.96000000000004</v>
      </c>
      <c r="J45" s="19">
        <f>+J42+J43+J44</f>
        <v>-41.494000000000028</v>
      </c>
      <c r="K45" s="19">
        <f>+K42+K43+K44</f>
        <v>36.574999999999989</v>
      </c>
      <c r="L45" s="19">
        <f>+L42+L43+L44</f>
        <v>-10.78000000000003</v>
      </c>
      <c r="O45" s="18" t="s">
        <v>81</v>
      </c>
      <c r="P45" s="19">
        <v>117.60257799999999</v>
      </c>
      <c r="Q45" s="19">
        <v>3.3958119999999998</v>
      </c>
      <c r="R45" s="19">
        <v>11.047935000000001</v>
      </c>
      <c r="S45" s="19">
        <v>9.9559999999999995</v>
      </c>
      <c r="T45" s="19">
        <v>2.411</v>
      </c>
      <c r="U45" s="19">
        <v>15.15</v>
      </c>
      <c r="V45" s="19">
        <v>10.51</v>
      </c>
      <c r="W45" s="19">
        <v>15.304</v>
      </c>
      <c r="X45" s="19">
        <v>18.599</v>
      </c>
      <c r="Y45" s="19">
        <v>22.088000000000001</v>
      </c>
      <c r="Z45" s="19">
        <v>28.927</v>
      </c>
    </row>
    <row r="46" spans="1:26" s="9" customFormat="1" ht="15" customHeight="1" x14ac:dyDescent="0.2">
      <c r="A46" s="18" t="s">
        <v>126</v>
      </c>
      <c r="B46" s="44" t="s">
        <v>125</v>
      </c>
      <c r="C46" s="44" t="s">
        <v>125</v>
      </c>
      <c r="D46" s="44" t="s">
        <v>125</v>
      </c>
      <c r="E46" s="44" t="s">
        <v>125</v>
      </c>
      <c r="F46" s="44" t="s">
        <v>125</v>
      </c>
      <c r="G46" s="44" t="s">
        <v>125</v>
      </c>
      <c r="H46" s="44" t="s">
        <v>125</v>
      </c>
      <c r="I46" s="44" t="s">
        <v>125</v>
      </c>
      <c r="J46" s="18">
        <v>-1.62</v>
      </c>
      <c r="K46" s="45">
        <v>0</v>
      </c>
      <c r="L46" s="45">
        <v>0</v>
      </c>
      <c r="O46" s="18" t="s">
        <v>35</v>
      </c>
      <c r="P46" s="19">
        <v>14.990061000000001</v>
      </c>
      <c r="Q46" s="19">
        <v>32.357438000000002</v>
      </c>
      <c r="R46" s="19">
        <v>36.72175</v>
      </c>
      <c r="S46" s="19">
        <v>141.10899999999998</v>
      </c>
      <c r="T46" s="19">
        <v>149.19400000000002</v>
      </c>
      <c r="U46" s="19">
        <v>203.01500000000001</v>
      </c>
      <c r="V46" s="19">
        <v>266.10500000000002</v>
      </c>
      <c r="W46" s="19">
        <v>332.45</v>
      </c>
      <c r="X46" s="19">
        <v>291.59399999999999</v>
      </c>
      <c r="Y46" s="19">
        <v>343.93200000000002</v>
      </c>
      <c r="Z46" s="19">
        <v>390.31900000000002</v>
      </c>
    </row>
    <row r="47" spans="1:26" s="9" customFormat="1" ht="15" customHeight="1" x14ac:dyDescent="0.2">
      <c r="A47" s="29" t="s">
        <v>56</v>
      </c>
      <c r="B47" s="16">
        <f>+B41+B45+1.05</f>
        <v>12.47640100000001</v>
      </c>
      <c r="C47" s="16">
        <f>+C41+C45+2.52</f>
        <v>52.867674999999998</v>
      </c>
      <c r="D47" s="16">
        <f>+D41+D45+2.52</f>
        <v>118.07900300000001</v>
      </c>
      <c r="E47" s="16">
        <f>+E41+E45</f>
        <v>36.377000000000038</v>
      </c>
      <c r="F47" s="16">
        <f>+F41+F45</f>
        <v>76.57700000000014</v>
      </c>
      <c r="G47" s="16">
        <f>+G41+G45</f>
        <v>128.32700000000008</v>
      </c>
      <c r="H47" s="16">
        <f>+H41+H45</f>
        <v>250.46700000000018</v>
      </c>
      <c r="I47" s="16">
        <f>+I41+I45</f>
        <v>77.507000000000147</v>
      </c>
      <c r="J47" s="16">
        <f>+J41+J45+J46</f>
        <v>34.393000000000121</v>
      </c>
      <c r="K47" s="16">
        <f>+K41+K45+K46</f>
        <v>70.968000000000103</v>
      </c>
      <c r="L47" s="16">
        <f>+L41+L45+L46</f>
        <v>60.188000000000073</v>
      </c>
      <c r="O47" s="18" t="s">
        <v>128</v>
      </c>
      <c r="P47" s="22"/>
      <c r="Q47" s="22"/>
      <c r="R47" s="22"/>
      <c r="S47" s="22"/>
      <c r="T47" s="22"/>
      <c r="U47" s="22"/>
      <c r="V47" s="22"/>
      <c r="W47" s="22"/>
      <c r="X47" s="18">
        <v>15.77</v>
      </c>
      <c r="Y47" s="18">
        <v>14.089</v>
      </c>
      <c r="Z47" s="18">
        <v>154.405</v>
      </c>
    </row>
    <row r="48" spans="1:26" s="9" customFormat="1" ht="1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/>
      <c r="O48" s="18"/>
      <c r="P48" s="43"/>
      <c r="Q48" s="43"/>
      <c r="R48" s="43"/>
      <c r="S48" s="22"/>
      <c r="T48" s="43"/>
      <c r="U48" s="43"/>
      <c r="V48" s="43"/>
      <c r="W48" s="29"/>
      <c r="X48" s="18"/>
      <c r="Y48" s="18"/>
      <c r="Z48" s="18"/>
    </row>
    <row r="49" spans="1:28" s="9" customFormat="1" ht="15" customHeight="1" x14ac:dyDescent="0.2">
      <c r="A49" s="10" t="s">
        <v>19</v>
      </c>
      <c r="B49" s="42" t="s">
        <v>24</v>
      </c>
      <c r="C49" s="42" t="s">
        <v>25</v>
      </c>
      <c r="D49" s="42" t="s">
        <v>65</v>
      </c>
      <c r="E49" s="42" t="s">
        <v>82</v>
      </c>
      <c r="F49" s="42" t="s">
        <v>89</v>
      </c>
      <c r="G49" s="42" t="s">
        <v>91</v>
      </c>
      <c r="H49" s="42" t="s">
        <v>117</v>
      </c>
      <c r="I49" s="42" t="s">
        <v>119</v>
      </c>
      <c r="J49" s="42" t="s">
        <v>124</v>
      </c>
      <c r="K49" s="42" t="s">
        <v>127</v>
      </c>
      <c r="L49" s="42" t="s">
        <v>130</v>
      </c>
      <c r="O49" s="46"/>
      <c r="P49" s="16">
        <f t="shared" ref="P49:Y49" si="35">(P26-P35-P12)</f>
        <v>95.626239999999996</v>
      </c>
      <c r="Q49" s="16">
        <f t="shared" si="35"/>
        <v>169.34645099999994</v>
      </c>
      <c r="R49" s="16">
        <f t="shared" si="35"/>
        <v>256.41379799999993</v>
      </c>
      <c r="S49" s="16">
        <f t="shared" si="35"/>
        <v>988.88299999999981</v>
      </c>
      <c r="T49" s="16">
        <f t="shared" si="35"/>
        <v>548.56499999999937</v>
      </c>
      <c r="U49" s="16">
        <f t="shared" si="35"/>
        <v>326.25199999999973</v>
      </c>
      <c r="V49" s="16">
        <f t="shared" si="35"/>
        <v>1176.4380000000006</v>
      </c>
      <c r="W49" s="16">
        <f t="shared" si="35"/>
        <v>783.41399999999999</v>
      </c>
      <c r="X49" s="16">
        <f t="shared" si="35"/>
        <v>10.782000000000153</v>
      </c>
      <c r="Y49" s="16">
        <f t="shared" si="35"/>
        <v>-127.72600000000034</v>
      </c>
      <c r="Z49" s="16">
        <f t="shared" ref="Z49" si="36">(Z26-Z35-Z12)</f>
        <v>-428.17299999999955</v>
      </c>
    </row>
    <row r="50" spans="1:28" s="9" customFormat="1" ht="15" customHeight="1" x14ac:dyDescent="0.2">
      <c r="A50" s="15" t="s">
        <v>20</v>
      </c>
      <c r="B50" s="16">
        <f t="shared" ref="B50:I50" si="37">B42</f>
        <v>177.91082399999999</v>
      </c>
      <c r="C50" s="16">
        <f t="shared" si="37"/>
        <v>94.911085</v>
      </c>
      <c r="D50" s="16">
        <f t="shared" si="37"/>
        <v>177.66151400000001</v>
      </c>
      <c r="E50" s="16">
        <f t="shared" si="37"/>
        <v>759.81299999999999</v>
      </c>
      <c r="F50" s="16">
        <f t="shared" si="37"/>
        <v>1612.5840000000001</v>
      </c>
      <c r="G50" s="16">
        <f t="shared" si="37"/>
        <v>1150.97</v>
      </c>
      <c r="H50" s="16">
        <f t="shared" si="37"/>
        <v>-307.47000000000003</v>
      </c>
      <c r="I50" s="16">
        <f t="shared" si="37"/>
        <v>2379.2649999999999</v>
      </c>
      <c r="J50" s="16">
        <f>J42</f>
        <v>839.96600000000001</v>
      </c>
      <c r="K50" s="16">
        <f>K42</f>
        <v>564.322</v>
      </c>
      <c r="L50" s="16">
        <f>L42</f>
        <v>922.42200000000003</v>
      </c>
      <c r="O50" s="15" t="s">
        <v>69</v>
      </c>
      <c r="P50" s="16">
        <f t="shared" ref="P50:X50" si="38">P17+P26</f>
        <v>407.74877400000003</v>
      </c>
      <c r="Q50" s="16">
        <f t="shared" si="38"/>
        <v>685.11896899999999</v>
      </c>
      <c r="R50" s="16">
        <f t="shared" si="38"/>
        <v>961.71440699999994</v>
      </c>
      <c r="S50" s="16">
        <f t="shared" si="38"/>
        <v>4810.8619999999992</v>
      </c>
      <c r="T50" s="16">
        <f t="shared" si="38"/>
        <v>6691.0409999999993</v>
      </c>
      <c r="U50" s="16">
        <f t="shared" si="38"/>
        <v>8763.0529999999999</v>
      </c>
      <c r="V50" s="16">
        <f t="shared" si="38"/>
        <v>11847.335999999999</v>
      </c>
      <c r="W50" s="16">
        <f t="shared" si="38"/>
        <v>12392.263999999999</v>
      </c>
      <c r="X50" s="16">
        <f t="shared" si="38"/>
        <v>12479.647000000001</v>
      </c>
      <c r="Y50" s="16">
        <f t="shared" ref="Y50:Z50" si="39">Y17+Y26</f>
        <v>11829.29</v>
      </c>
      <c r="Z50" s="16">
        <f t="shared" si="39"/>
        <v>11625.227000000001</v>
      </c>
    </row>
    <row r="51" spans="1:28" s="9" customFormat="1" ht="15" customHeight="1" x14ac:dyDescent="0.2">
      <c r="A51" s="18" t="s">
        <v>21</v>
      </c>
      <c r="B51" s="19">
        <v>-17.915502</v>
      </c>
      <c r="C51" s="19">
        <v>-40.174028</v>
      </c>
      <c r="D51" s="19">
        <v>-64.025986000000003</v>
      </c>
      <c r="E51" s="19">
        <v>-889.95400000000006</v>
      </c>
      <c r="F51" s="19">
        <v>-2051.0650000000001</v>
      </c>
      <c r="G51" s="19">
        <v>-1713.461</v>
      </c>
      <c r="H51" s="19">
        <v>-1209.3900000000001</v>
      </c>
      <c r="I51" s="19">
        <v>-1362.1590000000001</v>
      </c>
      <c r="J51" s="19">
        <f>-736.24+87.699</f>
        <v>-648.54100000000005</v>
      </c>
      <c r="K51" s="19">
        <f>-308.293+15.129</f>
        <v>-293.16399999999999</v>
      </c>
      <c r="L51" s="19">
        <f>-124.897+4.023</f>
        <v>-120.87400000000001</v>
      </c>
      <c r="O51" s="15" t="s">
        <v>70</v>
      </c>
      <c r="P51" s="16">
        <f>P45+P35+P13+P10+P46+P48</f>
        <v>407.74877400000003</v>
      </c>
      <c r="Q51" s="16">
        <f>Q45+Q35+Q13+Q10+Q46+Q48</f>
        <v>685.11896900000011</v>
      </c>
      <c r="R51" s="16">
        <f>R45+R35+R13+R10+R46+R48+R44</f>
        <v>961.71440800000016</v>
      </c>
      <c r="S51" s="16">
        <f>S45+S35+S13+S10+S46+S48+S44</f>
        <v>4810.8650000000007</v>
      </c>
      <c r="T51" s="16">
        <f>T45+T35+T13+T10+T46+T48+T44</f>
        <v>6691.0410000000002</v>
      </c>
      <c r="U51" s="16">
        <f>U45+U35+U13+U10+U46+U48+U44</f>
        <v>8763.0530000000017</v>
      </c>
      <c r="V51" s="16">
        <f>V10+V13+V35+V43</f>
        <v>11847.306000000002</v>
      </c>
      <c r="W51" s="16">
        <f>W10+W13+W35+W43</f>
        <v>12392.261</v>
      </c>
      <c r="X51" s="16">
        <f>X10+X13+X35+X43</f>
        <v>12479.647000000001</v>
      </c>
      <c r="Y51" s="16">
        <f>Y10+Y13+Y35+Y43</f>
        <v>11829.287</v>
      </c>
      <c r="Z51" s="16">
        <f>Z10+Z13+Z35+Z43</f>
        <v>11625.228000000001</v>
      </c>
      <c r="AA51" s="32">
        <f>X50-X51</f>
        <v>0</v>
      </c>
    </row>
    <row r="52" spans="1:28" s="9" customFormat="1" ht="15" customHeight="1" x14ac:dyDescent="0.2">
      <c r="A52" s="15" t="s">
        <v>22</v>
      </c>
      <c r="B52" s="16">
        <f>SUM(B50:B51)</f>
        <v>159.99532199999999</v>
      </c>
      <c r="C52" s="16">
        <f t="shared" ref="C52:D52" si="40">SUM(C50:C51)</f>
        <v>54.737057</v>
      </c>
      <c r="D52" s="16">
        <f t="shared" si="40"/>
        <v>113.63552800000001</v>
      </c>
      <c r="E52" s="16">
        <f t="shared" ref="E52:H52" si="41">SUM(E50:E51)</f>
        <v>-130.14100000000008</v>
      </c>
      <c r="F52" s="16">
        <f t="shared" si="41"/>
        <v>-438.48099999999999</v>
      </c>
      <c r="G52" s="16">
        <f t="shared" si="41"/>
        <v>-562.49099999999999</v>
      </c>
      <c r="H52" s="16">
        <f t="shared" si="41"/>
        <v>-1516.8600000000001</v>
      </c>
      <c r="I52" s="16">
        <f t="shared" ref="I52" si="42">SUM(I50:I51)</f>
        <v>1017.1059999999998</v>
      </c>
      <c r="J52" s="16">
        <f>SUM(J50:J51)</f>
        <v>191.42499999999995</v>
      </c>
      <c r="K52" s="16">
        <f>SUM(K50:K51)</f>
        <v>271.15800000000002</v>
      </c>
      <c r="L52" s="16">
        <f>SUM(L50:L51)</f>
        <v>801.548</v>
      </c>
      <c r="O52" s="29" t="s">
        <v>36</v>
      </c>
      <c r="P52" s="18"/>
      <c r="Q52" s="18"/>
      <c r="R52" s="19"/>
      <c r="S52" s="22"/>
      <c r="T52" s="22"/>
      <c r="U52" s="22"/>
      <c r="V52" s="22"/>
      <c r="W52" s="22"/>
      <c r="X52" s="18"/>
      <c r="Y52" s="39"/>
    </row>
    <row r="53" spans="1:28" s="9" customFormat="1" ht="15" customHeight="1" x14ac:dyDescent="0.2">
      <c r="A53" s="39" t="s">
        <v>23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O53" s="10" t="s">
        <v>37</v>
      </c>
      <c r="P53" s="11" t="s">
        <v>24</v>
      </c>
      <c r="Q53" s="11" t="s">
        <v>25</v>
      </c>
      <c r="R53" s="11" t="s">
        <v>65</v>
      </c>
      <c r="S53" s="14" t="s">
        <v>82</v>
      </c>
      <c r="T53" s="47" t="s">
        <v>89</v>
      </c>
      <c r="U53" s="47" t="s">
        <v>91</v>
      </c>
      <c r="V53" s="14" t="s">
        <v>117</v>
      </c>
      <c r="W53" s="14" t="s">
        <v>119</v>
      </c>
      <c r="X53" s="14" t="s">
        <v>124</v>
      </c>
      <c r="Y53" s="14" t="s">
        <v>127</v>
      </c>
      <c r="Z53" s="14" t="s">
        <v>131</v>
      </c>
    </row>
    <row r="54" spans="1:28" s="9" customFormat="1" ht="15" customHeight="1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O54" s="48" t="s">
        <v>92</v>
      </c>
      <c r="P54" s="49" t="s">
        <v>68</v>
      </c>
      <c r="Q54" s="37">
        <v>435</v>
      </c>
      <c r="R54" s="37">
        <v>806.1</v>
      </c>
      <c r="S54" s="43">
        <v>1508.8</v>
      </c>
      <c r="T54" s="37">
        <v>1045</v>
      </c>
      <c r="U54" s="37">
        <v>1292.9000000000001</v>
      </c>
      <c r="V54" s="37">
        <v>920.05</v>
      </c>
      <c r="W54" s="37">
        <v>417</v>
      </c>
      <c r="X54" s="37">
        <v>379.8</v>
      </c>
      <c r="Y54" s="37">
        <v>260.25</v>
      </c>
      <c r="Z54" s="37">
        <v>274.25</v>
      </c>
    </row>
    <row r="55" spans="1:28" s="9" customFormat="1" ht="15" customHeight="1" x14ac:dyDescent="0.2">
      <c r="A55" s="10" t="s">
        <v>19</v>
      </c>
      <c r="B55" s="42" t="s">
        <v>24</v>
      </c>
      <c r="C55" s="42" t="s">
        <v>25</v>
      </c>
      <c r="D55" s="42" t="s">
        <v>65</v>
      </c>
      <c r="E55" s="42" t="s">
        <v>82</v>
      </c>
      <c r="F55" s="42" t="s">
        <v>89</v>
      </c>
      <c r="G55" s="42" t="s">
        <v>91</v>
      </c>
      <c r="H55" s="42" t="s">
        <v>117</v>
      </c>
      <c r="I55" s="42" t="s">
        <v>119</v>
      </c>
      <c r="J55" s="42" t="s">
        <v>124</v>
      </c>
      <c r="K55" s="42" t="s">
        <v>127</v>
      </c>
      <c r="L55" s="42" t="s">
        <v>130</v>
      </c>
      <c r="O55" s="48" t="s">
        <v>38</v>
      </c>
      <c r="P55" s="50">
        <f t="shared" ref="P55:U55" si="43">B34</f>
        <v>28.14</v>
      </c>
      <c r="Q55" s="50">
        <f t="shared" si="43"/>
        <v>21.89</v>
      </c>
      <c r="R55" s="50">
        <f t="shared" si="43"/>
        <v>27.86</v>
      </c>
      <c r="S55" s="50">
        <f t="shared" si="43"/>
        <v>95.29</v>
      </c>
      <c r="T55" s="50">
        <f t="shared" si="43"/>
        <v>44.32</v>
      </c>
      <c r="U55" s="50">
        <f t="shared" si="43"/>
        <v>40.97</v>
      </c>
      <c r="V55" s="50">
        <v>40.51</v>
      </c>
      <c r="W55" s="50">
        <f>I34</f>
        <v>31.5</v>
      </c>
      <c r="X55" s="50">
        <f>J34</f>
        <v>-3</v>
      </c>
      <c r="Y55" s="50">
        <f>K34</f>
        <v>-1.24</v>
      </c>
      <c r="Z55" s="50">
        <f>Y55+L34-(3.67)</f>
        <v>1.3399999999999999</v>
      </c>
      <c r="AA55" s="9" t="s">
        <v>121</v>
      </c>
      <c r="AB55" s="9">
        <f>-0.22-3.81-2.85+1.54</f>
        <v>-5.3400000000000007</v>
      </c>
    </row>
    <row r="56" spans="1:28" s="9" customFormat="1" ht="15" customHeight="1" x14ac:dyDescent="0.2">
      <c r="A56" s="29" t="s">
        <v>57</v>
      </c>
      <c r="B56" s="51" t="s">
        <v>68</v>
      </c>
      <c r="C56" s="51">
        <v>3640320</v>
      </c>
      <c r="D56" s="51">
        <v>5864350</v>
      </c>
      <c r="E56" s="51">
        <v>5864350</v>
      </c>
      <c r="F56" s="51">
        <v>12149218</v>
      </c>
      <c r="G56" s="51">
        <v>27153488</v>
      </c>
      <c r="H56" s="51">
        <v>27153488</v>
      </c>
      <c r="I56" s="51">
        <v>27153488</v>
      </c>
      <c r="J56" s="51">
        <v>27575049</v>
      </c>
      <c r="K56" s="51">
        <v>28004610</v>
      </c>
      <c r="L56" s="51">
        <v>28019610</v>
      </c>
      <c r="O56" s="48" t="s">
        <v>39</v>
      </c>
      <c r="P56" s="52" t="s">
        <v>68</v>
      </c>
      <c r="Q56" s="50">
        <f>(Q10*1000000)/C56</f>
        <v>130.28426676775669</v>
      </c>
      <c r="R56" s="50">
        <f>(R10*1000000)/D56</f>
        <v>100.91052904413959</v>
      </c>
      <c r="S56" s="50">
        <f>(S10*1000000)/E56</f>
        <v>513.93897021835323</v>
      </c>
      <c r="T56" s="50">
        <f>(T10*1000000)/E56</f>
        <v>683.26822239463877</v>
      </c>
      <c r="U56" s="50">
        <f t="shared" ref="U56:Z56" si="44">(U10*1000000)/G56</f>
        <v>187.29538540315707</v>
      </c>
      <c r="V56" s="50">
        <f t="shared" si="44"/>
        <v>238.97596507675183</v>
      </c>
      <c r="W56" s="50">
        <f t="shared" si="44"/>
        <v>272.54774782525175</v>
      </c>
      <c r="X56" s="50">
        <f t="shared" si="44"/>
        <v>264.47608488383827</v>
      </c>
      <c r="Y56" s="50">
        <f t="shared" si="44"/>
        <v>258.98018219143205</v>
      </c>
      <c r="Z56" s="50" t="s">
        <v>68</v>
      </c>
      <c r="AA56" s="32"/>
    </row>
    <row r="57" spans="1:28" s="9" customFormat="1" ht="15" customHeight="1" x14ac:dyDescent="0.2">
      <c r="A57" s="29" t="s">
        <v>58</v>
      </c>
      <c r="B57" s="22"/>
      <c r="C57" s="22">
        <f t="shared" ref="C57:J57" si="45">C56*Q54/1000000</f>
        <v>1583.5391999999999</v>
      </c>
      <c r="D57" s="22">
        <f t="shared" si="45"/>
        <v>4727.2525349999996</v>
      </c>
      <c r="E57" s="22">
        <f t="shared" si="45"/>
        <v>8848.1312799999996</v>
      </c>
      <c r="F57" s="22">
        <f t="shared" si="45"/>
        <v>12695.93281</v>
      </c>
      <c r="G57" s="22">
        <f t="shared" si="45"/>
        <v>35106.744635200004</v>
      </c>
      <c r="H57" s="22">
        <f t="shared" si="45"/>
        <v>24982.566634399998</v>
      </c>
      <c r="I57" s="22">
        <f t="shared" si="45"/>
        <v>11323.004496</v>
      </c>
      <c r="J57" s="22">
        <f t="shared" si="45"/>
        <v>10473.003610200001</v>
      </c>
      <c r="K57" s="22">
        <f t="shared" ref="K57" si="46">K56*Y54/1000000</f>
        <v>7288.1997524999997</v>
      </c>
      <c r="L57" s="22">
        <f>L56*Z54/1000000</f>
        <v>7684.3780425000004</v>
      </c>
      <c r="O57" s="48" t="s">
        <v>40</v>
      </c>
      <c r="P57" s="53" t="s">
        <v>68</v>
      </c>
      <c r="Q57" s="30">
        <v>5</v>
      </c>
      <c r="R57" s="30">
        <v>4</v>
      </c>
      <c r="S57" s="30">
        <v>7</v>
      </c>
      <c r="T57" s="30">
        <v>11</v>
      </c>
      <c r="U57" s="30">
        <v>5</v>
      </c>
      <c r="V57" s="30">
        <v>3.5</v>
      </c>
      <c r="W57" s="30">
        <v>1</v>
      </c>
      <c r="X57" s="45">
        <v>0</v>
      </c>
      <c r="Y57" s="45">
        <v>0</v>
      </c>
      <c r="Z57" s="45">
        <v>0</v>
      </c>
    </row>
    <row r="58" spans="1:28" s="9" customFormat="1" ht="15" customHeight="1" x14ac:dyDescent="0.2">
      <c r="A58" s="15" t="s">
        <v>61</v>
      </c>
      <c r="B58" s="16"/>
      <c r="C58" s="16">
        <f t="shared" ref="C58:I58" si="47">Q13</f>
        <v>5.8639740000000007</v>
      </c>
      <c r="D58" s="16">
        <f t="shared" si="47"/>
        <v>6.2051990000000004</v>
      </c>
      <c r="E58" s="16">
        <f t="shared" si="47"/>
        <v>775.31299999999999</v>
      </c>
      <c r="F58" s="16">
        <f t="shared" si="47"/>
        <v>1247.1199999999999</v>
      </c>
      <c r="G58" s="16">
        <f t="shared" si="47"/>
        <v>2080.31</v>
      </c>
      <c r="H58" s="16">
        <f t="shared" si="47"/>
        <v>3625.74</v>
      </c>
      <c r="I58" s="16">
        <f t="shared" si="47"/>
        <v>2723.9929999999999</v>
      </c>
      <c r="J58" s="16">
        <f>X13</f>
        <v>2564.634</v>
      </c>
      <c r="K58" s="16">
        <f>Y13</f>
        <v>2484.585</v>
      </c>
      <c r="L58" s="16">
        <f>Z13</f>
        <v>2358.13</v>
      </c>
      <c r="O58" s="48" t="s">
        <v>41</v>
      </c>
      <c r="P58" s="54" t="s">
        <v>68</v>
      </c>
      <c r="Q58" s="55">
        <f t="shared" ref="Q58:R58" si="48">(Q54/Q55)</f>
        <v>19.87208771128369</v>
      </c>
      <c r="R58" s="55">
        <f t="shared" si="48"/>
        <v>28.933955491744438</v>
      </c>
      <c r="S58" s="55">
        <f t="shared" ref="S58:V58" si="49">(S54/S55)</f>
        <v>15.83377059502571</v>
      </c>
      <c r="T58" s="55">
        <f t="shared" si="49"/>
        <v>23.578519855595669</v>
      </c>
      <c r="U58" s="55">
        <f t="shared" si="49"/>
        <v>31.557237002684893</v>
      </c>
      <c r="V58" s="55">
        <f t="shared" si="49"/>
        <v>22.711676129350778</v>
      </c>
      <c r="W58" s="55">
        <f>(W54/W55)</f>
        <v>13.238095238095237</v>
      </c>
      <c r="X58" s="56">
        <f>(X54/X55)</f>
        <v>-126.60000000000001</v>
      </c>
      <c r="Y58" s="56">
        <f>(Y54/Y55)</f>
        <v>-209.87903225806451</v>
      </c>
      <c r="Z58" s="55">
        <f>Z54/Z55</f>
        <v>204.66417910447763</v>
      </c>
    </row>
    <row r="59" spans="1:28" s="9" customFormat="1" ht="15" customHeight="1" x14ac:dyDescent="0.2">
      <c r="A59" s="15" t="s">
        <v>59</v>
      </c>
      <c r="B59" s="16"/>
      <c r="C59" s="16">
        <f t="shared" ref="C59:J59" si="50">Q30</f>
        <v>50.347675000000002</v>
      </c>
      <c r="D59" s="16">
        <f t="shared" si="50"/>
        <v>115.55900200000001</v>
      </c>
      <c r="E59" s="16">
        <f t="shared" si="50"/>
        <v>36.378</v>
      </c>
      <c r="F59" s="16">
        <f t="shared" si="50"/>
        <v>126.79600000000001</v>
      </c>
      <c r="G59" s="16">
        <f t="shared" si="50"/>
        <v>309.83999999999997</v>
      </c>
      <c r="H59" s="16">
        <f t="shared" si="50"/>
        <v>453.8</v>
      </c>
      <c r="I59" s="16">
        <f t="shared" si="50"/>
        <v>81.503</v>
      </c>
      <c r="J59" s="16">
        <f t="shared" si="50"/>
        <v>37.981999999999999</v>
      </c>
      <c r="K59" s="16">
        <f t="shared" ref="K59:L59" si="51">Y30</f>
        <v>76.454999999999998</v>
      </c>
      <c r="L59" s="16">
        <f t="shared" si="51"/>
        <v>63.868000000000002</v>
      </c>
      <c r="O59" s="48" t="s">
        <v>42</v>
      </c>
      <c r="P59" s="54" t="s">
        <v>68</v>
      </c>
      <c r="Q59" s="55">
        <f t="shared" ref="Q59:W59" si="52">(Q54/Q56)</f>
        <v>3.3388528852484258</v>
      </c>
      <c r="R59" s="55">
        <f t="shared" si="52"/>
        <v>7.9882645313196337</v>
      </c>
      <c r="S59" s="55">
        <f t="shared" si="52"/>
        <v>2.9357571373872813</v>
      </c>
      <c r="T59" s="55">
        <f t="shared" si="52"/>
        <v>1.5294140218282155</v>
      </c>
      <c r="U59" s="55">
        <f t="shared" si="52"/>
        <v>6.9029997573992921</v>
      </c>
      <c r="V59" s="55">
        <f t="shared" si="52"/>
        <v>3.8499687602663633</v>
      </c>
      <c r="W59" s="55">
        <f t="shared" si="52"/>
        <v>1.5300071393999046</v>
      </c>
      <c r="X59" s="55">
        <f>(X54/X56)</f>
        <v>1.4360466662489113</v>
      </c>
      <c r="Y59" s="55">
        <f>(Y54/Y56)</f>
        <v>1.0049031466339355</v>
      </c>
      <c r="Z59" s="54" t="s">
        <v>68</v>
      </c>
      <c r="AA59" s="9" t="s">
        <v>132</v>
      </c>
    </row>
    <row r="60" spans="1:28" s="9" customFormat="1" ht="15" customHeight="1" x14ac:dyDescent="0.2">
      <c r="A60" s="15" t="s">
        <v>60</v>
      </c>
      <c r="B60" s="16"/>
      <c r="C60" s="16">
        <f t="shared" ref="C60:D60" si="53">C57+C58-C59</f>
        <v>1539.0554990000001</v>
      </c>
      <c r="D60" s="16">
        <f t="shared" si="53"/>
        <v>4617.8987319999997</v>
      </c>
      <c r="E60" s="16">
        <f t="shared" ref="E60:I60" si="54">E57+E58-E59</f>
        <v>9587.0662799999991</v>
      </c>
      <c r="F60" s="16">
        <f t="shared" si="54"/>
        <v>13816.256810000001</v>
      </c>
      <c r="G60" s="16">
        <f t="shared" si="54"/>
        <v>36877.214635200005</v>
      </c>
      <c r="H60" s="16">
        <f t="shared" si="54"/>
        <v>28154.506634399997</v>
      </c>
      <c r="I60" s="16">
        <f t="shared" si="54"/>
        <v>13965.494495999999</v>
      </c>
      <c r="J60" s="16">
        <f>J57+J58-J59</f>
        <v>12999.655610200001</v>
      </c>
      <c r="K60" s="16">
        <f>K57+K58-K59</f>
        <v>9696.3297524999998</v>
      </c>
      <c r="L60" s="16">
        <f>L57+L58-L59</f>
        <v>9978.6400425000011</v>
      </c>
      <c r="O60" s="48" t="s">
        <v>43</v>
      </c>
      <c r="P60" s="57" t="s">
        <v>68</v>
      </c>
      <c r="Q60" s="56">
        <f>C60/C13</f>
        <v>7.7446560277951324</v>
      </c>
      <c r="R60" s="56">
        <f>D60/D13</f>
        <v>16.556604061492159</v>
      </c>
      <c r="S60" s="55">
        <f>E60/E13</f>
        <v>5.0851081565907625</v>
      </c>
      <c r="T60" s="55">
        <f>F60/F13</f>
        <v>7.4049962482621421</v>
      </c>
      <c r="U60" s="55">
        <f>G60/G13</f>
        <v>17.975004976742348</v>
      </c>
      <c r="V60" s="55">
        <f>H60/2062</f>
        <v>13.653979939088263</v>
      </c>
      <c r="W60" s="55">
        <f>I60/I13</f>
        <v>8.5035264157124182</v>
      </c>
      <c r="X60" s="55">
        <f>J60/J13</f>
        <v>33.986027739084967</v>
      </c>
      <c r="Y60" s="55">
        <f>K60/K13</f>
        <v>18.064216987722869</v>
      </c>
      <c r="Z60" s="54" t="s">
        <v>68</v>
      </c>
    </row>
    <row r="61" spans="1:28" s="9" customFormat="1" ht="15" customHeight="1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O61" s="58" t="s">
        <v>44</v>
      </c>
      <c r="P61" s="59">
        <f t="shared" ref="P61:X61" si="55">(B27/P10)</f>
        <v>0.45026577339238366</v>
      </c>
      <c r="Q61" s="59">
        <f t="shared" si="55"/>
        <v>0.24500419504303358</v>
      </c>
      <c r="R61" s="59">
        <f t="shared" si="55"/>
        <v>0.27607900737743818</v>
      </c>
      <c r="S61" s="60">
        <f t="shared" si="55"/>
        <v>0.4420037306920751</v>
      </c>
      <c r="T61" s="60">
        <f t="shared" si="55"/>
        <v>0.31494682704238963</v>
      </c>
      <c r="U61" s="60">
        <f t="shared" si="55"/>
        <v>0.24564943863438896</v>
      </c>
      <c r="V61" s="60">
        <f t="shared" si="55"/>
        <v>0.19716811339011914</v>
      </c>
      <c r="W61" s="60">
        <f t="shared" si="55"/>
        <v>0.13858929695368857</v>
      </c>
      <c r="X61" s="60">
        <f t="shared" si="55"/>
        <v>-1.151305077060138E-2</v>
      </c>
      <c r="Y61" s="60">
        <f t="shared" ref="Y61" si="56">(K27/Y10)</f>
        <v>-4.7258659916756332E-3</v>
      </c>
      <c r="Z61" s="73" t="s">
        <v>68</v>
      </c>
    </row>
    <row r="62" spans="1:28" s="9" customFormat="1" ht="15" customHeight="1" x14ac:dyDescent="0.2">
      <c r="A62" s="39"/>
      <c r="B62" s="39"/>
      <c r="C62" s="39"/>
      <c r="D62" s="39"/>
      <c r="E62" s="39"/>
      <c r="F62" s="39"/>
      <c r="G62" s="39"/>
      <c r="H62" s="39"/>
      <c r="I62" s="61"/>
      <c r="J62" s="39"/>
      <c r="K62" s="39"/>
      <c r="L62" s="39"/>
      <c r="O62" s="58" t="s">
        <v>45</v>
      </c>
      <c r="P62" s="59">
        <f t="shared" ref="P62:X62" si="57">(B22+B19)/P14</f>
        <v>0.45013092845777042</v>
      </c>
      <c r="Q62" s="59">
        <f t="shared" si="57"/>
        <v>0.3539762756212067</v>
      </c>
      <c r="R62" s="59">
        <f t="shared" si="57"/>
        <v>0.40002187024146646</v>
      </c>
      <c r="S62" s="60">
        <f t="shared" si="57"/>
        <v>0.48390376875016017</v>
      </c>
      <c r="T62" s="60">
        <f t="shared" si="57"/>
        <v>0.34167531288924252</v>
      </c>
      <c r="U62" s="60">
        <f t="shared" si="57"/>
        <v>0.30365079194737254</v>
      </c>
      <c r="V62" s="60">
        <f t="shared" si="57"/>
        <v>0.23334746097207837</v>
      </c>
      <c r="W62" s="60">
        <f t="shared" si="57"/>
        <v>0.17480082346266124</v>
      </c>
      <c r="X62" s="60">
        <f t="shared" si="57"/>
        <v>9.1469691719770346E-3</v>
      </c>
      <c r="Y62" s="60">
        <f t="shared" ref="Y62" si="58">(K22+K19)/Y14</f>
        <v>3.1680281558827822E-2</v>
      </c>
      <c r="Z62" s="73" t="s">
        <v>68</v>
      </c>
    </row>
    <row r="63" spans="1:28" s="9" customFormat="1" ht="12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O63" s="48" t="s">
        <v>46</v>
      </c>
      <c r="P63" s="56">
        <f t="shared" ref="P63:Z63" si="59">(P13/P10)</f>
        <v>4.2688515314040054E-2</v>
      </c>
      <c r="Q63" s="56">
        <f t="shared" si="59"/>
        <v>1.2364042840822478E-2</v>
      </c>
      <c r="R63" s="56">
        <f t="shared" si="59"/>
        <v>1.0485746364189122E-2</v>
      </c>
      <c r="S63" s="55">
        <f t="shared" si="59"/>
        <v>0.25724422495900684</v>
      </c>
      <c r="T63" s="55">
        <f t="shared" si="59"/>
        <v>0.31124124141111731</v>
      </c>
      <c r="U63" s="55">
        <f t="shared" si="59"/>
        <v>0.40904901820252493</v>
      </c>
      <c r="V63" s="55">
        <f t="shared" si="59"/>
        <v>0.55874906438264815</v>
      </c>
      <c r="W63" s="55">
        <f t="shared" si="59"/>
        <v>0.36807622386334554</v>
      </c>
      <c r="X63" s="55">
        <f t="shared" si="59"/>
        <v>0.35165977621373873</v>
      </c>
      <c r="Y63" s="55">
        <f t="shared" si="59"/>
        <v>0.34257668139831582</v>
      </c>
      <c r="Z63" s="73" t="s">
        <v>68</v>
      </c>
    </row>
    <row r="64" spans="1:28" s="9" customFormat="1" ht="12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O64" s="48" t="s">
        <v>47</v>
      </c>
      <c r="P64" s="56">
        <f t="shared" ref="P64:Z64" si="60">(P13-P30)/P10</f>
        <v>-7.5317265358221825E-3</v>
      </c>
      <c r="Q64" s="56">
        <f t="shared" si="60"/>
        <v>-9.3792773447211347E-2</v>
      </c>
      <c r="R64" s="56">
        <f t="shared" si="60"/>
        <v>-0.18478960017519236</v>
      </c>
      <c r="S64" s="55">
        <f t="shared" si="60"/>
        <v>0.24517422172733297</v>
      </c>
      <c r="T64" s="55">
        <f t="shared" si="60"/>
        <v>0.27959701756259908</v>
      </c>
      <c r="U64" s="55">
        <f t="shared" si="60"/>
        <v>0.34812552708828221</v>
      </c>
      <c r="V64" s="55">
        <f t="shared" si="60"/>
        <v>0.48881566446515662</v>
      </c>
      <c r="W64" s="55">
        <f t="shared" si="60"/>
        <v>0.35706323063115503</v>
      </c>
      <c r="X64" s="55">
        <f t="shared" si="60"/>
        <v>0.34645172640228411</v>
      </c>
      <c r="Y64" s="55">
        <f t="shared" si="60"/>
        <v>0.33203500132848196</v>
      </c>
      <c r="Z64" s="73" t="s">
        <v>68</v>
      </c>
    </row>
    <row r="65" spans="1:26" s="62" customFormat="1" ht="15" customHeight="1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O65" s="63" t="s">
        <v>48</v>
      </c>
      <c r="P65" s="64" t="s">
        <v>68</v>
      </c>
      <c r="Q65" s="65">
        <f t="shared" ref="Q65:W65" si="61">(Q57/Q54)</f>
        <v>1.1494252873563218E-2</v>
      </c>
      <c r="R65" s="65">
        <f t="shared" ref="R65" si="62">(R57/R54)</f>
        <v>4.9621635032874329E-3</v>
      </c>
      <c r="S65" s="65">
        <f t="shared" si="61"/>
        <v>4.6394485683987274E-3</v>
      </c>
      <c r="T65" s="65">
        <f t="shared" si="61"/>
        <v>1.0526315789473684E-2</v>
      </c>
      <c r="U65" s="65">
        <f t="shared" si="61"/>
        <v>3.8672751179518908E-3</v>
      </c>
      <c r="V65" s="65">
        <f t="shared" si="61"/>
        <v>3.8041410792891694E-3</v>
      </c>
      <c r="W65" s="65">
        <f t="shared" si="61"/>
        <v>2.3980815347721821E-3</v>
      </c>
      <c r="X65" s="65">
        <f>(X57/X54)</f>
        <v>0</v>
      </c>
      <c r="Y65" s="65">
        <f>(Y57/Y54)</f>
        <v>0</v>
      </c>
      <c r="Z65" s="64" t="s">
        <v>68</v>
      </c>
    </row>
    <row r="66" spans="1:26" s="9" customFormat="1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O66" s="48" t="s">
        <v>49</v>
      </c>
      <c r="P66" s="67" t="s">
        <v>68</v>
      </c>
      <c r="Q66" s="68">
        <f>(AVERAGE(P29:Q29)/C4*365)</f>
        <v>67.925299958424674</v>
      </c>
      <c r="R66" s="68">
        <f t="shared" ref="R66:X66" si="63">(AVERAGE(R29,Q29))/(D4)*365</f>
        <v>81.547493187347015</v>
      </c>
      <c r="S66" s="68">
        <f t="shared" si="63"/>
        <v>46.408035954060701</v>
      </c>
      <c r="T66" s="68">
        <f t="shared" si="63"/>
        <v>73.395691428568071</v>
      </c>
      <c r="U66" s="68">
        <f t="shared" si="63"/>
        <v>69.966384803921571</v>
      </c>
      <c r="V66" s="68">
        <f t="shared" si="63"/>
        <v>75.594370502037634</v>
      </c>
      <c r="W66" s="68">
        <f t="shared" si="63"/>
        <v>99.809710651634205</v>
      </c>
      <c r="X66" s="68">
        <f t="shared" si="63"/>
        <v>117.02788768115042</v>
      </c>
      <c r="Y66" s="68">
        <f t="shared" ref="Y66" si="64">(AVERAGE(Y29,X29))/(K4)*365</f>
        <v>98.071922088792121</v>
      </c>
      <c r="Z66" s="64" t="s">
        <v>68</v>
      </c>
    </row>
    <row r="67" spans="1:26" s="9" customFormat="1" ht="15" customHeight="1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O67" s="48" t="s">
        <v>50</v>
      </c>
      <c r="P67" s="67" t="s">
        <v>68</v>
      </c>
      <c r="Q67" s="68">
        <f>AVERAGE(P38:Q38)/(D7)*365</f>
        <v>30.130475277410238</v>
      </c>
      <c r="R67" s="68">
        <f t="shared" ref="R67:X67" si="65">AVERAGE(R38,Q38)/SUM(D8:D10)*365</f>
        <v>92.118932739075774</v>
      </c>
      <c r="S67" s="68">
        <f t="shared" si="65"/>
        <v>42.484104380074101</v>
      </c>
      <c r="T67" s="68">
        <f t="shared" si="65"/>
        <v>75.284955160173126</v>
      </c>
      <c r="U67" s="68">
        <f t="shared" si="65"/>
        <v>86.391137294771227</v>
      </c>
      <c r="V67" s="68">
        <f t="shared" si="65"/>
        <v>54.366085775671955</v>
      </c>
      <c r="W67" s="68">
        <f t="shared" si="65"/>
        <v>76.709615016466799</v>
      </c>
      <c r="X67" s="68">
        <f t="shared" si="65"/>
        <v>139.34046967121213</v>
      </c>
      <c r="Y67" s="68">
        <f t="shared" ref="Y67" si="66">AVERAGE(Y38,X38)/SUM(K8:K10)*365</f>
        <v>142.17258562950724</v>
      </c>
      <c r="Z67" s="64" t="s">
        <v>68</v>
      </c>
    </row>
    <row r="68" spans="1:26" s="9" customFormat="1" ht="15" customHeight="1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O68" s="29" t="s">
        <v>51</v>
      </c>
      <c r="P68" s="67" t="s">
        <v>68</v>
      </c>
      <c r="Q68" s="68">
        <f>AVERAGE(P27:Q27)/SUM(C8:C10)*365</f>
        <v>50.625788409229095</v>
      </c>
      <c r="R68" s="68">
        <f t="shared" ref="R68:X68" si="67">AVERAGE(R27,Q27)/SUM(D8:D10)*365</f>
        <v>40.417256408650964</v>
      </c>
      <c r="S68" s="68">
        <f t="shared" si="67"/>
        <v>23.544410584422678</v>
      </c>
      <c r="T68" s="68">
        <f t="shared" si="67"/>
        <v>43.068851487390027</v>
      </c>
      <c r="U68" s="68">
        <f t="shared" si="67"/>
        <v>51.825285740109656</v>
      </c>
      <c r="V68" s="68">
        <f t="shared" si="67"/>
        <v>43.731059248044275</v>
      </c>
      <c r="W68" s="68">
        <f t="shared" si="67"/>
        <v>63.581327865799857</v>
      </c>
      <c r="X68" s="68">
        <f t="shared" si="67"/>
        <v>89.815627094041915</v>
      </c>
      <c r="Y68" s="68">
        <f t="shared" ref="Y68" si="68">AVERAGE(Y27,X27)/SUM(K8:K10)*365</f>
        <v>81.123034495491439</v>
      </c>
      <c r="Z68" s="64" t="s">
        <v>68</v>
      </c>
    </row>
    <row r="69" spans="1:26" s="9" customFormat="1" ht="15" customHeight="1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O69" s="48" t="s">
        <v>83</v>
      </c>
      <c r="P69" s="67" t="s">
        <v>68</v>
      </c>
      <c r="Q69" s="68">
        <f t="shared" ref="Q69:W69" si="69">Q66-Q67+Q68</f>
        <v>88.420613090243535</v>
      </c>
      <c r="R69" s="68">
        <f t="shared" si="69"/>
        <v>29.845816856922205</v>
      </c>
      <c r="S69" s="68">
        <f t="shared" si="69"/>
        <v>27.468342158409278</v>
      </c>
      <c r="T69" s="68">
        <f t="shared" si="69"/>
        <v>41.179587755784972</v>
      </c>
      <c r="U69" s="68">
        <f t="shared" si="69"/>
        <v>35.40053324926</v>
      </c>
      <c r="V69" s="68">
        <f t="shared" si="69"/>
        <v>64.959343974409961</v>
      </c>
      <c r="W69" s="68">
        <f t="shared" si="69"/>
        <v>86.68142350096727</v>
      </c>
      <c r="X69" s="68">
        <f>X66-X67+X68</f>
        <v>67.503045103980199</v>
      </c>
      <c r="Y69" s="68">
        <f>Y66-Y67+Y68</f>
        <v>37.022370954776321</v>
      </c>
      <c r="Z69" s="64" t="s">
        <v>68</v>
      </c>
    </row>
    <row r="70" spans="1:26" s="9" customFormat="1" ht="15" customHeight="1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O70" s="29" t="s">
        <v>85</v>
      </c>
      <c r="P70" s="67" t="s">
        <v>68</v>
      </c>
      <c r="Q70" s="68">
        <f t="shared" ref="Q70:X70" si="70">AVERAGE(P49:Q49)/C4*365</f>
        <v>64.576283887668126</v>
      </c>
      <c r="R70" s="68">
        <f t="shared" si="70"/>
        <v>63.622119452566174</v>
      </c>
      <c r="S70" s="68">
        <f t="shared" si="70"/>
        <v>32.418996700280573</v>
      </c>
      <c r="T70" s="68">
        <f t="shared" si="70"/>
        <v>41.187442145718926</v>
      </c>
      <c r="U70" s="68">
        <f t="shared" si="70"/>
        <v>21.151841878643328</v>
      </c>
      <c r="V70" s="68">
        <f t="shared" si="70"/>
        <v>23.778802133009631</v>
      </c>
      <c r="W70" s="68">
        <f t="shared" si="70"/>
        <v>34.005643442585551</v>
      </c>
      <c r="X70" s="68">
        <f t="shared" si="70"/>
        <v>20.045485889541027</v>
      </c>
      <c r="Y70" s="68">
        <f t="shared" ref="Y70" si="71">AVERAGE(X49:Y49)/K4*365</f>
        <v>-2.9693119472960348</v>
      </c>
      <c r="Z70" s="64" t="s">
        <v>68</v>
      </c>
    </row>
    <row r="71" spans="1:26" s="9" customFormat="1" ht="15" customHeight="1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O71" s="29" t="s">
        <v>66</v>
      </c>
      <c r="P71" s="60">
        <f t="shared" ref="P71:X71" si="72">B19/P13</f>
        <v>0.49962574919657055</v>
      </c>
      <c r="Q71" s="60">
        <f t="shared" si="72"/>
        <v>0.43434674164653519</v>
      </c>
      <c r="R71" s="60">
        <f t="shared" si="72"/>
        <v>0.75596576354763156</v>
      </c>
      <c r="S71" s="60">
        <f t="shared" si="72"/>
        <v>4.7419558294521054E-2</v>
      </c>
      <c r="T71" s="60">
        <f t="shared" si="72"/>
        <v>1.8654179228943486E-2</v>
      </c>
      <c r="U71" s="60">
        <f t="shared" si="72"/>
        <v>2.4025265465243164E-2</v>
      </c>
      <c r="V71" s="60">
        <f t="shared" si="72"/>
        <v>1.7869455614577992E-2</v>
      </c>
      <c r="W71" s="60">
        <f t="shared" si="72"/>
        <v>3.9620880083025181E-2</v>
      </c>
      <c r="X71" s="60">
        <f t="shared" si="72"/>
        <v>6.3726052138433784E-2</v>
      </c>
      <c r="Y71" s="60">
        <f t="shared" ref="Y71" si="73">K19/Y13</f>
        <v>9.5142649577293584E-2</v>
      </c>
      <c r="Z71" s="64" t="s">
        <v>68</v>
      </c>
    </row>
    <row r="72" spans="1:26" s="9" customFormat="1" ht="15" customHeight="1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O72" s="29" t="s">
        <v>84</v>
      </c>
      <c r="P72" s="69">
        <f>(C13-C18)/C19</f>
        <v>71.311855761174584</v>
      </c>
      <c r="Q72" s="69">
        <f>(D13-D18)/D19</f>
        <v>54.793494791424621</v>
      </c>
      <c r="R72" s="69">
        <f t="shared" ref="R72:Y72" si="74">(D13-D18)/D19</f>
        <v>54.793494791424621</v>
      </c>
      <c r="S72" s="69">
        <f t="shared" si="74"/>
        <v>47.569971440228414</v>
      </c>
      <c r="T72" s="69">
        <f t="shared" si="74"/>
        <v>73.423959766162312</v>
      </c>
      <c r="U72" s="69">
        <f t="shared" si="74"/>
        <v>36.798399359743911</v>
      </c>
      <c r="V72" s="69">
        <f t="shared" si="74"/>
        <v>27.050625096465467</v>
      </c>
      <c r="W72" s="69">
        <f t="shared" si="74"/>
        <v>12.512392635763074</v>
      </c>
      <c r="X72" s="69">
        <f t="shared" si="74"/>
        <v>0.20345215805768677</v>
      </c>
      <c r="Y72" s="69">
        <f t="shared" si="74"/>
        <v>0.75792546215998891</v>
      </c>
      <c r="Z72" s="64" t="s">
        <v>68</v>
      </c>
    </row>
    <row r="73" spans="1:26" s="9" customFormat="1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O73" s="12" t="s">
        <v>87</v>
      </c>
      <c r="P73" s="70" t="s">
        <v>129</v>
      </c>
      <c r="R73" s="26"/>
      <c r="S73" s="71"/>
      <c r="T73" s="72"/>
      <c r="V73" s="71"/>
      <c r="W73" s="71"/>
    </row>
    <row r="74" spans="1:26" s="9" customFormat="1" ht="15" customHeight="1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1:26" s="9" customFormat="1" ht="15" customHeight="1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1:26" ht="15" customHeight="1" x14ac:dyDescent="0.2">
      <c r="R76" s="1"/>
      <c r="S76" s="1"/>
      <c r="T76" s="1"/>
    </row>
    <row r="77" spans="1:26" ht="15" customHeight="1" x14ac:dyDescent="0.2">
      <c r="R77" s="1"/>
      <c r="S77" s="1"/>
      <c r="T77" s="1"/>
    </row>
    <row r="78" spans="1:26" ht="15" customHeight="1" x14ac:dyDescent="0.2">
      <c r="R78" s="1"/>
      <c r="S78" s="1"/>
      <c r="T78" s="1"/>
    </row>
    <row r="79" spans="1:26" ht="15" customHeight="1" x14ac:dyDescent="0.2">
      <c r="R79" s="1"/>
      <c r="S79" s="1"/>
      <c r="T79" s="1"/>
    </row>
    <row r="80" spans="1:26" ht="15" customHeight="1" x14ac:dyDescent="0.2">
      <c r="R80" s="1"/>
      <c r="S80" s="1"/>
      <c r="T80" s="1"/>
    </row>
    <row r="81" spans="18:20" ht="15" customHeight="1" x14ac:dyDescent="0.2">
      <c r="R81" s="1"/>
      <c r="S81" s="1"/>
      <c r="T81" s="1"/>
    </row>
    <row r="82" spans="18:20" ht="15" customHeight="1" x14ac:dyDescent="0.2">
      <c r="R82" s="1"/>
      <c r="S82" s="1"/>
      <c r="T82" s="1"/>
    </row>
    <row r="83" spans="18:20" ht="15" customHeight="1" x14ac:dyDescent="0.2">
      <c r="R83" s="1"/>
      <c r="S83" s="1"/>
      <c r="T83" s="1"/>
    </row>
    <row r="84" spans="18:20" ht="15" customHeight="1" x14ac:dyDescent="0.2">
      <c r="R84" s="1"/>
      <c r="S84" s="1"/>
      <c r="T84" s="1"/>
    </row>
    <row r="85" spans="18:20" ht="15" customHeight="1" x14ac:dyDescent="0.2">
      <c r="R85" s="1"/>
      <c r="S85" s="1"/>
      <c r="T85" s="1"/>
    </row>
    <row r="86" spans="18:20" ht="15" customHeight="1" x14ac:dyDescent="0.2">
      <c r="R86" s="1"/>
      <c r="S86" s="1"/>
      <c r="T86" s="1"/>
    </row>
    <row r="87" spans="18:20" ht="15" customHeight="1" x14ac:dyDescent="0.2">
      <c r="R87" s="1"/>
      <c r="S87" s="1"/>
      <c r="T87" s="1"/>
    </row>
    <row r="88" spans="18:20" ht="15" customHeight="1" x14ac:dyDescent="0.2">
      <c r="R88" s="1"/>
      <c r="S88" s="1"/>
      <c r="T88" s="1"/>
    </row>
    <row r="89" spans="18:20" ht="15" customHeight="1" x14ac:dyDescent="0.2">
      <c r="R89" s="1"/>
      <c r="S89" s="1"/>
      <c r="T89" s="1"/>
    </row>
    <row r="90" spans="18:20" ht="15" customHeight="1" x14ac:dyDescent="0.2">
      <c r="R90" s="1"/>
      <c r="S90" s="1"/>
      <c r="T90" s="1"/>
    </row>
    <row r="91" spans="18:20" ht="15" customHeight="1" x14ac:dyDescent="0.2">
      <c r="R91" s="1"/>
      <c r="S91" s="1"/>
      <c r="T91" s="1"/>
    </row>
    <row r="92" spans="18:20" ht="15" customHeight="1" x14ac:dyDescent="0.2">
      <c r="R92" s="1"/>
      <c r="S92" s="1"/>
      <c r="T92" s="1"/>
    </row>
    <row r="93" spans="18:20" ht="15" customHeight="1" x14ac:dyDescent="0.2">
      <c r="R93" s="1"/>
      <c r="S93" s="1"/>
      <c r="T93" s="1"/>
    </row>
    <row r="94" spans="18:20" ht="15" customHeight="1" x14ac:dyDescent="0.2">
      <c r="R94" s="1"/>
      <c r="S94" s="1"/>
      <c r="T94" s="1"/>
    </row>
    <row r="95" spans="18:20" ht="15" customHeight="1" x14ac:dyDescent="0.2">
      <c r="R95" s="1"/>
      <c r="S95" s="1"/>
      <c r="T95" s="1"/>
    </row>
    <row r="96" spans="18:20" ht="15" customHeight="1" x14ac:dyDescent="0.2">
      <c r="R96" s="1"/>
      <c r="S96" s="1"/>
      <c r="T96" s="1"/>
    </row>
    <row r="97" spans="18:20" ht="15" customHeight="1" x14ac:dyDescent="0.2">
      <c r="R97" s="1"/>
      <c r="S97" s="1"/>
      <c r="T97" s="1"/>
    </row>
    <row r="98" spans="18:20" ht="15" customHeight="1" x14ac:dyDescent="0.2">
      <c r="R98" s="1"/>
      <c r="S98" s="1"/>
      <c r="T98" s="1"/>
    </row>
    <row r="99" spans="18:20" ht="15" customHeight="1" x14ac:dyDescent="0.2">
      <c r="R99" s="1"/>
      <c r="S99" s="1"/>
      <c r="T99" s="1"/>
    </row>
    <row r="100" spans="18:20" ht="15" customHeight="1" x14ac:dyDescent="0.2">
      <c r="R100" s="1"/>
      <c r="S100" s="1"/>
      <c r="T100" s="1"/>
    </row>
    <row r="101" spans="18:20" ht="15" customHeight="1" x14ac:dyDescent="0.2">
      <c r="R101" s="1"/>
      <c r="S101" s="1"/>
      <c r="T101" s="1"/>
    </row>
    <row r="102" spans="18:20" ht="15" customHeight="1" x14ac:dyDescent="0.2">
      <c r="R102" s="1"/>
      <c r="S102" s="1"/>
      <c r="T102" s="1"/>
    </row>
    <row r="103" spans="18:20" ht="15" customHeight="1" x14ac:dyDescent="0.2">
      <c r="R103" s="1"/>
      <c r="S103" s="1"/>
      <c r="T103" s="1"/>
    </row>
    <row r="104" spans="18:20" ht="15" customHeight="1" x14ac:dyDescent="0.2">
      <c r="R104" s="1"/>
      <c r="S104" s="1"/>
      <c r="T104" s="1"/>
    </row>
    <row r="105" spans="18:20" ht="15" customHeight="1" x14ac:dyDescent="0.2">
      <c r="R105" s="1"/>
      <c r="S105" s="1"/>
      <c r="T105" s="1"/>
    </row>
    <row r="106" spans="18:20" ht="15" customHeight="1" x14ac:dyDescent="0.2">
      <c r="R106" s="1"/>
      <c r="S106" s="1"/>
      <c r="T106" s="1"/>
    </row>
    <row r="107" spans="18:20" ht="15" customHeight="1" x14ac:dyDescent="0.2">
      <c r="R107" s="1"/>
      <c r="S107" s="1"/>
      <c r="T107" s="1"/>
    </row>
    <row r="108" spans="18:20" ht="15" customHeight="1" x14ac:dyDescent="0.2">
      <c r="R108" s="1"/>
      <c r="S108" s="1"/>
      <c r="T108" s="1"/>
    </row>
    <row r="109" spans="18:20" ht="15" customHeight="1" x14ac:dyDescent="0.2">
      <c r="R109" s="1"/>
      <c r="S109" s="1"/>
      <c r="T109" s="1"/>
    </row>
    <row r="110" spans="18:20" ht="15" customHeight="1" x14ac:dyDescent="0.2">
      <c r="R110" s="1"/>
      <c r="S110" s="1"/>
      <c r="T110" s="1"/>
    </row>
    <row r="111" spans="18:20" ht="15" customHeight="1" x14ac:dyDescent="0.2">
      <c r="R111" s="1"/>
      <c r="S111" s="1"/>
      <c r="T111" s="1"/>
    </row>
    <row r="112" spans="18:20" ht="15" customHeight="1" x14ac:dyDescent="0.2">
      <c r="R112" s="1"/>
      <c r="S112" s="1"/>
      <c r="T112" s="1"/>
    </row>
    <row r="113" spans="18:20" ht="15" customHeight="1" x14ac:dyDescent="0.2">
      <c r="R113" s="1"/>
      <c r="S113" s="1"/>
      <c r="T113" s="1"/>
    </row>
    <row r="114" spans="18:20" ht="15" customHeight="1" x14ac:dyDescent="0.2">
      <c r="R114" s="1"/>
      <c r="S114" s="1"/>
      <c r="T114" s="1"/>
    </row>
    <row r="115" spans="18:20" ht="15" customHeight="1" x14ac:dyDescent="0.2">
      <c r="R115" s="1"/>
      <c r="S115" s="1"/>
      <c r="T115" s="1"/>
    </row>
    <row r="116" spans="18:20" ht="15" customHeight="1" x14ac:dyDescent="0.2">
      <c r="R116" s="1"/>
      <c r="S116" s="1"/>
      <c r="T116" s="1"/>
    </row>
    <row r="117" spans="18:20" ht="15" customHeight="1" x14ac:dyDescent="0.2">
      <c r="R117" s="1"/>
      <c r="S117" s="1"/>
      <c r="T117" s="1"/>
    </row>
    <row r="118" spans="18:20" ht="15" customHeight="1" x14ac:dyDescent="0.2">
      <c r="R118" s="1"/>
      <c r="S118" s="1"/>
      <c r="T118" s="1"/>
    </row>
    <row r="119" spans="18:20" ht="15" customHeight="1" x14ac:dyDescent="0.2">
      <c r="R119" s="1"/>
      <c r="S119" s="1"/>
      <c r="T119" s="1"/>
    </row>
    <row r="120" spans="18:20" ht="15" customHeight="1" x14ac:dyDescent="0.2">
      <c r="R120" s="1"/>
      <c r="S120" s="1"/>
      <c r="T120" s="1"/>
    </row>
    <row r="121" spans="18:20" ht="15" customHeight="1" x14ac:dyDescent="0.2">
      <c r="R121" s="1"/>
      <c r="S121" s="1"/>
      <c r="T121" s="1"/>
    </row>
    <row r="122" spans="18:20" ht="15" customHeight="1" x14ac:dyDescent="0.2">
      <c r="R122" s="1"/>
      <c r="S122" s="1"/>
      <c r="T122" s="1"/>
    </row>
    <row r="123" spans="18:20" ht="15" customHeight="1" x14ac:dyDescent="0.2">
      <c r="R123" s="1"/>
      <c r="S123" s="1"/>
      <c r="T123" s="1"/>
    </row>
    <row r="124" spans="18:20" ht="15" customHeight="1" x14ac:dyDescent="0.2">
      <c r="R124" s="1"/>
      <c r="S124" s="1"/>
      <c r="T124" s="1"/>
    </row>
    <row r="125" spans="18:20" ht="15" customHeight="1" x14ac:dyDescent="0.2">
      <c r="R125" s="1"/>
      <c r="S125" s="1"/>
      <c r="T125" s="1"/>
    </row>
    <row r="126" spans="18:20" ht="15" customHeight="1" x14ac:dyDescent="0.2">
      <c r="R126" s="1"/>
      <c r="S126" s="1"/>
      <c r="T126" s="1"/>
    </row>
    <row r="127" spans="18:20" ht="15" customHeight="1" x14ac:dyDescent="0.2">
      <c r="R127" s="1"/>
      <c r="S127" s="1"/>
      <c r="T127" s="1"/>
    </row>
    <row r="128" spans="18:20" ht="15" customHeight="1" x14ac:dyDescent="0.2">
      <c r="R128" s="1"/>
      <c r="S128" s="1"/>
      <c r="T128" s="1"/>
    </row>
    <row r="129" spans="18:20" ht="15" customHeight="1" x14ac:dyDescent="0.2">
      <c r="R129" s="1"/>
      <c r="S129" s="1"/>
      <c r="T129" s="1"/>
    </row>
    <row r="130" spans="18:20" ht="15" customHeight="1" x14ac:dyDescent="0.2">
      <c r="R130" s="1"/>
      <c r="S130" s="1"/>
      <c r="T130" s="1"/>
    </row>
    <row r="131" spans="18:20" ht="15" customHeight="1" x14ac:dyDescent="0.2">
      <c r="R131" s="1"/>
      <c r="S131" s="1"/>
      <c r="T131" s="1"/>
    </row>
    <row r="132" spans="18:20" ht="15" customHeight="1" x14ac:dyDescent="0.2">
      <c r="R132" s="1"/>
      <c r="S132" s="1"/>
      <c r="T132" s="1"/>
    </row>
    <row r="133" spans="18:20" ht="15" customHeight="1" x14ac:dyDescent="0.2">
      <c r="R133" s="1"/>
      <c r="S133" s="1"/>
      <c r="T133" s="1"/>
    </row>
    <row r="134" spans="18:20" ht="15" customHeight="1" x14ac:dyDescent="0.2">
      <c r="R134" s="1"/>
      <c r="S134" s="1"/>
      <c r="T134" s="1"/>
    </row>
    <row r="135" spans="18:20" ht="15" customHeight="1" x14ac:dyDescent="0.2">
      <c r="R135" s="1"/>
      <c r="S135" s="1"/>
      <c r="T135" s="1"/>
    </row>
    <row r="136" spans="18:20" ht="15" customHeight="1" x14ac:dyDescent="0.2">
      <c r="R136" s="1"/>
      <c r="S136" s="1"/>
      <c r="T136" s="1"/>
    </row>
    <row r="137" spans="18:20" ht="15" customHeight="1" x14ac:dyDescent="0.2">
      <c r="R137" s="1"/>
      <c r="S137" s="1"/>
      <c r="T137" s="1"/>
    </row>
    <row r="138" spans="18:20" ht="15" customHeight="1" x14ac:dyDescent="0.2">
      <c r="R138" s="1"/>
      <c r="S138" s="1"/>
      <c r="T138" s="1"/>
    </row>
    <row r="139" spans="18:20" ht="15" customHeight="1" x14ac:dyDescent="0.2">
      <c r="R139" s="1"/>
      <c r="S139" s="1"/>
      <c r="T139" s="1"/>
    </row>
    <row r="140" spans="18:20" ht="15" customHeight="1" x14ac:dyDescent="0.2">
      <c r="R140" s="1"/>
      <c r="S140" s="1"/>
      <c r="T140" s="1"/>
    </row>
    <row r="141" spans="18:20" ht="15" customHeight="1" x14ac:dyDescent="0.2">
      <c r="R141" s="1"/>
      <c r="S141" s="1"/>
      <c r="T141" s="1"/>
    </row>
    <row r="142" spans="18:20" ht="15" customHeight="1" x14ac:dyDescent="0.2">
      <c r="R142" s="1"/>
      <c r="S142" s="1"/>
      <c r="T142" s="1"/>
    </row>
    <row r="143" spans="18:20" ht="15" customHeight="1" x14ac:dyDescent="0.2">
      <c r="R143" s="1"/>
      <c r="S143" s="1"/>
      <c r="T143" s="1"/>
    </row>
    <row r="144" spans="18:20" ht="15" customHeight="1" x14ac:dyDescent="0.2">
      <c r="R144" s="1"/>
      <c r="S144" s="1"/>
      <c r="T144" s="1"/>
    </row>
    <row r="145" spans="18:20" ht="15" customHeight="1" x14ac:dyDescent="0.2">
      <c r="R145" s="1"/>
      <c r="S145" s="1"/>
      <c r="T145" s="1"/>
    </row>
    <row r="146" spans="18:20" ht="15" customHeight="1" x14ac:dyDescent="0.2">
      <c r="R146" s="1"/>
      <c r="S146" s="1"/>
      <c r="T146" s="1"/>
    </row>
    <row r="147" spans="18:20" ht="15" customHeight="1" x14ac:dyDescent="0.2">
      <c r="R147" s="1"/>
      <c r="S147" s="1"/>
      <c r="T147" s="1"/>
    </row>
    <row r="148" spans="18:20" ht="15" customHeight="1" x14ac:dyDescent="0.2">
      <c r="R148" s="1"/>
      <c r="S148" s="1"/>
      <c r="T148" s="1"/>
    </row>
    <row r="149" spans="18:20" ht="15" customHeight="1" x14ac:dyDescent="0.2">
      <c r="R149" s="1"/>
      <c r="S149" s="1"/>
      <c r="T149" s="1"/>
    </row>
    <row r="150" spans="18:20" ht="15" customHeight="1" x14ac:dyDescent="0.2">
      <c r="R150" s="1"/>
      <c r="S150" s="1"/>
      <c r="T150" s="1"/>
    </row>
    <row r="151" spans="18:20" ht="15" customHeight="1" x14ac:dyDescent="0.2">
      <c r="R151" s="1"/>
      <c r="S151" s="1"/>
      <c r="T151" s="1"/>
    </row>
    <row r="152" spans="18:20" ht="15" customHeight="1" x14ac:dyDescent="0.2">
      <c r="R152" s="1"/>
      <c r="S152" s="1"/>
      <c r="T152" s="1"/>
    </row>
    <row r="153" spans="18:20" ht="15" customHeight="1" x14ac:dyDescent="0.2">
      <c r="R153" s="1"/>
      <c r="S153" s="1"/>
      <c r="T153" s="1"/>
    </row>
    <row r="154" spans="18:20" ht="15" customHeight="1" x14ac:dyDescent="0.2">
      <c r="R154" s="1"/>
      <c r="S154" s="1"/>
      <c r="T154" s="1"/>
    </row>
    <row r="155" spans="18:20" ht="15" customHeight="1" x14ac:dyDescent="0.2">
      <c r="R155" s="1"/>
      <c r="S155" s="1"/>
      <c r="T155" s="1"/>
    </row>
    <row r="156" spans="18:20" ht="15" customHeight="1" x14ac:dyDescent="0.2">
      <c r="R156" s="1"/>
      <c r="S156" s="1"/>
      <c r="T156" s="1"/>
    </row>
    <row r="157" spans="18:20" ht="15" customHeight="1" x14ac:dyDescent="0.2">
      <c r="R157" s="1"/>
      <c r="S157" s="1"/>
      <c r="T157" s="1"/>
    </row>
    <row r="158" spans="18:20" ht="15" customHeight="1" x14ac:dyDescent="0.2">
      <c r="R158" s="1"/>
      <c r="S158" s="1"/>
      <c r="T158" s="1"/>
    </row>
    <row r="159" spans="18:20" ht="15" customHeight="1" x14ac:dyDescent="0.2">
      <c r="R159" s="1"/>
      <c r="S159" s="1"/>
      <c r="T159" s="1"/>
    </row>
    <row r="160" spans="18:20" ht="15" customHeight="1" x14ac:dyDescent="0.2">
      <c r="R160" s="1"/>
      <c r="S160" s="1"/>
      <c r="T160" s="1"/>
    </row>
    <row r="161" spans="18:20" ht="15" customHeight="1" x14ac:dyDescent="0.2">
      <c r="R161" s="1"/>
      <c r="S161" s="1"/>
      <c r="T161" s="1"/>
    </row>
    <row r="162" spans="18:20" ht="15" customHeight="1" x14ac:dyDescent="0.2">
      <c r="R162" s="1"/>
      <c r="S162" s="1"/>
      <c r="T162" s="1"/>
    </row>
    <row r="163" spans="18:20" ht="15" customHeight="1" x14ac:dyDescent="0.2">
      <c r="R163" s="1"/>
      <c r="S163" s="1"/>
      <c r="T163" s="1"/>
    </row>
    <row r="164" spans="18:20" ht="15" customHeight="1" x14ac:dyDescent="0.2">
      <c r="R164" s="1"/>
      <c r="S164" s="1"/>
      <c r="T164" s="1"/>
    </row>
    <row r="165" spans="18:20" ht="15" customHeight="1" x14ac:dyDescent="0.2">
      <c r="R165" s="1"/>
      <c r="S165" s="1"/>
      <c r="T165" s="1"/>
    </row>
    <row r="166" spans="18:20" ht="15" customHeight="1" x14ac:dyDescent="0.2">
      <c r="R166" s="1"/>
      <c r="S166" s="1"/>
      <c r="T166" s="1"/>
    </row>
    <row r="167" spans="18:20" ht="15" customHeight="1" x14ac:dyDescent="0.2">
      <c r="R167" s="1"/>
      <c r="S167" s="1"/>
      <c r="T167" s="1"/>
    </row>
    <row r="168" spans="18:20" ht="15" customHeight="1" x14ac:dyDescent="0.2">
      <c r="R168" s="1"/>
      <c r="S168" s="1"/>
      <c r="T168" s="1"/>
    </row>
    <row r="169" spans="18:20" ht="15" customHeight="1" x14ac:dyDescent="0.2">
      <c r="R169" s="1"/>
      <c r="S169" s="1"/>
      <c r="T169" s="1"/>
    </row>
    <row r="170" spans="18:20" ht="15" customHeight="1" x14ac:dyDescent="0.2">
      <c r="R170" s="1"/>
      <c r="S170" s="1"/>
      <c r="T170" s="1"/>
    </row>
    <row r="171" spans="18:20" ht="15" customHeight="1" x14ac:dyDescent="0.2">
      <c r="R171" s="1"/>
      <c r="S171" s="1"/>
      <c r="T171" s="1"/>
    </row>
    <row r="172" spans="18:20" ht="15" customHeight="1" x14ac:dyDescent="0.2">
      <c r="R172" s="1"/>
      <c r="S172" s="1"/>
      <c r="T172" s="1"/>
    </row>
    <row r="173" spans="18:20" ht="15" customHeight="1" x14ac:dyDescent="0.2">
      <c r="R173" s="1"/>
      <c r="S173" s="1"/>
      <c r="T173" s="1"/>
    </row>
    <row r="174" spans="18:20" ht="15" customHeight="1" x14ac:dyDescent="0.2">
      <c r="R174" s="1"/>
      <c r="S174" s="1"/>
      <c r="T174" s="1"/>
    </row>
    <row r="175" spans="18:20" ht="15" customHeight="1" x14ac:dyDescent="0.2">
      <c r="R175" s="1"/>
      <c r="S175" s="1"/>
      <c r="T175" s="1"/>
    </row>
    <row r="176" spans="18:20" ht="15" customHeight="1" x14ac:dyDescent="0.2">
      <c r="R176" s="1"/>
      <c r="S176" s="1"/>
      <c r="T176" s="1"/>
    </row>
    <row r="177" spans="18:20" ht="15" customHeight="1" x14ac:dyDescent="0.2">
      <c r="R177" s="1"/>
      <c r="S177" s="1"/>
      <c r="T177" s="1"/>
    </row>
    <row r="178" spans="18:20" ht="15" customHeight="1" x14ac:dyDescent="0.2">
      <c r="R178" s="1"/>
      <c r="S178" s="1"/>
      <c r="T178" s="1"/>
    </row>
    <row r="179" spans="18:20" ht="15" customHeight="1" x14ac:dyDescent="0.2">
      <c r="R179" s="1"/>
      <c r="S179" s="1"/>
      <c r="T179" s="1"/>
    </row>
    <row r="180" spans="18:20" ht="15" customHeight="1" x14ac:dyDescent="0.2">
      <c r="R180" s="1"/>
      <c r="S180" s="1"/>
      <c r="T180" s="1"/>
    </row>
    <row r="181" spans="18:20" ht="15" customHeight="1" x14ac:dyDescent="0.2">
      <c r="R181" s="1"/>
      <c r="S181" s="1"/>
      <c r="T181" s="1"/>
    </row>
    <row r="182" spans="18:20" ht="15" customHeight="1" x14ac:dyDescent="0.2">
      <c r="R182" s="1"/>
      <c r="S182" s="1"/>
      <c r="T182" s="1"/>
    </row>
    <row r="183" spans="18:20" ht="15" customHeight="1" x14ac:dyDescent="0.2">
      <c r="R183" s="1"/>
      <c r="S183" s="1"/>
      <c r="T183" s="1"/>
    </row>
    <row r="184" spans="18:20" ht="15" customHeight="1" x14ac:dyDescent="0.2">
      <c r="R184" s="1"/>
      <c r="S184" s="1"/>
      <c r="T184" s="1"/>
    </row>
    <row r="185" spans="18:20" ht="15" customHeight="1" x14ac:dyDescent="0.2">
      <c r="R185" s="1"/>
      <c r="S185" s="1"/>
      <c r="T185" s="1"/>
    </row>
    <row r="186" spans="18:20" ht="15" customHeight="1" x14ac:dyDescent="0.2">
      <c r="R186" s="1"/>
      <c r="S186" s="1"/>
      <c r="T186" s="1"/>
    </row>
    <row r="187" spans="18:20" ht="15" customHeight="1" x14ac:dyDescent="0.2">
      <c r="R187" s="1"/>
      <c r="S187" s="1"/>
      <c r="T187" s="1"/>
    </row>
    <row r="188" spans="18:20" ht="15" customHeight="1" x14ac:dyDescent="0.2">
      <c r="R188" s="1"/>
      <c r="S188" s="1"/>
      <c r="T188" s="1"/>
    </row>
    <row r="189" spans="18:20" ht="15" customHeight="1" x14ac:dyDescent="0.2">
      <c r="R189" s="1"/>
      <c r="S189" s="1"/>
      <c r="T189" s="1"/>
    </row>
    <row r="190" spans="18:20" ht="15" customHeight="1" x14ac:dyDescent="0.2">
      <c r="R190" s="1"/>
      <c r="S190" s="1"/>
      <c r="T190" s="1"/>
    </row>
    <row r="191" spans="18:20" ht="15" customHeight="1" x14ac:dyDescent="0.2">
      <c r="R191" s="1"/>
      <c r="S191" s="1"/>
      <c r="T191" s="1"/>
    </row>
    <row r="192" spans="18:20" ht="15" customHeight="1" x14ac:dyDescent="0.2">
      <c r="R192" s="1"/>
      <c r="S192" s="1"/>
      <c r="T192" s="1"/>
    </row>
    <row r="193" spans="18:20" ht="15" customHeight="1" x14ac:dyDescent="0.2">
      <c r="R193" s="1"/>
      <c r="S193" s="1"/>
      <c r="T193" s="1"/>
    </row>
    <row r="194" spans="18:20" ht="15" customHeight="1" x14ac:dyDescent="0.2">
      <c r="R194" s="1"/>
      <c r="S194" s="1"/>
      <c r="T194" s="1"/>
    </row>
    <row r="195" spans="18:20" ht="15" customHeight="1" x14ac:dyDescent="0.2">
      <c r="R195" s="1"/>
      <c r="S195" s="1"/>
      <c r="T195" s="1"/>
    </row>
    <row r="196" spans="18:20" ht="15" customHeight="1" x14ac:dyDescent="0.2">
      <c r="R196" s="1"/>
      <c r="S196" s="1"/>
      <c r="T196" s="1"/>
    </row>
    <row r="197" spans="18:20" ht="15" customHeight="1" x14ac:dyDescent="0.2">
      <c r="R197" s="1"/>
      <c r="S197" s="1"/>
      <c r="T197" s="1"/>
    </row>
    <row r="198" spans="18:20" ht="15" customHeight="1" x14ac:dyDescent="0.2">
      <c r="R198" s="1"/>
      <c r="S198" s="1"/>
      <c r="T198" s="1"/>
    </row>
    <row r="199" spans="18:20" ht="15" customHeight="1" x14ac:dyDescent="0.2">
      <c r="R199" s="1"/>
      <c r="S199" s="1"/>
      <c r="T199" s="1"/>
    </row>
    <row r="200" spans="18:20" ht="15" customHeight="1" x14ac:dyDescent="0.2">
      <c r="R200" s="1"/>
      <c r="S200" s="1"/>
      <c r="T200" s="1"/>
    </row>
    <row r="201" spans="18:20" ht="15" customHeight="1" x14ac:dyDescent="0.2">
      <c r="R201" s="1"/>
      <c r="S201" s="1"/>
      <c r="T201" s="1"/>
    </row>
    <row r="202" spans="18:20" ht="15" customHeight="1" x14ac:dyDescent="0.2">
      <c r="R202" s="1"/>
      <c r="S202" s="1"/>
      <c r="T202" s="1"/>
    </row>
    <row r="203" spans="18:20" ht="15" customHeight="1" x14ac:dyDescent="0.2">
      <c r="R203" s="1"/>
      <c r="S203" s="1"/>
      <c r="T203" s="1"/>
    </row>
    <row r="204" spans="18:20" ht="15" customHeight="1" x14ac:dyDescent="0.2">
      <c r="R204" s="1"/>
      <c r="S204" s="1"/>
      <c r="T204" s="1"/>
    </row>
    <row r="205" spans="18:20" ht="15" customHeight="1" x14ac:dyDescent="0.2">
      <c r="R205" s="1"/>
      <c r="S205" s="1"/>
      <c r="T205" s="1"/>
    </row>
    <row r="206" spans="18:20" ht="15" customHeight="1" x14ac:dyDescent="0.2">
      <c r="R206" s="1"/>
      <c r="S206" s="1"/>
      <c r="T206" s="1"/>
    </row>
    <row r="207" spans="18:20" ht="15" customHeight="1" x14ac:dyDescent="0.2">
      <c r="R207" s="1"/>
      <c r="S207" s="1"/>
      <c r="T207" s="1"/>
    </row>
    <row r="208" spans="18:20" ht="15" customHeight="1" x14ac:dyDescent="0.2">
      <c r="R208" s="1"/>
      <c r="S208" s="1"/>
      <c r="T208" s="1"/>
    </row>
    <row r="209" spans="18:20" ht="15" customHeight="1" x14ac:dyDescent="0.2">
      <c r="R209" s="1"/>
      <c r="S209" s="1"/>
      <c r="T209" s="1"/>
    </row>
    <row r="210" spans="18:20" ht="15" customHeight="1" x14ac:dyDescent="0.2">
      <c r="R210" s="1"/>
      <c r="S210" s="1"/>
      <c r="T210" s="1"/>
    </row>
    <row r="211" spans="18:20" ht="15" customHeight="1" x14ac:dyDescent="0.2">
      <c r="R211" s="1"/>
      <c r="S211" s="1"/>
      <c r="T211" s="1"/>
    </row>
    <row r="212" spans="18:20" ht="15" customHeight="1" x14ac:dyDescent="0.2">
      <c r="R212" s="1"/>
      <c r="S212" s="1"/>
      <c r="T212" s="1"/>
    </row>
    <row r="213" spans="18:20" ht="15" customHeight="1" x14ac:dyDescent="0.2">
      <c r="R213" s="1"/>
      <c r="S213" s="1"/>
      <c r="T213" s="1"/>
    </row>
    <row r="214" spans="18:20" ht="15" customHeight="1" x14ac:dyDescent="0.2">
      <c r="R214" s="1"/>
      <c r="S214" s="1"/>
      <c r="T214" s="1"/>
    </row>
    <row r="215" spans="18:20" ht="15" customHeight="1" x14ac:dyDescent="0.2">
      <c r="R215" s="1"/>
      <c r="S215" s="1"/>
      <c r="T215" s="1"/>
    </row>
    <row r="216" spans="18:20" ht="15" customHeight="1" x14ac:dyDescent="0.2">
      <c r="R216" s="1"/>
      <c r="S216" s="1"/>
      <c r="T216" s="1"/>
    </row>
    <row r="217" spans="18:20" ht="15" customHeight="1" x14ac:dyDescent="0.2">
      <c r="R217" s="1"/>
      <c r="S217" s="1"/>
      <c r="T217" s="1"/>
    </row>
    <row r="218" spans="18:20" ht="15" customHeight="1" x14ac:dyDescent="0.2">
      <c r="R218" s="1"/>
      <c r="S218" s="1"/>
      <c r="T218" s="1"/>
    </row>
    <row r="219" spans="18:20" ht="15" customHeight="1" x14ac:dyDescent="0.2">
      <c r="R219" s="1"/>
      <c r="S219" s="1"/>
      <c r="T219" s="1"/>
    </row>
    <row r="220" spans="18:20" ht="15" customHeight="1" x14ac:dyDescent="0.2">
      <c r="R220" s="1"/>
      <c r="S220" s="1"/>
      <c r="T220" s="1"/>
    </row>
    <row r="221" spans="18:20" ht="15" customHeight="1" x14ac:dyDescent="0.2">
      <c r="R221" s="1"/>
      <c r="S221" s="1"/>
      <c r="T221" s="1"/>
    </row>
    <row r="222" spans="18:20" ht="15" customHeight="1" x14ac:dyDescent="0.2">
      <c r="R222" s="1"/>
      <c r="S222" s="1"/>
      <c r="T222" s="1"/>
    </row>
    <row r="223" spans="18:20" ht="15" customHeight="1" x14ac:dyDescent="0.2">
      <c r="R223" s="1"/>
      <c r="S223" s="1"/>
      <c r="T223" s="1"/>
    </row>
    <row r="224" spans="18:20" ht="15" customHeight="1" x14ac:dyDescent="0.2">
      <c r="R224" s="1"/>
      <c r="S224" s="1"/>
      <c r="T224" s="1"/>
    </row>
    <row r="225" spans="18:20" ht="15" customHeight="1" x14ac:dyDescent="0.2">
      <c r="R225" s="1"/>
      <c r="S225" s="1"/>
      <c r="T225" s="1"/>
    </row>
    <row r="226" spans="18:20" ht="15" customHeight="1" x14ac:dyDescent="0.2">
      <c r="R226" s="1"/>
      <c r="S226" s="1"/>
      <c r="T226" s="1"/>
    </row>
    <row r="227" spans="18:20" ht="15" customHeight="1" x14ac:dyDescent="0.2">
      <c r="R227" s="1"/>
      <c r="S227" s="1"/>
      <c r="T227" s="1"/>
    </row>
    <row r="228" spans="18:20" ht="15" customHeight="1" x14ac:dyDescent="0.2">
      <c r="R228" s="1"/>
      <c r="S228" s="1"/>
      <c r="T228" s="1"/>
    </row>
    <row r="229" spans="18:20" ht="15" customHeight="1" x14ac:dyDescent="0.2">
      <c r="R229" s="1"/>
      <c r="S229" s="1"/>
      <c r="T229" s="1"/>
    </row>
    <row r="230" spans="18:20" ht="15" customHeight="1" x14ac:dyDescent="0.2">
      <c r="R230" s="1"/>
      <c r="S230" s="1"/>
      <c r="T230" s="1"/>
    </row>
    <row r="231" spans="18:20" ht="15" customHeight="1" x14ac:dyDescent="0.2">
      <c r="R231" s="1"/>
      <c r="S231" s="1"/>
      <c r="T231" s="1"/>
    </row>
    <row r="232" spans="18:20" ht="15" customHeight="1" x14ac:dyDescent="0.2">
      <c r="R232" s="1"/>
      <c r="S232" s="1"/>
      <c r="T232" s="1"/>
    </row>
    <row r="233" spans="18:20" ht="15" customHeight="1" x14ac:dyDescent="0.2">
      <c r="R233" s="1"/>
      <c r="S233" s="1"/>
      <c r="T233" s="1"/>
    </row>
    <row r="234" spans="18:20" ht="15" customHeight="1" x14ac:dyDescent="0.2">
      <c r="R234" s="1"/>
      <c r="S234" s="1"/>
      <c r="T234" s="1"/>
    </row>
    <row r="235" spans="18:20" ht="15" customHeight="1" x14ac:dyDescent="0.2">
      <c r="R235" s="1"/>
      <c r="S235" s="1"/>
      <c r="T235" s="1"/>
    </row>
    <row r="236" spans="18:20" ht="15" customHeight="1" x14ac:dyDescent="0.2">
      <c r="R236" s="1"/>
      <c r="S236" s="1"/>
      <c r="T236" s="1"/>
    </row>
    <row r="237" spans="18:20" ht="15" customHeight="1" x14ac:dyDescent="0.2">
      <c r="R237" s="1"/>
      <c r="S237" s="1"/>
      <c r="T237" s="1"/>
    </row>
    <row r="238" spans="18:20" ht="15" customHeight="1" x14ac:dyDescent="0.2">
      <c r="R238" s="1"/>
      <c r="S238" s="1"/>
      <c r="T238" s="1"/>
    </row>
    <row r="239" spans="18:20" ht="15" customHeight="1" x14ac:dyDescent="0.2">
      <c r="R239" s="1"/>
      <c r="S239" s="1"/>
      <c r="T239" s="1"/>
    </row>
    <row r="240" spans="18:20" ht="15" customHeight="1" x14ac:dyDescent="0.2">
      <c r="R240" s="1"/>
      <c r="S240" s="1"/>
      <c r="T240" s="1"/>
    </row>
    <row r="241" spans="18:20" ht="15" customHeight="1" x14ac:dyDescent="0.2">
      <c r="R241" s="1"/>
      <c r="S241" s="1"/>
      <c r="T241" s="1"/>
    </row>
    <row r="242" spans="18:20" ht="15" customHeight="1" x14ac:dyDescent="0.2">
      <c r="R242" s="1"/>
      <c r="S242" s="1"/>
      <c r="T242" s="1"/>
    </row>
    <row r="243" spans="18:20" ht="15" customHeight="1" x14ac:dyDescent="0.2">
      <c r="R243" s="1"/>
      <c r="S243" s="1"/>
      <c r="T243" s="1"/>
    </row>
    <row r="244" spans="18:20" ht="15" customHeight="1" x14ac:dyDescent="0.2">
      <c r="R244" s="1"/>
      <c r="S244" s="1"/>
      <c r="T244" s="1"/>
    </row>
    <row r="245" spans="18:20" ht="15" customHeight="1" x14ac:dyDescent="0.2">
      <c r="R245" s="1"/>
      <c r="S245" s="1"/>
      <c r="T245" s="1"/>
    </row>
    <row r="246" spans="18:20" ht="15" customHeight="1" x14ac:dyDescent="0.2">
      <c r="R246" s="1"/>
      <c r="S246" s="1"/>
      <c r="T246" s="1"/>
    </row>
    <row r="247" spans="18:20" ht="15" customHeight="1" x14ac:dyDescent="0.2">
      <c r="R247" s="1"/>
      <c r="S247" s="1"/>
      <c r="T247" s="1"/>
    </row>
    <row r="248" spans="18:20" ht="15" customHeight="1" x14ac:dyDescent="0.2">
      <c r="R248" s="1"/>
      <c r="S248" s="1"/>
      <c r="T248" s="1"/>
    </row>
    <row r="249" spans="18:20" ht="15" customHeight="1" x14ac:dyDescent="0.2">
      <c r="R249" s="1"/>
      <c r="S249" s="1"/>
      <c r="T249" s="1"/>
    </row>
    <row r="250" spans="18:20" ht="15" customHeight="1" x14ac:dyDescent="0.2">
      <c r="R250" s="1"/>
      <c r="S250" s="1"/>
      <c r="T250" s="1"/>
    </row>
    <row r="251" spans="18:20" ht="15" customHeight="1" x14ac:dyDescent="0.2">
      <c r="R251" s="1"/>
      <c r="S251" s="1"/>
      <c r="T251" s="1"/>
    </row>
    <row r="252" spans="18:20" ht="15" customHeight="1" x14ac:dyDescent="0.2">
      <c r="R252" s="1"/>
      <c r="S252" s="1"/>
      <c r="T252" s="1"/>
    </row>
    <row r="253" spans="18:20" ht="15" customHeight="1" x14ac:dyDescent="0.2">
      <c r="R253" s="1"/>
      <c r="S253" s="1"/>
      <c r="T253" s="1"/>
    </row>
    <row r="254" spans="18:20" ht="15" customHeight="1" x14ac:dyDescent="0.2">
      <c r="R254" s="1"/>
      <c r="S254" s="1"/>
      <c r="T254" s="1"/>
    </row>
    <row r="255" spans="18:20" ht="15" customHeight="1" x14ac:dyDescent="0.2">
      <c r="R255" s="1"/>
      <c r="S255" s="1"/>
      <c r="T255" s="1"/>
    </row>
    <row r="256" spans="18:20" ht="15" customHeight="1" x14ac:dyDescent="0.2">
      <c r="R256" s="1"/>
      <c r="S256" s="1"/>
      <c r="T256" s="1"/>
    </row>
    <row r="257" spans="18:20" ht="15" customHeight="1" x14ac:dyDescent="0.2">
      <c r="R257" s="1"/>
      <c r="S257" s="1"/>
      <c r="T257" s="1"/>
    </row>
    <row r="258" spans="18:20" ht="15" customHeight="1" x14ac:dyDescent="0.2">
      <c r="R258" s="1"/>
      <c r="S258" s="1"/>
      <c r="T258" s="1"/>
    </row>
    <row r="259" spans="18:20" ht="15" customHeight="1" x14ac:dyDescent="0.2">
      <c r="R259" s="1"/>
      <c r="S259" s="1"/>
      <c r="T259" s="1"/>
    </row>
    <row r="260" spans="18:20" ht="15" customHeight="1" x14ac:dyDescent="0.2">
      <c r="R260" s="1"/>
      <c r="S260" s="1"/>
      <c r="T260" s="1"/>
    </row>
    <row r="261" spans="18:20" ht="15" customHeight="1" x14ac:dyDescent="0.2">
      <c r="R261" s="1"/>
      <c r="S261" s="1"/>
      <c r="T261" s="1"/>
    </row>
    <row r="262" spans="18:20" ht="15" customHeight="1" x14ac:dyDescent="0.2">
      <c r="R262" s="1"/>
      <c r="S262" s="1"/>
      <c r="T262" s="1"/>
    </row>
    <row r="263" spans="18:20" ht="15" customHeight="1" x14ac:dyDescent="0.2">
      <c r="R263" s="1"/>
      <c r="S263" s="1"/>
      <c r="T263" s="1"/>
    </row>
    <row r="264" spans="18:20" ht="15" customHeight="1" x14ac:dyDescent="0.2">
      <c r="R264" s="1"/>
      <c r="S264" s="1"/>
      <c r="T264" s="1"/>
    </row>
    <row r="265" spans="18:20" ht="15" customHeight="1" x14ac:dyDescent="0.2">
      <c r="R265" s="1"/>
      <c r="S265" s="1"/>
      <c r="T265" s="1"/>
    </row>
    <row r="266" spans="18:20" ht="15" customHeight="1" x14ac:dyDescent="0.2">
      <c r="R266" s="1"/>
      <c r="S266" s="1"/>
      <c r="T266" s="1"/>
    </row>
    <row r="267" spans="18:20" ht="15" customHeight="1" x14ac:dyDescent="0.2">
      <c r="R267" s="1"/>
      <c r="S267" s="1"/>
      <c r="T267" s="1"/>
    </row>
    <row r="268" spans="18:20" ht="15" customHeight="1" x14ac:dyDescent="0.2">
      <c r="R268" s="1"/>
      <c r="S268" s="1"/>
      <c r="T268" s="1"/>
    </row>
    <row r="269" spans="18:20" ht="15" customHeight="1" x14ac:dyDescent="0.2">
      <c r="R269" s="1"/>
      <c r="S269" s="1"/>
      <c r="T269" s="1"/>
    </row>
    <row r="270" spans="18:20" ht="15" customHeight="1" x14ac:dyDescent="0.2">
      <c r="R270" s="1"/>
      <c r="S270" s="1"/>
      <c r="T270" s="1"/>
    </row>
    <row r="271" spans="18:20" ht="15" customHeight="1" x14ac:dyDescent="0.2">
      <c r="R271" s="1"/>
      <c r="S271" s="1"/>
      <c r="T271" s="1"/>
    </row>
    <row r="272" spans="18:20" ht="15" customHeight="1" x14ac:dyDescent="0.2">
      <c r="R272" s="1"/>
      <c r="S272" s="1"/>
      <c r="T272" s="1"/>
    </row>
    <row r="273" spans="18:20" ht="15" customHeight="1" x14ac:dyDescent="0.2">
      <c r="R273" s="1"/>
      <c r="S273" s="1"/>
      <c r="T273" s="1"/>
    </row>
    <row r="274" spans="18:20" ht="15" customHeight="1" x14ac:dyDescent="0.2">
      <c r="R274" s="1"/>
      <c r="S274" s="1"/>
      <c r="T274" s="1"/>
    </row>
    <row r="275" spans="18:20" ht="15" customHeight="1" x14ac:dyDescent="0.2">
      <c r="R275" s="1"/>
      <c r="S275" s="1"/>
      <c r="T275" s="1"/>
    </row>
    <row r="276" spans="18:20" ht="15" customHeight="1" x14ac:dyDescent="0.2">
      <c r="R276" s="1"/>
      <c r="S276" s="1"/>
      <c r="T276" s="1"/>
    </row>
    <row r="277" spans="18:20" ht="15" customHeight="1" x14ac:dyDescent="0.2">
      <c r="R277" s="1"/>
      <c r="S277" s="1"/>
      <c r="T277" s="1"/>
    </row>
    <row r="278" spans="18:20" ht="15" customHeight="1" x14ac:dyDescent="0.2">
      <c r="R278" s="1"/>
      <c r="S278" s="1"/>
      <c r="T278" s="1"/>
    </row>
    <row r="279" spans="18:20" ht="15" customHeight="1" x14ac:dyDescent="0.2">
      <c r="R279" s="1"/>
      <c r="S279" s="1"/>
      <c r="T279" s="1"/>
    </row>
    <row r="280" spans="18:20" ht="15" customHeight="1" x14ac:dyDescent="0.2">
      <c r="R280" s="1"/>
      <c r="S280" s="1"/>
      <c r="T280" s="1"/>
    </row>
    <row r="281" spans="18:20" ht="15" customHeight="1" x14ac:dyDescent="0.2">
      <c r="R281" s="1"/>
      <c r="S281" s="1"/>
      <c r="T281" s="1"/>
    </row>
    <row r="282" spans="18:20" ht="15" customHeight="1" x14ac:dyDescent="0.2">
      <c r="R282" s="1"/>
      <c r="S282" s="1"/>
      <c r="T282" s="1"/>
    </row>
    <row r="283" spans="18:20" ht="15" customHeight="1" x14ac:dyDescent="0.2">
      <c r="R283" s="1"/>
      <c r="S283" s="1"/>
      <c r="T283" s="1"/>
    </row>
    <row r="284" spans="18:20" ht="15" customHeight="1" x14ac:dyDescent="0.2">
      <c r="R284" s="1"/>
      <c r="S284" s="1"/>
      <c r="T284" s="1"/>
    </row>
    <row r="285" spans="18:20" ht="15" customHeight="1" x14ac:dyDescent="0.2">
      <c r="R285" s="1"/>
      <c r="S285" s="1"/>
      <c r="T285" s="1"/>
    </row>
    <row r="286" spans="18:20" ht="15" customHeight="1" x14ac:dyDescent="0.2">
      <c r="R286" s="1"/>
      <c r="S286" s="1"/>
      <c r="T286" s="1"/>
    </row>
    <row r="287" spans="18:20" ht="15" customHeight="1" x14ac:dyDescent="0.2">
      <c r="R287" s="1"/>
      <c r="S287" s="1"/>
      <c r="T287" s="1"/>
    </row>
    <row r="288" spans="18:20" ht="15" customHeight="1" x14ac:dyDescent="0.2">
      <c r="R288" s="1"/>
      <c r="S288" s="1"/>
      <c r="T288" s="1"/>
    </row>
    <row r="289" spans="18:20" ht="15" customHeight="1" x14ac:dyDescent="0.2">
      <c r="R289" s="1"/>
      <c r="S289" s="1"/>
      <c r="T289" s="1"/>
    </row>
    <row r="290" spans="18:20" ht="15" customHeight="1" x14ac:dyDescent="0.2">
      <c r="R290" s="1"/>
      <c r="S290" s="1"/>
      <c r="T290" s="1"/>
    </row>
    <row r="291" spans="18:20" ht="15" customHeight="1" x14ac:dyDescent="0.2">
      <c r="R291" s="1"/>
      <c r="S291" s="1"/>
      <c r="T291" s="1"/>
    </row>
    <row r="292" spans="18:20" ht="15" customHeight="1" x14ac:dyDescent="0.2">
      <c r="R292" s="1"/>
      <c r="S292" s="1"/>
      <c r="T292" s="1"/>
    </row>
    <row r="293" spans="18:20" ht="15" customHeight="1" x14ac:dyDescent="0.2">
      <c r="R293" s="1"/>
      <c r="S293" s="1"/>
      <c r="T293" s="1"/>
    </row>
    <row r="294" spans="18:20" ht="15" customHeight="1" x14ac:dyDescent="0.2">
      <c r="R294" s="1"/>
      <c r="S294" s="1"/>
      <c r="T294" s="1"/>
    </row>
    <row r="295" spans="18:20" ht="15" customHeight="1" x14ac:dyDescent="0.2">
      <c r="R295" s="1"/>
      <c r="S295" s="1"/>
      <c r="T295" s="1"/>
    </row>
    <row r="296" spans="18:20" ht="15" customHeight="1" x14ac:dyDescent="0.2">
      <c r="R296" s="1"/>
      <c r="S296" s="1"/>
      <c r="T296" s="1"/>
    </row>
    <row r="297" spans="18:20" ht="15" customHeight="1" x14ac:dyDescent="0.2">
      <c r="R297" s="1"/>
      <c r="S297" s="1"/>
      <c r="T297" s="1"/>
    </row>
    <row r="298" spans="18:20" ht="15" customHeight="1" x14ac:dyDescent="0.2">
      <c r="R298" s="1"/>
      <c r="S298" s="1"/>
      <c r="T298" s="1"/>
    </row>
    <row r="299" spans="18:20" ht="15" customHeight="1" x14ac:dyDescent="0.2">
      <c r="R299" s="1"/>
      <c r="S299" s="1"/>
      <c r="T299" s="1"/>
    </row>
    <row r="300" spans="18:20" ht="15" customHeight="1" x14ac:dyDescent="0.2">
      <c r="R300" s="1"/>
      <c r="S300" s="1"/>
      <c r="T300" s="1"/>
    </row>
    <row r="301" spans="18:20" ht="15" customHeight="1" x14ac:dyDescent="0.2">
      <c r="R301" s="1"/>
      <c r="S301" s="1"/>
      <c r="T301" s="1"/>
    </row>
    <row r="302" spans="18:20" ht="15" customHeight="1" x14ac:dyDescent="0.2">
      <c r="R302" s="1"/>
      <c r="S302" s="1"/>
      <c r="T302" s="1"/>
    </row>
    <row r="303" spans="18:20" ht="15" customHeight="1" x14ac:dyDescent="0.2">
      <c r="R303" s="1"/>
      <c r="S303" s="1"/>
      <c r="T303" s="1"/>
    </row>
    <row r="304" spans="18:20" ht="15" customHeight="1" x14ac:dyDescent="0.2">
      <c r="R304" s="1"/>
      <c r="S304" s="1"/>
      <c r="T304" s="1"/>
    </row>
    <row r="305" spans="18:20" ht="15" customHeight="1" x14ac:dyDescent="0.2">
      <c r="R305" s="1"/>
      <c r="S305" s="1"/>
      <c r="T305" s="1"/>
    </row>
    <row r="306" spans="18:20" ht="15" customHeight="1" x14ac:dyDescent="0.2">
      <c r="R306" s="1"/>
      <c r="S306" s="1"/>
      <c r="T306" s="1"/>
    </row>
    <row r="307" spans="18:20" ht="15" customHeight="1" x14ac:dyDescent="0.2">
      <c r="R307" s="1"/>
      <c r="S307" s="1"/>
      <c r="T307" s="1"/>
    </row>
    <row r="308" spans="18:20" ht="15" customHeight="1" x14ac:dyDescent="0.2">
      <c r="R308" s="1"/>
      <c r="S308" s="1"/>
      <c r="T308" s="1"/>
    </row>
    <row r="309" spans="18:20" ht="15" customHeight="1" x14ac:dyDescent="0.2">
      <c r="R309" s="1"/>
      <c r="S309" s="1"/>
      <c r="T309" s="1"/>
    </row>
    <row r="310" spans="18:20" ht="15" customHeight="1" x14ac:dyDescent="0.2">
      <c r="R310" s="1"/>
      <c r="S310" s="1"/>
      <c r="T310" s="1"/>
    </row>
    <row r="311" spans="18:20" ht="15" customHeight="1" x14ac:dyDescent="0.2">
      <c r="R311" s="1"/>
      <c r="S311" s="1"/>
      <c r="T311" s="1"/>
    </row>
    <row r="312" spans="18:20" ht="15" customHeight="1" x14ac:dyDescent="0.2">
      <c r="R312" s="1"/>
      <c r="S312" s="1"/>
      <c r="T312" s="1"/>
    </row>
    <row r="313" spans="18:20" ht="15" customHeight="1" x14ac:dyDescent="0.2">
      <c r="R313" s="1"/>
      <c r="S313" s="1"/>
      <c r="T313" s="1"/>
    </row>
    <row r="314" spans="18:20" ht="15" customHeight="1" x14ac:dyDescent="0.2">
      <c r="R314" s="1"/>
      <c r="S314" s="1"/>
      <c r="T314" s="1"/>
    </row>
    <row r="315" spans="18:20" ht="15" customHeight="1" x14ac:dyDescent="0.2">
      <c r="R315" s="1"/>
      <c r="S315" s="1"/>
      <c r="T315" s="1"/>
    </row>
    <row r="316" spans="18:20" ht="15" customHeight="1" x14ac:dyDescent="0.2">
      <c r="R316" s="1"/>
      <c r="S316" s="1"/>
      <c r="T316" s="1"/>
    </row>
    <row r="317" spans="18:20" ht="15" customHeight="1" x14ac:dyDescent="0.2">
      <c r="R317" s="1"/>
      <c r="S317" s="1"/>
      <c r="T317" s="1"/>
    </row>
    <row r="318" spans="18:20" ht="15" customHeight="1" x14ac:dyDescent="0.2">
      <c r="R318" s="1"/>
      <c r="S318" s="1"/>
      <c r="T318" s="1"/>
    </row>
    <row r="319" spans="18:20" ht="15" customHeight="1" x14ac:dyDescent="0.2">
      <c r="R319" s="1"/>
      <c r="S319" s="1"/>
      <c r="T319" s="1"/>
    </row>
    <row r="320" spans="18:20" ht="15" customHeight="1" x14ac:dyDescent="0.2">
      <c r="R320" s="1"/>
      <c r="S320" s="1"/>
      <c r="T320" s="1"/>
    </row>
    <row r="321" spans="18:20" ht="15" customHeight="1" x14ac:dyDescent="0.2">
      <c r="R321" s="1"/>
      <c r="S321" s="1"/>
      <c r="T321" s="1"/>
    </row>
    <row r="322" spans="18:20" ht="15" customHeight="1" x14ac:dyDescent="0.2">
      <c r="R322" s="1"/>
      <c r="S322" s="1"/>
      <c r="T322" s="1"/>
    </row>
    <row r="323" spans="18:20" ht="15" customHeight="1" x14ac:dyDescent="0.2">
      <c r="R323" s="1"/>
      <c r="S323" s="1"/>
      <c r="T323" s="1"/>
    </row>
    <row r="324" spans="18:20" ht="15" customHeight="1" x14ac:dyDescent="0.2">
      <c r="R324" s="1"/>
      <c r="S324" s="1"/>
      <c r="T324" s="1"/>
    </row>
  </sheetData>
  <mergeCells count="3">
    <mergeCell ref="A1:V1"/>
    <mergeCell ref="O2:V2"/>
    <mergeCell ref="A2:K2"/>
  </mergeCells>
  <phoneticPr fontId="5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W26 V60 T56" formula="1"/>
    <ignoredError sqref="Q66:Y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admin</cp:lastModifiedBy>
  <cp:lastPrinted>2023-03-27T04:17:33Z</cp:lastPrinted>
  <dcterms:created xsi:type="dcterms:W3CDTF">2017-09-19T08:05:47Z</dcterms:created>
  <dcterms:modified xsi:type="dcterms:W3CDTF">2026-02-22T19:17:25Z</dcterms:modified>
</cp:coreProperties>
</file>