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FBA71BD-E5B3-42B9-AF4E-9152F3CF19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Sheet" sheetId="6" r:id="rId1"/>
    <sheet name="Sheet1" sheetId="7" r:id="rId2"/>
    <sheet name="peer sheet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6" l="1"/>
  <c r="G55" i="6"/>
  <c r="C2" i="7"/>
  <c r="C1" i="7"/>
  <c r="N66" i="6"/>
  <c r="N69" i="6" s="1"/>
  <c r="G57" i="6"/>
  <c r="N8" i="6"/>
  <c r="D6" i="6"/>
  <c r="J76" i="6"/>
  <c r="K76" i="6"/>
  <c r="D55" i="6"/>
  <c r="C55" i="6"/>
  <c r="J66" i="6"/>
  <c r="J69" i="6" s="1"/>
  <c r="G50" i="6"/>
  <c r="F50" i="6"/>
  <c r="E50" i="6"/>
  <c r="D50" i="6"/>
  <c r="C50" i="6"/>
  <c r="D49" i="6"/>
  <c r="C44" i="6"/>
  <c r="C46" i="6" s="1"/>
  <c r="M46" i="6"/>
  <c r="L46" i="6"/>
  <c r="L8" i="6"/>
  <c r="K46" i="6"/>
  <c r="K15" i="6"/>
  <c r="M8" i="6"/>
  <c r="K8" i="6"/>
  <c r="K67" i="6" s="1"/>
  <c r="K70" i="6" s="1"/>
  <c r="J8" i="6"/>
  <c r="J67" i="6" s="1"/>
  <c r="J70" i="6" s="1"/>
  <c r="J46" i="6"/>
  <c r="F36" i="6"/>
  <c r="M66" i="6"/>
  <c r="N29" i="6"/>
  <c r="N15" i="6"/>
  <c r="N11" i="6"/>
  <c r="G56" i="6" s="1"/>
  <c r="F37" i="6"/>
  <c r="F8" i="6"/>
  <c r="F14" i="6" s="1"/>
  <c r="F21" i="6" s="1"/>
  <c r="F23" i="6" s="1"/>
  <c r="G49" i="6"/>
  <c r="G51" i="6" s="1"/>
  <c r="G44" i="6"/>
  <c r="G8" i="6"/>
  <c r="G14" i="6" s="1"/>
  <c r="G17" i="6" l="1"/>
  <c r="G21" i="6"/>
  <c r="G23" i="6" s="1"/>
  <c r="G58" i="6"/>
  <c r="N61" i="6"/>
  <c r="F17" i="6"/>
  <c r="F26" i="6"/>
  <c r="N53" i="6"/>
  <c r="N12" i="6" s="1"/>
  <c r="N42" i="6"/>
  <c r="N51" i="6" s="1"/>
  <c r="F55" i="6"/>
  <c r="M76" i="6"/>
  <c r="L76" i="6"/>
  <c r="G25" i="6" l="1"/>
  <c r="F30" i="6"/>
  <c r="F25" i="6"/>
  <c r="N13" i="6"/>
  <c r="F27" i="6"/>
  <c r="N62" i="6"/>
  <c r="G26" i="6"/>
  <c r="L79" i="6"/>
  <c r="K79" i="6"/>
  <c r="M79" i="6"/>
  <c r="J79" i="6"/>
  <c r="M77" i="6"/>
  <c r="L77" i="6"/>
  <c r="K77" i="6"/>
  <c r="J77" i="6"/>
  <c r="M69" i="6"/>
  <c r="L66" i="6"/>
  <c r="L69" i="6" s="1"/>
  <c r="K66" i="6"/>
  <c r="K69" i="6" s="1"/>
  <c r="F57" i="6"/>
  <c r="E57" i="6"/>
  <c r="D57" i="6"/>
  <c r="C57" i="6"/>
  <c r="E55" i="6"/>
  <c r="F49" i="6"/>
  <c r="E49" i="6"/>
  <c r="E51" i="6" s="1"/>
  <c r="D51" i="6"/>
  <c r="C49" i="6"/>
  <c r="C51" i="6" s="1"/>
  <c r="F44" i="6"/>
  <c r="E44" i="6"/>
  <c r="E46" i="6" s="1"/>
  <c r="D44" i="6"/>
  <c r="D46" i="6" s="1"/>
  <c r="F46" i="6" l="1"/>
  <c r="G46" i="6" s="1"/>
  <c r="F51" i="6"/>
  <c r="G30" i="6"/>
  <c r="G27" i="6"/>
  <c r="J78" i="6"/>
  <c r="J80" i="6" s="1"/>
  <c r="L53" i="6"/>
  <c r="K53" i="6"/>
  <c r="J53" i="6"/>
  <c r="M53" i="6"/>
  <c r="J42" i="6"/>
  <c r="M29" i="6"/>
  <c r="L29" i="6"/>
  <c r="K29" i="6"/>
  <c r="J29" i="6"/>
  <c r="L15" i="6"/>
  <c r="J15" i="6"/>
  <c r="M15" i="6"/>
  <c r="M11" i="6"/>
  <c r="M82" i="6" s="1"/>
  <c r="L11" i="6"/>
  <c r="K11" i="6"/>
  <c r="J11" i="6"/>
  <c r="J62" i="6" l="1"/>
  <c r="J12" i="6"/>
  <c r="M42" i="6"/>
  <c r="M51" i="6" s="1"/>
  <c r="K61" i="6"/>
  <c r="D56" i="6"/>
  <c r="D58" i="6" s="1"/>
  <c r="K82" i="6"/>
  <c r="E56" i="6"/>
  <c r="E58" i="6" s="1"/>
  <c r="L82" i="6"/>
  <c r="F56" i="6"/>
  <c r="F58" i="6" s="1"/>
  <c r="L42" i="6"/>
  <c r="L51" i="6" s="1"/>
  <c r="L81" i="6" s="1"/>
  <c r="M78" i="6"/>
  <c r="M80" i="6" s="1"/>
  <c r="C56" i="6"/>
  <c r="C58" i="6" s="1"/>
  <c r="J82" i="6"/>
  <c r="K42" i="6"/>
  <c r="L78" i="6"/>
  <c r="L80" i="6" s="1"/>
  <c r="K78" i="6"/>
  <c r="K80" i="6" s="1"/>
  <c r="J61" i="6"/>
  <c r="L61" i="6"/>
  <c r="M61" i="6"/>
  <c r="J51" i="6"/>
  <c r="J81" i="6" s="1"/>
  <c r="K12" i="6"/>
  <c r="M67" i="6"/>
  <c r="E36" i="6"/>
  <c r="D36" i="6"/>
  <c r="F7" i="6"/>
  <c r="F6" i="6"/>
  <c r="E6" i="6"/>
  <c r="E8" i="6"/>
  <c r="E14" i="6" s="1"/>
  <c r="D8" i="6"/>
  <c r="D14" i="6" s="1"/>
  <c r="C8" i="6"/>
  <c r="C14" i="6" s="1"/>
  <c r="K71" i="6" l="1"/>
  <c r="J71" i="6"/>
  <c r="C21" i="6"/>
  <c r="C23" i="6" s="1"/>
  <c r="C26" i="6" s="1"/>
  <c r="F16" i="6"/>
  <c r="F15" i="6"/>
  <c r="E21" i="6"/>
  <c r="E23" i="6" s="1"/>
  <c r="D17" i="6"/>
  <c r="D21" i="6"/>
  <c r="D23" i="6" s="1"/>
  <c r="C17" i="6"/>
  <c r="K13" i="6"/>
  <c r="L84" i="6"/>
  <c r="J75" i="6"/>
  <c r="M13" i="6"/>
  <c r="K74" i="6"/>
  <c r="K75" i="6"/>
  <c r="L71" i="6"/>
  <c r="K51" i="6"/>
  <c r="K81" i="6" s="1"/>
  <c r="J74" i="6"/>
  <c r="L12" i="6"/>
  <c r="L67" i="6"/>
  <c r="L70" i="6" s="1"/>
  <c r="J13" i="6"/>
  <c r="K84" i="6"/>
  <c r="L74" i="6"/>
  <c r="J84" i="6"/>
  <c r="M12" i="6"/>
  <c r="M70" i="6"/>
  <c r="M75" i="6"/>
  <c r="L75" i="6"/>
  <c r="M74" i="6"/>
  <c r="L13" i="6"/>
  <c r="M84" i="6"/>
  <c r="M71" i="6"/>
  <c r="K62" i="6"/>
  <c r="L62" i="6"/>
  <c r="M62" i="6"/>
  <c r="D15" i="6"/>
  <c r="E17" i="6"/>
  <c r="E15" i="6"/>
  <c r="F28" i="6" l="1"/>
  <c r="J72" i="6"/>
  <c r="M73" i="6"/>
  <c r="L73" i="6"/>
  <c r="C25" i="6"/>
  <c r="J83" i="6"/>
  <c r="K73" i="6"/>
  <c r="E26" i="6"/>
  <c r="L72" i="6" s="1"/>
  <c r="L83" i="6"/>
  <c r="J73" i="6"/>
  <c r="D25" i="6"/>
  <c r="K83" i="6"/>
  <c r="M72" i="6"/>
  <c r="M83" i="6"/>
  <c r="E25" i="6"/>
  <c r="D26" i="6"/>
  <c r="D27" i="6" s="1"/>
  <c r="E27" i="6" l="1"/>
  <c r="E30" i="6"/>
  <c r="F31" i="6" s="1"/>
  <c r="C27" i="6"/>
  <c r="K72" i="6"/>
  <c r="C30" i="6"/>
  <c r="F32" i="6" s="1"/>
  <c r="D30" i="6"/>
  <c r="D31" i="6" l="1"/>
  <c r="E31" i="6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G56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l="1"/>
  <c r="G45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6" i="2" s="1"/>
  <c r="D44" i="2"/>
  <c r="E20" i="2"/>
  <c r="E54" i="2" s="1"/>
  <c r="D20" i="2"/>
  <c r="D54" i="2" s="1"/>
  <c r="E14" i="2"/>
  <c r="E44" i="2"/>
  <c r="E42" i="2"/>
  <c r="E43" i="2" s="1"/>
  <c r="E37" i="2" s="1"/>
  <c r="E48" i="2"/>
  <c r="E7" i="2"/>
  <c r="E50" i="2"/>
  <c r="D15" i="2"/>
  <c r="D48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38" i="2" l="1"/>
  <c r="E55" i="2"/>
  <c r="E59" i="2"/>
  <c r="D11" i="2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<sst xmlns="http://schemas.openxmlformats.org/spreadsheetml/2006/main" count="264" uniqueCount="178">
  <si>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</si>
  <si>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</si>
  <si>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</si>
  <si>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</si>
  <si>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</si>
  <si>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</si>
  <si>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</si>
  <si>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</si>
  <si>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</si>
  <si>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</si>
  <si>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</si>
  <si>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</si>
  <si>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</si>
  <si>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</si>
  <si>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</si>
  <si>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</si>
  <si>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</si>
  <si>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</si>
  <si>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</si>
  <si>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</si>
  <si>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</si>
  <si>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</si>
  <si>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</si>
  <si>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</si>
  <si>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</si>
  <si>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Inventories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</si>
  <si>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</si>
  <si>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</si>
  <si>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</si>
  <si>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</si>
  <si>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</si>
  <si>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</si>
  <si>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</si>
  <si>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</si>
  <si>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</si>
  <si>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</si>
  <si>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</si>
  <si>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</si>
  <si>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</si>
  <si>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</si>
  <si>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</si>
  <si>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</si>
  <si>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</si>
  <si>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</si>
  <si>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</si>
  <si>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</si>
  <si>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</si>
  <si>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</si>
  <si>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</si>
  <si>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</si>
  <si>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</si>
  <si>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</si>
  <si>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</si>
  <si>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</si>
  <si>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</si>
  <si>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</si>
  <si>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</si>
  <si>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</si>
  <si>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</si>
  <si>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</si>
  <si>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</si>
  <si>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</si>
  <si>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</si>
  <si>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</si>
  <si>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</si>
  <si>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</si>
  <si>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</si>
  <si>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</si>
  <si>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</si>
  <si>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</si>
  <si>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</si>
  <si>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</si>
  <si>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</si>
  <si>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</si>
  <si>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</si>
  <si>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</si>
  <si>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</si>
  <si>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</si>
  <si>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</si>
  <si>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</si>
  <si>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</si>
  <si>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</si>
  <si>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</si>
  <si>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</si>
  <si>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</si>
  <si>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</si>
  <si>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</si>
  <si>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</si>
  <si>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</si>
  <si>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</si>
  <si>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</si>
  <si>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</si>
  <si>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</si>
  <si>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</si>
  <si>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</si>
  <si>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</si>
  <si>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</si>
  <si>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</si>
  <si>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</si>
  <si>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</si>
  <si>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</si>
  <si>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</si>
  <si>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</si>
  <si>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</si>
  <si>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</si>
  <si>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</si>
  <si>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</si>
  <si>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</si>
  <si>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</si>
  <si>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</si>
  <si>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</si>
  <si>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</si>
  <si>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</si>
  <si>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</si>
  <si>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NON CURRENT LIABILITIES</t>
  </si>
  <si>
    <t>FY23</t>
  </si>
  <si>
    <t>Market Cap (Rs. Mn)</t>
  </si>
  <si>
    <t>FY24</t>
  </si>
  <si>
    <t>FY25</t>
  </si>
  <si>
    <t>Other income</t>
  </si>
  <si>
    <t>Depreciation and amortisation expense</t>
  </si>
  <si>
    <t>Finance costs</t>
  </si>
  <si>
    <t>Basic</t>
  </si>
  <si>
    <t>Diluted</t>
  </si>
  <si>
    <t>Right-of-use assets</t>
  </si>
  <si>
    <t>Other non-current assets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</si>
  <si>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</si>
  <si>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</si>
  <si>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</si>
  <si>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</si>
  <si>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</si>
  <si>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</si>
  <si>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</si>
  <si>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Cash Flow Statement (INR Mn)</t>
  </si>
  <si>
    <t>Ratios</t>
  </si>
  <si>
    <t>INR Mn</t>
  </si>
  <si>
    <t>Other expenses</t>
  </si>
  <si>
    <t>Equity Share Capital</t>
  </si>
  <si>
    <t>(iii) Trade payables</t>
  </si>
  <si>
    <t>Current tax liabilities (net)</t>
  </si>
  <si>
    <t>(iv) Other financial liabilities</t>
  </si>
  <si>
    <t>Total Comprehensive Income</t>
  </si>
  <si>
    <t>Year Ended (INR Mn)</t>
  </si>
  <si>
    <t>Changes in inventories of finished goods and stock- in-trade</t>
  </si>
  <si>
    <t>Purchase of stock-in-trade</t>
  </si>
  <si>
    <t>Cost of materials consumed</t>
  </si>
  <si>
    <t>Employee benefits expense</t>
  </si>
  <si>
    <t>N/A</t>
  </si>
  <si>
    <t>Other Equity</t>
  </si>
  <si>
    <t>CURRENT ASSETS</t>
  </si>
  <si>
    <t>Capital work-in-progress</t>
  </si>
  <si>
    <t>(iii) Other financial liabilities</t>
  </si>
  <si>
    <t>Other non-current liabilities</t>
  </si>
  <si>
    <t>TOTAL LIABILITIES &amp; EQUITY</t>
  </si>
  <si>
    <t>H1-FY26</t>
  </si>
  <si>
    <t>NA</t>
  </si>
  <si>
    <t>9M-FY26</t>
  </si>
  <si>
    <t>Profit Before Share of Profit of a Joint Venture and Tax</t>
  </si>
  <si>
    <t xml:space="preserve">Share of Net Profit of a Joint Venture </t>
  </si>
  <si>
    <t>Chambal Fertilisers &amp; Chemicals Limited</t>
  </si>
  <si>
    <t>Intangible assets under development</t>
  </si>
  <si>
    <t>(ii) Loans</t>
  </si>
  <si>
    <t>(iii) Other financial assets</t>
  </si>
  <si>
    <t>Non-current tax assets (net)</t>
  </si>
  <si>
    <t xml:space="preserve">Other intangible assets </t>
  </si>
  <si>
    <t>(i) Investments</t>
  </si>
  <si>
    <t>(ii) Trade receivable</t>
  </si>
  <si>
    <t>Current tax assets (net)</t>
  </si>
  <si>
    <t>Assets classified as held for sale</t>
  </si>
  <si>
    <t>(iii) Cash and cash equivalents</t>
  </si>
  <si>
    <t>(iv) Other bank balances</t>
  </si>
  <si>
    <t xml:space="preserve">(v) Loans </t>
  </si>
  <si>
    <t>(vi) Other financial assets</t>
  </si>
  <si>
    <t>Deferred tax liabilities (net)</t>
  </si>
  <si>
    <t>Non-controlling Interest</t>
  </si>
  <si>
    <t>Foreign Currency Translation Difference</t>
  </si>
  <si>
    <t>Investment Accounted for using the equity method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</si>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</sst>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_ ;_ * \-#,##0.0_ ;_ * &quot;-&quot;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1" fillId="2" borderId="1" xfId="0" applyFont="1" applyFill="1" applyBorder="1"/>
    <xf numFmtId="167" fontId="0" fillId="0" borderId="1" xfId="1" applyNumberFormat="1" applyFont="1" applyBorder="1"/>
    <xf numFmtId="167" fontId="0" fillId="0" borderId="1" xfId="1" applyNumberFormat="1" applyFont="1" applyFill="1" applyBorder="1"/>
    <xf numFmtId="167" fontId="0" fillId="0" borderId="1" xfId="0" applyNumberFormat="1" applyBorder="1"/>
    <xf numFmtId="165" fontId="0" fillId="0" borderId="1" xfId="2" applyNumberFormat="1" applyFont="1" applyBorder="1"/>
    <xf numFmtId="167" fontId="1" fillId="0" borderId="1" xfId="1" applyNumberFormat="1" applyFont="1" applyBorder="1"/>
    <xf numFmtId="167" fontId="0" fillId="0" borderId="0" xfId="1" applyNumberFormat="1" applyFont="1"/>
    <xf numFmtId="0" fontId="9" fillId="0" borderId="0" xfId="0" applyFont="1"/>
    <xf numFmtId="167" fontId="4" fillId="0" borderId="1" xfId="1" applyNumberFormat="1" applyFont="1" applyBorder="1"/>
    <xf numFmtId="167" fontId="10" fillId="0" borderId="1" xfId="1" applyNumberFormat="1" applyFont="1" applyBorder="1"/>
    <xf numFmtId="43" fontId="0" fillId="0" borderId="1" xfId="1" applyFont="1" applyBorder="1" applyAlignment="1">
      <alignment horizontal="right"/>
    </xf>
    <xf numFmtId="168" fontId="0" fillId="0" borderId="0" xfId="0" applyNumberFormat="1"/>
    <xf numFmtId="167" fontId="0" fillId="2" borderId="1" xfId="1" applyNumberFormat="1" applyFont="1" applyFill="1" applyBorder="1"/>
    <xf numFmtId="167" fontId="0" fillId="2" borderId="1" xfId="1" applyNumberFormat="1" applyFont="1" applyFill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2" fontId="0" fillId="0" borderId="1" xfId="0" applyNumberFormat="1" applyBorder="1"/>
    <xf numFmtId="164" fontId="0" fillId="0" borderId="1" xfId="0" applyNumberFormat="1" applyBorder="1"/>
    <xf numFmtId="0" fontId="6" fillId="3" borderId="1" xfId="0" applyFont="1" applyFill="1" applyBorder="1"/>
    <xf numFmtId="10" fontId="6" fillId="3" borderId="1" xfId="2" applyNumberFormat="1" applyFont="1" applyFill="1" applyBorder="1"/>
    <xf numFmtId="0" fontId="6" fillId="3" borderId="1" xfId="0" applyFont="1" applyFill="1" applyBorder="1" applyAlignment="1">
      <alignment horizontal="right"/>
    </xf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/>
    <xf numFmtId="10" fontId="1" fillId="3" borderId="1" xfId="2" applyNumberFormat="1" applyFont="1" applyFill="1" applyBorder="1"/>
    <xf numFmtId="0" fontId="3" fillId="4" borderId="1" xfId="0" applyFont="1" applyFill="1" applyBorder="1"/>
    <xf numFmtId="43" fontId="1" fillId="4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84"/>
  <sheetViews>
    <sheetView tabSelected="1" topLeftCell="E67" zoomScale="90" zoomScaleNormal="90" workbookViewId="0">
      <selection activeCell="F76" sqref="F76"/>
    </sheetView>
  </sheetViews>
  <sheetFormatPr defaultRowHeight="14.5" x14ac:dyDescent="0.35"/>
  <cols>
    <col min="2" max="2" width="59.36328125" customWidth="1"/>
    <col min="3" max="5" width="15.36328125" bestFit="1" customWidth="1"/>
    <col min="6" max="6" width="16.36328125" bestFit="1" customWidth="1"/>
    <col min="7" max="7" width="16.36328125" customWidth="1"/>
    <col min="9" max="9" width="46" customWidth="1"/>
    <col min="10" max="10" width="13.54296875" customWidth="1"/>
    <col min="11" max="11" width="13.81640625" customWidth="1"/>
    <col min="12" max="13" width="13.08984375" bestFit="1" customWidth="1"/>
    <col min="14" max="14" width="14.7265625" customWidth="1"/>
  </cols>
  <sheetData>
    <row r="2" spans="2:14" x14ac:dyDescent="0.35">
      <c r="B2" s="75" t="s">
        <v>159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2:14" x14ac:dyDescent="0.35">
      <c r="B3" s="74" t="s">
        <v>15</v>
      </c>
      <c r="C3" s="74"/>
      <c r="D3" s="74"/>
      <c r="E3" s="74"/>
      <c r="F3" s="74"/>
      <c r="G3" s="74"/>
      <c r="I3" s="74" t="s">
        <v>21</v>
      </c>
      <c r="J3" s="74"/>
      <c r="K3" s="74"/>
      <c r="L3" s="74"/>
      <c r="M3" s="74"/>
      <c r="N3" s="74"/>
    </row>
    <row r="4" spans="2:14" x14ac:dyDescent="0.35">
      <c r="B4" s="66" t="s">
        <v>142</v>
      </c>
      <c r="C4" s="67" t="s">
        <v>65</v>
      </c>
      <c r="D4" s="67" t="s">
        <v>115</v>
      </c>
      <c r="E4" s="67" t="s">
        <v>117</v>
      </c>
      <c r="F4" s="67" t="s">
        <v>118</v>
      </c>
      <c r="G4" s="67" t="s">
        <v>156</v>
      </c>
      <c r="I4" s="66" t="s">
        <v>142</v>
      </c>
      <c r="J4" s="67" t="s">
        <v>65</v>
      </c>
      <c r="K4" s="67" t="s">
        <v>115</v>
      </c>
      <c r="L4" s="67" t="s">
        <v>117</v>
      </c>
      <c r="M4" s="67" t="s">
        <v>118</v>
      </c>
      <c r="N4" s="67" t="s">
        <v>154</v>
      </c>
    </row>
    <row r="5" spans="2:14" x14ac:dyDescent="0.35">
      <c r="B5" s="37" t="s">
        <v>0</v>
      </c>
      <c r="C5" s="47">
        <v>160688.29999999999</v>
      </c>
      <c r="D5" s="47">
        <v>277728.09999999998</v>
      </c>
      <c r="E5" s="47">
        <v>179664.1</v>
      </c>
      <c r="F5" s="47">
        <v>166462</v>
      </c>
      <c r="G5" s="47">
        <v>180086.3</v>
      </c>
      <c r="I5" s="36" t="s">
        <v>137</v>
      </c>
      <c r="J5" s="43">
        <v>4162.1000000000004</v>
      </c>
      <c r="K5" s="43">
        <v>4162.1000000000004</v>
      </c>
      <c r="L5" s="43">
        <v>4006.5</v>
      </c>
      <c r="M5" s="43">
        <v>4006.5</v>
      </c>
      <c r="N5" s="43">
        <v>4006.5</v>
      </c>
    </row>
    <row r="6" spans="2:14" x14ac:dyDescent="0.35">
      <c r="B6" s="61" t="s">
        <v>1</v>
      </c>
      <c r="C6" s="62"/>
      <c r="D6" s="62">
        <f>(D5/C5-1)</f>
        <v>0.72836541303878377</v>
      </c>
      <c r="E6" s="62">
        <f t="shared" ref="E6:F6" si="0">(E5/D5-1)</f>
        <v>-0.35309354724999009</v>
      </c>
      <c r="F6" s="62">
        <f t="shared" si="0"/>
        <v>-7.3482125811444865E-2</v>
      </c>
      <c r="G6" s="62"/>
      <c r="I6" s="36" t="s">
        <v>148</v>
      </c>
      <c r="J6" s="43">
        <v>59833.7</v>
      </c>
      <c r="K6" s="43">
        <v>66519</v>
      </c>
      <c r="L6" s="43">
        <v>68729</v>
      </c>
      <c r="M6" s="43">
        <v>83273.7</v>
      </c>
      <c r="N6" s="44">
        <v>94378.9</v>
      </c>
    </row>
    <row r="7" spans="2:14" x14ac:dyDescent="0.35">
      <c r="B7" s="61" t="s">
        <v>2</v>
      </c>
      <c r="C7" s="63" t="s">
        <v>147</v>
      </c>
      <c r="D7" s="63" t="s">
        <v>147</v>
      </c>
      <c r="E7" s="63" t="s">
        <v>147</v>
      </c>
      <c r="F7" s="62">
        <f t="shared" ref="F7" si="1">((F5/C5)^(1/3)-1)</f>
        <v>1.1836365722192266E-2</v>
      </c>
      <c r="G7" s="62"/>
      <c r="I7" s="36" t="s">
        <v>174</v>
      </c>
      <c r="J7" s="43">
        <v>-134.9</v>
      </c>
      <c r="K7" s="43">
        <v>-151.9</v>
      </c>
      <c r="L7" s="43">
        <v>-154.9</v>
      </c>
      <c r="M7" s="43">
        <v>-160.30000000000001</v>
      </c>
      <c r="N7" s="44">
        <v>-167.9</v>
      </c>
    </row>
    <row r="8" spans="2:14" x14ac:dyDescent="0.35">
      <c r="B8" s="64" t="s">
        <v>3</v>
      </c>
      <c r="C8" s="65">
        <f t="shared" ref="C8:E8" si="2">SUM(C9:C13)</f>
        <v>138066.4</v>
      </c>
      <c r="D8" s="65">
        <f t="shared" si="2"/>
        <v>259534.59999999998</v>
      </c>
      <c r="E8" s="65">
        <f t="shared" si="2"/>
        <v>159231.20000000001</v>
      </c>
      <c r="F8" s="65">
        <f>SUM(F9:F13)</f>
        <v>141627.29999999999</v>
      </c>
      <c r="G8" s="65">
        <f>SUM(G9:G13)</f>
        <v>155851.9</v>
      </c>
      <c r="I8" s="72" t="s">
        <v>16</v>
      </c>
      <c r="J8" s="65">
        <f>J6+J5+J7</f>
        <v>63860.899999999994</v>
      </c>
      <c r="K8" s="65">
        <f>K6+K5+K7</f>
        <v>70529.200000000012</v>
      </c>
      <c r="L8" s="65">
        <f>L6+L5+L7</f>
        <v>72580.600000000006</v>
      </c>
      <c r="M8" s="65">
        <f>M6+M5+M7</f>
        <v>87119.9</v>
      </c>
      <c r="N8" s="65">
        <f>N6+N5+N7</f>
        <v>98217.5</v>
      </c>
    </row>
    <row r="9" spans="2:14" x14ac:dyDescent="0.35">
      <c r="B9" s="34" t="s">
        <v>145</v>
      </c>
      <c r="C9" s="43">
        <v>53685.3</v>
      </c>
      <c r="D9" s="43">
        <v>85225.600000000006</v>
      </c>
      <c r="E9" s="43">
        <v>65819.5</v>
      </c>
      <c r="F9" s="43">
        <v>64346.5</v>
      </c>
      <c r="G9" s="43">
        <v>46380.800000000003</v>
      </c>
      <c r="I9" s="36" t="s">
        <v>17</v>
      </c>
      <c r="J9" s="44">
        <v>24712.400000000001</v>
      </c>
      <c r="K9" s="44">
        <v>18204.099999999999</v>
      </c>
      <c r="L9" s="43">
        <v>11442.2</v>
      </c>
      <c r="M9" s="43">
        <v>823.3</v>
      </c>
      <c r="N9" s="43">
        <v>855.3</v>
      </c>
    </row>
    <row r="10" spans="2:14" x14ac:dyDescent="0.35">
      <c r="B10" s="34" t="s">
        <v>144</v>
      </c>
      <c r="C10" s="43">
        <v>65617.7</v>
      </c>
      <c r="D10" s="43">
        <v>93956</v>
      </c>
      <c r="E10" s="43">
        <v>41749</v>
      </c>
      <c r="F10" s="43">
        <v>34262.800000000003</v>
      </c>
      <c r="G10" s="43">
        <v>70425.600000000006</v>
      </c>
      <c r="I10" s="36" t="s">
        <v>18</v>
      </c>
      <c r="J10" s="43">
        <v>18518.5</v>
      </c>
      <c r="K10" s="43">
        <v>15148.6</v>
      </c>
      <c r="L10" s="43">
        <v>7093.3</v>
      </c>
      <c r="M10" s="43">
        <v>0</v>
      </c>
      <c r="N10" s="43">
        <v>0</v>
      </c>
    </row>
    <row r="11" spans="2:14" x14ac:dyDescent="0.35">
      <c r="B11" s="34" t="s">
        <v>143</v>
      </c>
      <c r="C11" s="43">
        <v>-23269.9</v>
      </c>
      <c r="D11" s="43">
        <v>17861.3</v>
      </c>
      <c r="E11" s="43">
        <v>1454.1</v>
      </c>
      <c r="F11" s="43">
        <v>-5448.3</v>
      </c>
      <c r="G11" s="43">
        <v>1495.4</v>
      </c>
      <c r="I11" s="72" t="s">
        <v>19</v>
      </c>
      <c r="J11" s="65">
        <f t="shared" ref="J11:M11" si="3">J10+J9</f>
        <v>43230.9</v>
      </c>
      <c r="K11" s="65">
        <f t="shared" si="3"/>
        <v>33352.699999999997</v>
      </c>
      <c r="L11" s="65">
        <f t="shared" si="3"/>
        <v>18535.5</v>
      </c>
      <c r="M11" s="65">
        <f t="shared" si="3"/>
        <v>823.3</v>
      </c>
      <c r="N11" s="65">
        <f>N10+N9</f>
        <v>855.3</v>
      </c>
    </row>
    <row r="12" spans="2:14" x14ac:dyDescent="0.35">
      <c r="B12" s="34" t="s">
        <v>146</v>
      </c>
      <c r="C12" s="43">
        <v>1806.7</v>
      </c>
      <c r="D12" s="43">
        <v>1910</v>
      </c>
      <c r="E12" s="43">
        <v>2207.6999999999998</v>
      </c>
      <c r="F12" s="43">
        <v>2332.4</v>
      </c>
      <c r="G12" s="43">
        <v>2213.5</v>
      </c>
      <c r="I12" s="72" t="s">
        <v>20</v>
      </c>
      <c r="J12" s="65">
        <f>J8+J53</f>
        <v>94872</v>
      </c>
      <c r="K12" s="65">
        <f>K8+K53</f>
        <v>96179.300000000017</v>
      </c>
      <c r="L12" s="65">
        <f>L8+L53</f>
        <v>94723.8</v>
      </c>
      <c r="M12" s="65">
        <f>M8+M53</f>
        <v>102325.79999999999</v>
      </c>
      <c r="N12" s="65">
        <f>N8+N53</f>
        <v>113253.4</v>
      </c>
    </row>
    <row r="13" spans="2:14" x14ac:dyDescent="0.35">
      <c r="B13" s="34" t="s">
        <v>136</v>
      </c>
      <c r="C13" s="43">
        <v>40226.6</v>
      </c>
      <c r="D13" s="43">
        <v>60581.7</v>
      </c>
      <c r="E13" s="43">
        <v>48000.9</v>
      </c>
      <c r="F13" s="43">
        <v>46133.9</v>
      </c>
      <c r="G13" s="43">
        <v>35336.6</v>
      </c>
      <c r="I13" s="72" t="s">
        <v>20</v>
      </c>
      <c r="J13" s="65">
        <f>J61-J42</f>
        <v>94871.999999999971</v>
      </c>
      <c r="K13" s="65">
        <f>K61-K42</f>
        <v>96179.300000000017</v>
      </c>
      <c r="L13" s="65">
        <f>L61-L42</f>
        <v>94723.799999999988</v>
      </c>
      <c r="M13" s="65">
        <f>M61-M42</f>
        <v>102325.8</v>
      </c>
      <c r="N13" s="65">
        <f>N61-N42</f>
        <v>113253.39999999998</v>
      </c>
    </row>
    <row r="14" spans="2:14" x14ac:dyDescent="0.35">
      <c r="B14" s="64" t="s">
        <v>4</v>
      </c>
      <c r="C14" s="65">
        <f t="shared" ref="C14:E14" si="4">C5-C8</f>
        <v>22621.899999999994</v>
      </c>
      <c r="D14" s="65">
        <f t="shared" si="4"/>
        <v>18193.5</v>
      </c>
      <c r="E14" s="65">
        <f t="shared" si="4"/>
        <v>20432.899999999994</v>
      </c>
      <c r="F14" s="65">
        <f>F5-F8</f>
        <v>24834.700000000012</v>
      </c>
      <c r="G14" s="65">
        <f>G5-G8</f>
        <v>24234.399999999994</v>
      </c>
      <c r="J14" s="48"/>
      <c r="K14" s="48"/>
      <c r="L14" s="48"/>
      <c r="M14" s="48"/>
      <c r="N14" s="48"/>
    </row>
    <row r="15" spans="2:14" x14ac:dyDescent="0.35">
      <c r="B15" s="61" t="s">
        <v>1</v>
      </c>
      <c r="C15" s="62"/>
      <c r="D15" s="62">
        <f t="shared" ref="D15:E15" si="5">D14/C14-1</f>
        <v>-0.19575720872252089</v>
      </c>
      <c r="E15" s="62">
        <f t="shared" si="5"/>
        <v>0.12308791601396063</v>
      </c>
      <c r="F15" s="62">
        <f>F14/E14-1</f>
        <v>0.21542708083532047</v>
      </c>
      <c r="G15" s="62"/>
      <c r="I15" s="72" t="s">
        <v>22</v>
      </c>
      <c r="J15" s="65">
        <f>SUM(J16:J27)</f>
        <v>72136.39999999998</v>
      </c>
      <c r="K15" s="65">
        <f>SUM(K16:K27)</f>
        <v>71313.3</v>
      </c>
      <c r="L15" s="65">
        <f>SUM(L16:L27)</f>
        <v>74198.399999999994</v>
      </c>
      <c r="M15" s="65">
        <f>SUM(M16:M27)</f>
        <v>77846.5</v>
      </c>
      <c r="N15" s="65">
        <f>SUM(N16:N27)</f>
        <v>81094.7</v>
      </c>
    </row>
    <row r="16" spans="2:14" x14ac:dyDescent="0.35">
      <c r="B16" s="61" t="s">
        <v>2</v>
      </c>
      <c r="C16" s="63" t="s">
        <v>147</v>
      </c>
      <c r="D16" s="63" t="s">
        <v>147</v>
      </c>
      <c r="E16" s="63" t="s">
        <v>147</v>
      </c>
      <c r="F16" s="62">
        <f>((F14/C14)^(1/3)-1)</f>
        <v>3.1596705783647261E-2</v>
      </c>
      <c r="G16" s="62"/>
      <c r="I16" s="36" t="s">
        <v>23</v>
      </c>
      <c r="J16" s="43">
        <v>63432.6</v>
      </c>
      <c r="K16" s="43">
        <v>62394.1</v>
      </c>
      <c r="L16" s="43">
        <v>64008.800000000003</v>
      </c>
      <c r="M16" s="43">
        <v>62035.6</v>
      </c>
      <c r="N16" s="43">
        <v>60709</v>
      </c>
    </row>
    <row r="17" spans="2:14" x14ac:dyDescent="0.35">
      <c r="B17" s="68" t="s">
        <v>5</v>
      </c>
      <c r="C17" s="69">
        <f>C14/C5</f>
        <v>0.14078125165304503</v>
      </c>
      <c r="D17" s="69">
        <f t="shared" ref="D17:E17" si="6">D14/D5</f>
        <v>6.5508315507145309E-2</v>
      </c>
      <c r="E17" s="69">
        <f t="shared" si="6"/>
        <v>0.11372834083158513</v>
      </c>
      <c r="F17" s="69">
        <f>F14/F5</f>
        <v>0.14919140704785483</v>
      </c>
      <c r="G17" s="69">
        <f>G14/G5</f>
        <v>0.13457103621985678</v>
      </c>
      <c r="H17" s="49"/>
      <c r="I17" s="36" t="s">
        <v>150</v>
      </c>
      <c r="J17" s="43">
        <v>1565.6</v>
      </c>
      <c r="K17" s="43">
        <v>1016.3</v>
      </c>
      <c r="L17" s="43">
        <v>1835.4</v>
      </c>
      <c r="M17" s="43">
        <v>6493.5</v>
      </c>
      <c r="N17" s="43">
        <v>11353</v>
      </c>
    </row>
    <row r="18" spans="2:14" x14ac:dyDescent="0.35">
      <c r="B18" s="34" t="s">
        <v>119</v>
      </c>
      <c r="C18" s="43">
        <v>680</v>
      </c>
      <c r="D18" s="43">
        <v>1677.6</v>
      </c>
      <c r="E18" s="43">
        <v>2491</v>
      </c>
      <c r="F18" s="43">
        <v>2151.1</v>
      </c>
      <c r="G18" s="43">
        <v>980.4</v>
      </c>
      <c r="I18" s="36" t="s">
        <v>124</v>
      </c>
      <c r="J18" s="43">
        <v>124.7</v>
      </c>
      <c r="K18" s="43">
        <v>216</v>
      </c>
      <c r="L18" s="43">
        <v>186.1</v>
      </c>
      <c r="M18" s="43">
        <v>145.1</v>
      </c>
      <c r="N18" s="44">
        <v>127.8</v>
      </c>
    </row>
    <row r="19" spans="2:14" x14ac:dyDescent="0.35">
      <c r="B19" s="34" t="s">
        <v>120</v>
      </c>
      <c r="C19" s="43">
        <v>2997.4</v>
      </c>
      <c r="D19" s="43">
        <v>3082.9</v>
      </c>
      <c r="E19" s="43">
        <v>3127.9</v>
      </c>
      <c r="F19" s="43">
        <v>3301.5</v>
      </c>
      <c r="G19" s="43">
        <v>2588.8000000000002</v>
      </c>
      <c r="I19" s="36" t="s">
        <v>164</v>
      </c>
      <c r="J19" s="43">
        <v>19.399999999999999</v>
      </c>
      <c r="K19" s="43">
        <v>13.8</v>
      </c>
      <c r="L19" s="43">
        <v>31.5</v>
      </c>
      <c r="M19" s="43">
        <v>31.2</v>
      </c>
      <c r="N19" s="43">
        <v>33.5</v>
      </c>
    </row>
    <row r="20" spans="2:14" x14ac:dyDescent="0.35">
      <c r="B20" s="34" t="s">
        <v>121</v>
      </c>
      <c r="C20" s="43">
        <v>1059.3</v>
      </c>
      <c r="D20" s="43">
        <v>3200.2</v>
      </c>
      <c r="E20" s="43">
        <v>1730.6</v>
      </c>
      <c r="F20" s="43">
        <v>484.2</v>
      </c>
      <c r="G20" s="43">
        <v>42.4</v>
      </c>
      <c r="I20" s="36" t="s">
        <v>160</v>
      </c>
      <c r="J20" s="43">
        <v>3.4</v>
      </c>
      <c r="K20" s="43">
        <v>9.9</v>
      </c>
      <c r="L20" s="43">
        <v>3.2</v>
      </c>
      <c r="M20" s="43">
        <v>3.7</v>
      </c>
      <c r="N20" s="43">
        <v>33.5</v>
      </c>
    </row>
    <row r="21" spans="2:14" x14ac:dyDescent="0.35">
      <c r="B21" s="64" t="s">
        <v>157</v>
      </c>
      <c r="C21" s="65">
        <f>C14+C18-C19-C20</f>
        <v>19245.199999999993</v>
      </c>
      <c r="D21" s="65">
        <f>D14+D18-D19-D20</f>
        <v>13587.999999999996</v>
      </c>
      <c r="E21" s="65">
        <f>E14+E18-E19-E20</f>
        <v>18065.399999999994</v>
      </c>
      <c r="F21" s="65">
        <f>F14+F18-F19-F20</f>
        <v>23200.100000000009</v>
      </c>
      <c r="G21" s="65">
        <f>G14+G18-G19-G20</f>
        <v>22583.599999999995</v>
      </c>
      <c r="I21" s="36" t="s">
        <v>176</v>
      </c>
      <c r="J21" s="43">
        <v>5591.7</v>
      </c>
      <c r="K21" s="43">
        <v>5397.7</v>
      </c>
      <c r="L21" s="43">
        <v>4991.3</v>
      </c>
      <c r="M21" s="43">
        <v>5439.5</v>
      </c>
      <c r="N21" s="44">
        <v>5351.4</v>
      </c>
    </row>
    <row r="22" spans="2:14" x14ac:dyDescent="0.35">
      <c r="B22" s="34" t="s">
        <v>158</v>
      </c>
      <c r="C22" s="43">
        <v>3063.8</v>
      </c>
      <c r="D22" s="43">
        <v>575.29999999999995</v>
      </c>
      <c r="E22" s="43">
        <v>804.4</v>
      </c>
      <c r="F22" s="43">
        <v>1317</v>
      </c>
      <c r="G22" s="43">
        <v>1049.7</v>
      </c>
      <c r="I22" s="36" t="s">
        <v>24</v>
      </c>
      <c r="J22" s="43"/>
      <c r="K22" s="43"/>
      <c r="L22" s="43"/>
      <c r="M22" s="43"/>
      <c r="N22" s="43"/>
    </row>
    <row r="23" spans="2:14" x14ac:dyDescent="0.35">
      <c r="B23" s="64" t="s">
        <v>7</v>
      </c>
      <c r="C23" s="65">
        <f>C21+C22</f>
        <v>22308.999999999993</v>
      </c>
      <c r="D23" s="65">
        <f>D21+D22</f>
        <v>14163.299999999996</v>
      </c>
      <c r="E23" s="65">
        <f>E21+E22</f>
        <v>18869.799999999996</v>
      </c>
      <c r="F23" s="65">
        <f>F21+F22</f>
        <v>24517.100000000009</v>
      </c>
      <c r="G23" s="65">
        <f>G21+G22</f>
        <v>23633.299999999996</v>
      </c>
      <c r="I23" s="36" t="s">
        <v>165</v>
      </c>
      <c r="J23" s="44">
        <v>0.2</v>
      </c>
      <c r="K23" s="44">
        <v>0.2</v>
      </c>
      <c r="L23" s="44">
        <v>0.2</v>
      </c>
      <c r="M23" s="44">
        <v>0.2</v>
      </c>
      <c r="N23" s="44">
        <v>0.2</v>
      </c>
    </row>
    <row r="24" spans="2:14" x14ac:dyDescent="0.35">
      <c r="B24" s="34" t="s">
        <v>8</v>
      </c>
      <c r="C24" s="43">
        <v>6648.4</v>
      </c>
      <c r="D24" s="43">
        <v>3825.4</v>
      </c>
      <c r="E24" s="43">
        <v>6112.3</v>
      </c>
      <c r="F24" s="43">
        <v>8023.2</v>
      </c>
      <c r="G24" s="43">
        <v>5793</v>
      </c>
      <c r="I24" s="36" t="s">
        <v>161</v>
      </c>
      <c r="J24" s="43">
        <v>2.4</v>
      </c>
      <c r="K24" s="43">
        <v>1.6</v>
      </c>
      <c r="L24" s="43">
        <v>1</v>
      </c>
      <c r="M24" s="43">
        <v>0.4</v>
      </c>
      <c r="N24" s="43">
        <v>0.3</v>
      </c>
    </row>
    <row r="25" spans="2:14" x14ac:dyDescent="0.35">
      <c r="B25" s="61" t="s">
        <v>9</v>
      </c>
      <c r="C25" s="62">
        <f t="shared" ref="C25:E25" si="7">C24/C23</f>
        <v>0.29801425433681483</v>
      </c>
      <c r="D25" s="62">
        <f t="shared" si="7"/>
        <v>0.27009242196380795</v>
      </c>
      <c r="E25" s="62">
        <f t="shared" si="7"/>
        <v>0.32391970238158335</v>
      </c>
      <c r="F25" s="62">
        <f>F24/F23</f>
        <v>0.32724914447467263</v>
      </c>
      <c r="G25" s="62">
        <f>G24/G23</f>
        <v>0.24512023289172485</v>
      </c>
      <c r="I25" s="36" t="s">
        <v>162</v>
      </c>
      <c r="J25" s="43">
        <v>33.200000000000003</v>
      </c>
      <c r="K25" s="43">
        <v>72.2</v>
      </c>
      <c r="L25" s="43">
        <v>45.3</v>
      </c>
      <c r="M25" s="43">
        <v>39.6</v>
      </c>
      <c r="N25" s="43">
        <v>38.200000000000003</v>
      </c>
    </row>
    <row r="26" spans="2:14" x14ac:dyDescent="0.35">
      <c r="B26" s="64" t="s">
        <v>10</v>
      </c>
      <c r="C26" s="65">
        <f>C23-C24</f>
        <v>15660.599999999993</v>
      </c>
      <c r="D26" s="65">
        <f t="shared" ref="D26:E26" si="8">D23-D24</f>
        <v>10337.899999999996</v>
      </c>
      <c r="E26" s="65">
        <f t="shared" si="8"/>
        <v>12757.499999999996</v>
      </c>
      <c r="F26" s="65">
        <f>F23-F24</f>
        <v>16493.900000000009</v>
      </c>
      <c r="G26" s="65">
        <f>G23-G24</f>
        <v>17840.299999999996</v>
      </c>
      <c r="I26" s="36" t="s">
        <v>163</v>
      </c>
      <c r="J26" s="43">
        <v>1080.7</v>
      </c>
      <c r="K26" s="43">
        <v>1358.9</v>
      </c>
      <c r="L26" s="43">
        <v>1426.7</v>
      </c>
      <c r="M26" s="43">
        <v>436.9</v>
      </c>
      <c r="N26" s="44">
        <v>432.3</v>
      </c>
    </row>
    <row r="27" spans="2:14" x14ac:dyDescent="0.35">
      <c r="B27" s="68" t="s">
        <v>11</v>
      </c>
      <c r="C27" s="69">
        <f t="shared" ref="C27:E27" si="9">C26/C5</f>
        <v>9.7459491450217553E-2</v>
      </c>
      <c r="D27" s="69">
        <f>D26/D5</f>
        <v>3.7223096978663654E-2</v>
      </c>
      <c r="E27" s="69">
        <f t="shared" si="9"/>
        <v>7.1007507899463473E-2</v>
      </c>
      <c r="F27" s="69">
        <f>F26/F5</f>
        <v>9.9085076473910016E-2</v>
      </c>
      <c r="G27" s="69">
        <f>G26/G5</f>
        <v>9.9065281478935355E-2</v>
      </c>
      <c r="I27" s="36" t="s">
        <v>125</v>
      </c>
      <c r="J27" s="43">
        <v>282.5</v>
      </c>
      <c r="K27" s="43">
        <v>832.6</v>
      </c>
      <c r="L27" s="43">
        <v>1668.9</v>
      </c>
      <c r="M27" s="43">
        <v>3220.8</v>
      </c>
      <c r="N27" s="44">
        <v>3015.5</v>
      </c>
    </row>
    <row r="28" spans="2:14" x14ac:dyDescent="0.35">
      <c r="B28" s="61" t="s">
        <v>2</v>
      </c>
      <c r="C28" s="63" t="s">
        <v>147</v>
      </c>
      <c r="D28" s="63" t="s">
        <v>147</v>
      </c>
      <c r="E28" s="63" t="s">
        <v>147</v>
      </c>
      <c r="F28" s="62">
        <f>(F26/C26)^(1/3)-1</f>
        <v>1.7431048590811793E-2</v>
      </c>
      <c r="G28" s="62"/>
    </row>
    <row r="29" spans="2:14" x14ac:dyDescent="0.35">
      <c r="B29" s="34" t="s">
        <v>12</v>
      </c>
      <c r="C29" s="43">
        <v>-433.3</v>
      </c>
      <c r="D29" s="43">
        <v>-555.1</v>
      </c>
      <c r="E29" s="43">
        <v>1063.8</v>
      </c>
      <c r="F29" s="43">
        <v>1250.5999999999999</v>
      </c>
      <c r="G29" s="43">
        <v>1093.3</v>
      </c>
      <c r="I29" s="72" t="s">
        <v>149</v>
      </c>
      <c r="J29" s="65">
        <f>SUM(J30:J40)</f>
        <v>60753.599999999984</v>
      </c>
      <c r="K29" s="65">
        <f>SUM(K30:K40)</f>
        <v>56387.4</v>
      </c>
      <c r="L29" s="65">
        <f>SUM(L30:L40)</f>
        <v>40891.300000000003</v>
      </c>
      <c r="M29" s="65">
        <f>SUM(M30:M40)</f>
        <v>36220.600000000006</v>
      </c>
      <c r="N29" s="65">
        <f>SUM(N30:N40)</f>
        <v>57433.899999999987</v>
      </c>
    </row>
    <row r="30" spans="2:14" x14ac:dyDescent="0.35">
      <c r="B30" s="64" t="s">
        <v>141</v>
      </c>
      <c r="C30" s="65">
        <f t="shared" ref="C30:E30" si="10">C26+C29</f>
        <v>15227.299999999994</v>
      </c>
      <c r="D30" s="65">
        <f t="shared" si="10"/>
        <v>9782.7999999999956</v>
      </c>
      <c r="E30" s="65">
        <f t="shared" si="10"/>
        <v>13821.299999999996</v>
      </c>
      <c r="F30" s="65">
        <f>F26+F29</f>
        <v>17744.500000000007</v>
      </c>
      <c r="G30" s="65">
        <f>G26+G29</f>
        <v>18933.599999999995</v>
      </c>
      <c r="I30" s="36" t="s">
        <v>25</v>
      </c>
      <c r="J30" s="43">
        <v>31232.1</v>
      </c>
      <c r="K30" s="43">
        <v>13738.3</v>
      </c>
      <c r="L30" s="43">
        <v>12546.6</v>
      </c>
      <c r="M30" s="43">
        <v>18022.900000000001</v>
      </c>
      <c r="N30" s="43">
        <v>20689.3</v>
      </c>
    </row>
    <row r="31" spans="2:14" x14ac:dyDescent="0.35">
      <c r="B31" s="61" t="s">
        <v>1</v>
      </c>
      <c r="C31" s="62"/>
      <c r="D31" s="62">
        <f t="shared" ref="D31:E31" si="11">D30/C30-1</f>
        <v>-0.35754861334576715</v>
      </c>
      <c r="E31" s="62">
        <f t="shared" si="11"/>
        <v>0.41281637159095563</v>
      </c>
      <c r="F31" s="62">
        <f>F30/E30-1</f>
        <v>0.283851736088502</v>
      </c>
      <c r="G31" s="62"/>
      <c r="I31" s="36" t="s">
        <v>24</v>
      </c>
      <c r="J31" s="43"/>
      <c r="K31" s="43"/>
      <c r="L31" s="43"/>
      <c r="M31" s="43"/>
      <c r="N31" s="43"/>
    </row>
    <row r="32" spans="2:14" x14ac:dyDescent="0.35">
      <c r="B32" s="61" t="s">
        <v>2</v>
      </c>
      <c r="C32" s="63" t="s">
        <v>147</v>
      </c>
      <c r="D32" s="63" t="s">
        <v>147</v>
      </c>
      <c r="E32" s="63" t="s">
        <v>147</v>
      </c>
      <c r="F32" s="62">
        <f>((F30/C30)^(1/3)-1)</f>
        <v>5.2317890987126248E-2</v>
      </c>
      <c r="G32" s="62"/>
      <c r="I32" s="36" t="s">
        <v>165</v>
      </c>
      <c r="J32" s="56" t="s">
        <v>64</v>
      </c>
      <c r="K32" s="43">
        <v>18373</v>
      </c>
      <c r="L32" s="43">
        <v>19321.900000000001</v>
      </c>
      <c r="M32" s="43">
        <v>8282.4</v>
      </c>
      <c r="N32" s="43">
        <v>4165</v>
      </c>
    </row>
    <row r="33" spans="2:14" x14ac:dyDescent="0.35">
      <c r="B33" s="37" t="s">
        <v>13</v>
      </c>
      <c r="C33" s="34"/>
      <c r="D33" s="34"/>
      <c r="E33" s="34"/>
      <c r="F33" s="34"/>
      <c r="G33" s="34"/>
      <c r="I33" s="36" t="s">
        <v>166</v>
      </c>
      <c r="J33" s="43">
        <v>21513</v>
      </c>
      <c r="K33" s="43">
        <v>17604.8</v>
      </c>
      <c r="L33" s="43">
        <v>1915.6</v>
      </c>
      <c r="M33" s="43">
        <v>3679.2</v>
      </c>
      <c r="N33" s="43">
        <v>22602.1</v>
      </c>
    </row>
    <row r="34" spans="2:14" x14ac:dyDescent="0.35">
      <c r="B34" s="34" t="s">
        <v>122</v>
      </c>
      <c r="C34" s="34">
        <v>37.619999999999997</v>
      </c>
      <c r="D34" s="34">
        <v>24.85</v>
      </c>
      <c r="E34" s="34">
        <v>30.84</v>
      </c>
      <c r="F34" s="34">
        <v>41.17</v>
      </c>
      <c r="G34" s="59">
        <v>44.53</v>
      </c>
      <c r="I34" s="36" t="s">
        <v>169</v>
      </c>
      <c r="J34" s="43">
        <v>5320.2</v>
      </c>
      <c r="K34" s="43">
        <v>369.3</v>
      </c>
      <c r="L34" s="43">
        <v>1098.5999999999999</v>
      </c>
      <c r="M34" s="43">
        <v>1077.5</v>
      </c>
      <c r="N34" s="44">
        <v>1412</v>
      </c>
    </row>
    <row r="35" spans="2:14" x14ac:dyDescent="0.35">
      <c r="B35" s="34" t="s">
        <v>123</v>
      </c>
      <c r="C35" s="34">
        <v>37.619999999999997</v>
      </c>
      <c r="D35" s="34">
        <v>24.85</v>
      </c>
      <c r="E35" s="34">
        <v>30.84</v>
      </c>
      <c r="F35" s="34">
        <v>41.17</v>
      </c>
      <c r="G35" s="34">
        <v>44.53</v>
      </c>
      <c r="I35" s="36" t="s">
        <v>170</v>
      </c>
      <c r="J35" s="43">
        <v>221.2</v>
      </c>
      <c r="K35" s="43">
        <v>207</v>
      </c>
      <c r="L35" s="43">
        <v>230.3</v>
      </c>
      <c r="M35" s="43">
        <v>1285.7</v>
      </c>
      <c r="N35" s="44">
        <v>3578.1</v>
      </c>
    </row>
    <row r="36" spans="2:14" x14ac:dyDescent="0.35">
      <c r="B36" s="61" t="s">
        <v>1</v>
      </c>
      <c r="C36" s="62"/>
      <c r="D36" s="62">
        <f t="shared" ref="D36" si="12">D35/C35-1</f>
        <v>-0.33944710260499722</v>
      </c>
      <c r="E36" s="62">
        <f>E35/D35-1</f>
        <v>0.24104627766599585</v>
      </c>
      <c r="F36" s="62">
        <f>F35/E35-1</f>
        <v>0.33495460440985747</v>
      </c>
      <c r="G36" s="62"/>
      <c r="I36" s="36" t="s">
        <v>171</v>
      </c>
      <c r="J36" s="43">
        <v>0.6</v>
      </c>
      <c r="K36" s="43">
        <v>0.5</v>
      </c>
      <c r="L36" s="43">
        <v>0.3</v>
      </c>
      <c r="M36" s="43">
        <v>0.2</v>
      </c>
      <c r="N36" s="43">
        <v>0.2</v>
      </c>
    </row>
    <row r="37" spans="2:14" x14ac:dyDescent="0.35">
      <c r="B37" s="61" t="s">
        <v>2</v>
      </c>
      <c r="C37" s="63" t="s">
        <v>147</v>
      </c>
      <c r="D37" s="63" t="s">
        <v>147</v>
      </c>
      <c r="E37" s="63" t="s">
        <v>147</v>
      </c>
      <c r="F37" s="62">
        <f>((F35/C35)^(1/3)-1)</f>
        <v>3.0514306140517977E-2</v>
      </c>
      <c r="G37" s="62"/>
      <c r="I37" s="36" t="s">
        <v>172</v>
      </c>
      <c r="J37" s="43">
        <v>334.5</v>
      </c>
      <c r="K37" s="43">
        <v>1145.5</v>
      </c>
      <c r="L37" s="43">
        <v>1127.2</v>
      </c>
      <c r="M37" s="43">
        <v>1610.1</v>
      </c>
      <c r="N37" s="44">
        <v>2055.1999999999998</v>
      </c>
    </row>
    <row r="38" spans="2:14" x14ac:dyDescent="0.35">
      <c r="I38" s="36" t="s">
        <v>167</v>
      </c>
      <c r="J38" s="43">
        <v>0.1</v>
      </c>
      <c r="K38" s="43">
        <v>0</v>
      </c>
      <c r="L38" s="43">
        <v>0</v>
      </c>
      <c r="M38" s="43">
        <v>0</v>
      </c>
      <c r="N38" s="43">
        <v>0</v>
      </c>
    </row>
    <row r="39" spans="2:14" x14ac:dyDescent="0.35">
      <c r="B39" s="73" t="s">
        <v>133</v>
      </c>
      <c r="C39" s="67" t="s">
        <v>65</v>
      </c>
      <c r="D39" s="67" t="s">
        <v>115</v>
      </c>
      <c r="E39" s="67" t="s">
        <v>117</v>
      </c>
      <c r="F39" s="67" t="s">
        <v>118</v>
      </c>
      <c r="G39" s="67" t="s">
        <v>154</v>
      </c>
      <c r="I39" s="36" t="s">
        <v>26</v>
      </c>
      <c r="J39" s="43">
        <v>2128.1999999999998</v>
      </c>
      <c r="K39" s="43">
        <v>4937</v>
      </c>
      <c r="L39" s="43">
        <v>4620.5</v>
      </c>
      <c r="M39" s="43">
        <v>2257.4</v>
      </c>
      <c r="N39" s="44">
        <v>2928.1</v>
      </c>
    </row>
    <row r="40" spans="2:14" x14ac:dyDescent="0.35">
      <c r="B40" s="37" t="s">
        <v>49</v>
      </c>
      <c r="C40" s="47">
        <v>8879.1</v>
      </c>
      <c r="D40" s="47">
        <v>5320.2</v>
      </c>
      <c r="E40" s="47">
        <v>369.3</v>
      </c>
      <c r="F40" s="47">
        <v>1098.5999999999999</v>
      </c>
      <c r="G40" s="47">
        <v>990.2</v>
      </c>
      <c r="I40" s="36" t="s">
        <v>168</v>
      </c>
      <c r="J40" s="43">
        <v>3.7</v>
      </c>
      <c r="K40" s="43">
        <v>12</v>
      </c>
      <c r="L40" s="43">
        <v>30.3</v>
      </c>
      <c r="M40" s="43">
        <v>5.2</v>
      </c>
      <c r="N40" s="43">
        <v>3.9</v>
      </c>
    </row>
    <row r="41" spans="2:14" x14ac:dyDescent="0.35">
      <c r="B41" s="34" t="s">
        <v>50</v>
      </c>
      <c r="C41" s="43">
        <v>-242.3</v>
      </c>
      <c r="D41" s="43">
        <v>32392.6</v>
      </c>
      <c r="E41" s="43">
        <v>33267.5</v>
      </c>
      <c r="F41" s="43">
        <v>13939</v>
      </c>
      <c r="G41" s="43">
        <v>3471.6</v>
      </c>
      <c r="J41" s="48"/>
      <c r="K41" s="48"/>
      <c r="L41" s="48"/>
      <c r="M41" s="48"/>
      <c r="N41" s="48"/>
    </row>
    <row r="42" spans="2:14" x14ac:dyDescent="0.35">
      <c r="B42" s="34" t="s">
        <v>51</v>
      </c>
      <c r="C42" s="43">
        <v>-1191.3</v>
      </c>
      <c r="D42" s="43">
        <v>-18731.599999999999</v>
      </c>
      <c r="E42" s="43">
        <v>-3824.8</v>
      </c>
      <c r="F42" s="43">
        <v>7390.7</v>
      </c>
      <c r="G42" s="43">
        <v>-1104.8</v>
      </c>
      <c r="I42" s="72" t="s">
        <v>27</v>
      </c>
      <c r="J42" s="65">
        <f>SUM(J44:J50)</f>
        <v>38018.000000000007</v>
      </c>
      <c r="K42" s="65">
        <f>SUM(K44:K50)</f>
        <v>31521.399999999998</v>
      </c>
      <c r="L42" s="65">
        <f>SUM(L44:L50)</f>
        <v>20365.900000000001</v>
      </c>
      <c r="M42" s="65">
        <f>SUM(M44:M50)</f>
        <v>11741.3</v>
      </c>
      <c r="N42" s="65">
        <f>SUM(N44:N50)</f>
        <v>25275.199999999997</v>
      </c>
    </row>
    <row r="43" spans="2:14" x14ac:dyDescent="0.35">
      <c r="B43" s="34" t="s">
        <v>52</v>
      </c>
      <c r="C43" s="43">
        <v>-2127.9</v>
      </c>
      <c r="D43" s="43">
        <v>-18619.900000000001</v>
      </c>
      <c r="E43" s="43">
        <v>-28714.1</v>
      </c>
      <c r="F43" s="43">
        <v>-21352.6</v>
      </c>
      <c r="G43" s="43">
        <v>-2032.5</v>
      </c>
      <c r="I43" s="36" t="s">
        <v>128</v>
      </c>
      <c r="J43" s="43"/>
      <c r="K43" s="43"/>
      <c r="L43" s="43"/>
      <c r="M43" s="43"/>
      <c r="N43" s="43"/>
    </row>
    <row r="44" spans="2:14" x14ac:dyDescent="0.35">
      <c r="B44" s="42" t="s">
        <v>53</v>
      </c>
      <c r="C44" s="47">
        <f>+C43+C42+C41</f>
        <v>-3561.5</v>
      </c>
      <c r="D44" s="47">
        <f t="shared" ref="D44:F44" si="13">+D43+D42+D41</f>
        <v>-4958.9000000000015</v>
      </c>
      <c r="E44" s="47">
        <f t="shared" si="13"/>
        <v>728.60000000000218</v>
      </c>
      <c r="F44" s="47">
        <f t="shared" si="13"/>
        <v>-22.899999999997817</v>
      </c>
      <c r="G44" s="47">
        <f>+G43+G42+G41</f>
        <v>334.29999999999973</v>
      </c>
      <c r="I44" s="36" t="s">
        <v>126</v>
      </c>
      <c r="J44" s="43">
        <v>18518.5</v>
      </c>
      <c r="K44" s="43">
        <v>15148.6</v>
      </c>
      <c r="L44" s="43">
        <v>7093.3</v>
      </c>
      <c r="M44" s="43">
        <v>0</v>
      </c>
      <c r="N44" s="43">
        <v>0</v>
      </c>
    </row>
    <row r="45" spans="2:14" x14ac:dyDescent="0.35">
      <c r="B45" s="38" t="s">
        <v>175</v>
      </c>
      <c r="C45" s="47">
        <v>2.6</v>
      </c>
      <c r="D45" s="47">
        <v>8</v>
      </c>
      <c r="E45" s="47">
        <v>0.7</v>
      </c>
      <c r="F45" s="47">
        <v>1.8</v>
      </c>
      <c r="G45" s="47"/>
      <c r="I45" s="36" t="s">
        <v>130</v>
      </c>
      <c r="J45" s="43">
        <v>52.5</v>
      </c>
      <c r="K45" s="43">
        <v>46.7</v>
      </c>
      <c r="L45" s="43">
        <v>49.6</v>
      </c>
      <c r="M45" s="43">
        <v>49.5</v>
      </c>
      <c r="N45" s="44">
        <v>51.1</v>
      </c>
    </row>
    <row r="46" spans="2:14" x14ac:dyDescent="0.35">
      <c r="B46" s="64" t="s">
        <v>54</v>
      </c>
      <c r="C46" s="65">
        <f>C40+C44+C45</f>
        <v>5320.2000000000007</v>
      </c>
      <c r="D46" s="65">
        <f>D40+D44+D45</f>
        <v>369.29999999999836</v>
      </c>
      <c r="E46" s="65">
        <f>E40+E44+E45</f>
        <v>1098.6000000000022</v>
      </c>
      <c r="F46" s="65">
        <f>F40+F44+F45</f>
        <v>1077.500000000002</v>
      </c>
      <c r="G46" s="65">
        <f>G40+G44+G45</f>
        <v>1324.4999999999998</v>
      </c>
      <c r="I46" s="36" t="s">
        <v>138</v>
      </c>
      <c r="J46" s="43">
        <f>115.3+14883</f>
        <v>14998.3</v>
      </c>
      <c r="K46" s="43">
        <f>190.3+11925.1</f>
        <v>12115.4</v>
      </c>
      <c r="L46" s="43">
        <f>316.1+7622.2</f>
        <v>7938.3</v>
      </c>
      <c r="M46" s="43">
        <f>311.2+5991.5</f>
        <v>6302.7</v>
      </c>
      <c r="N46" s="44">
        <v>17918.3</v>
      </c>
    </row>
    <row r="47" spans="2:14" x14ac:dyDescent="0.35">
      <c r="I47" s="36" t="s">
        <v>140</v>
      </c>
      <c r="J47" s="43">
        <v>2846.8</v>
      </c>
      <c r="K47" s="43">
        <v>3301.8</v>
      </c>
      <c r="L47" s="43">
        <v>4062.7</v>
      </c>
      <c r="M47" s="43">
        <v>4131.6000000000004</v>
      </c>
      <c r="N47" s="44">
        <v>4420.6000000000004</v>
      </c>
    </row>
    <row r="48" spans="2:14" x14ac:dyDescent="0.35">
      <c r="B48" s="73" t="s">
        <v>132</v>
      </c>
      <c r="C48" s="67" t="s">
        <v>65</v>
      </c>
      <c r="D48" s="67" t="s">
        <v>115</v>
      </c>
      <c r="E48" s="67" t="s">
        <v>117</v>
      </c>
      <c r="F48" s="67" t="s">
        <v>118</v>
      </c>
      <c r="G48" s="67" t="s">
        <v>154</v>
      </c>
      <c r="I48" s="36" t="s">
        <v>127</v>
      </c>
      <c r="J48" s="43">
        <v>1256.8</v>
      </c>
      <c r="K48" s="43">
        <v>544.79999999999995</v>
      </c>
      <c r="L48" s="43">
        <v>802.8</v>
      </c>
      <c r="M48" s="43">
        <v>854.5</v>
      </c>
      <c r="N48" s="44">
        <v>856.6</v>
      </c>
    </row>
    <row r="49" spans="2:16" x14ac:dyDescent="0.35">
      <c r="B49" s="35" t="s">
        <v>55</v>
      </c>
      <c r="C49" s="45">
        <f>C41</f>
        <v>-242.3</v>
      </c>
      <c r="D49" s="45">
        <f>D41</f>
        <v>32392.6</v>
      </c>
      <c r="E49" s="45">
        <f>E41</f>
        <v>33267.5</v>
      </c>
      <c r="F49" s="45">
        <f>F41</f>
        <v>13939</v>
      </c>
      <c r="G49" s="45">
        <f>G41</f>
        <v>3471.6</v>
      </c>
      <c r="I49" s="36" t="s">
        <v>63</v>
      </c>
      <c r="J49" s="43">
        <v>345.1</v>
      </c>
      <c r="K49" s="43">
        <v>364.1</v>
      </c>
      <c r="L49" s="43">
        <v>419.2</v>
      </c>
      <c r="M49" s="43">
        <v>403</v>
      </c>
      <c r="N49" s="43">
        <v>426.3</v>
      </c>
    </row>
    <row r="50" spans="2:16" x14ac:dyDescent="0.35">
      <c r="B50" s="35" t="s">
        <v>56</v>
      </c>
      <c r="C50" s="34">
        <f>-1771.3+150.8</f>
        <v>-1620.5</v>
      </c>
      <c r="D50" s="34">
        <f>-1965.5+35.1</f>
        <v>-1930.4</v>
      </c>
      <c r="E50" s="34">
        <f>-6103.4+33.3</f>
        <v>-6070.0999999999995</v>
      </c>
      <c r="F50" s="34">
        <f>-5718.4+27.5</f>
        <v>-5690.9</v>
      </c>
      <c r="G50" s="38">
        <f>-4868.7+14.4</f>
        <v>-4854.3</v>
      </c>
      <c r="I50" s="36" t="s">
        <v>139</v>
      </c>
      <c r="J50" s="43">
        <v>0</v>
      </c>
      <c r="K50" s="43">
        <v>0</v>
      </c>
      <c r="L50" s="43">
        <v>0</v>
      </c>
      <c r="M50" s="43">
        <v>0</v>
      </c>
      <c r="N50" s="43">
        <v>1602.3</v>
      </c>
    </row>
    <row r="51" spans="2:16" x14ac:dyDescent="0.35">
      <c r="B51" s="70" t="s">
        <v>131</v>
      </c>
      <c r="C51" s="71">
        <f t="shared" ref="C51:E51" si="14">C49+C50</f>
        <v>-1862.8</v>
      </c>
      <c r="D51" s="71">
        <f t="shared" si="14"/>
        <v>30462.199999999997</v>
      </c>
      <c r="E51" s="71">
        <f t="shared" si="14"/>
        <v>27197.4</v>
      </c>
      <c r="F51" s="71">
        <f>F49+F50</f>
        <v>8248.1</v>
      </c>
      <c r="G51" s="71">
        <f>G49+G50</f>
        <v>-1382.7000000000003</v>
      </c>
      <c r="I51" s="72" t="s">
        <v>28</v>
      </c>
      <c r="J51" s="65">
        <f>J29-J42</f>
        <v>22735.599999999977</v>
      </c>
      <c r="K51" s="65">
        <f>K29-K42</f>
        <v>24866.000000000004</v>
      </c>
      <c r="L51" s="65">
        <f>L29-L42</f>
        <v>20525.400000000001</v>
      </c>
      <c r="M51" s="65">
        <f>M29-M42</f>
        <v>24479.300000000007</v>
      </c>
      <c r="N51" s="65">
        <f>N29-N42</f>
        <v>32158.69999999999</v>
      </c>
    </row>
    <row r="52" spans="2:16" x14ac:dyDescent="0.35">
      <c r="J52" s="48"/>
      <c r="K52" s="48"/>
      <c r="L52" s="48"/>
      <c r="M52" s="48"/>
      <c r="N52" s="48"/>
    </row>
    <row r="53" spans="2:16" x14ac:dyDescent="0.35">
      <c r="B53" s="73" t="s">
        <v>135</v>
      </c>
      <c r="C53" s="67" t="s">
        <v>65</v>
      </c>
      <c r="D53" s="67" t="s">
        <v>115</v>
      </c>
      <c r="E53" s="67" t="s">
        <v>117</v>
      </c>
      <c r="F53" s="67" t="s">
        <v>118</v>
      </c>
      <c r="G53" s="67" t="s">
        <v>156</v>
      </c>
      <c r="I53" s="72" t="s">
        <v>114</v>
      </c>
      <c r="J53" s="65">
        <f>SUM(J55:J60)</f>
        <v>31011.100000000002</v>
      </c>
      <c r="K53" s="65">
        <f>SUM(K55:K60)</f>
        <v>25650.1</v>
      </c>
      <c r="L53" s="65">
        <f>SUM(L55:L60)</f>
        <v>22143.200000000001</v>
      </c>
      <c r="M53" s="65">
        <f>SUM(M55:M60)</f>
        <v>15205.900000000001</v>
      </c>
      <c r="N53" s="65">
        <f>SUM(N55:N60)</f>
        <v>15035.9</v>
      </c>
    </row>
    <row r="54" spans="2:16" x14ac:dyDescent="0.35">
      <c r="B54" s="34" t="s">
        <v>58</v>
      </c>
      <c r="C54" s="52">
        <v>416207852</v>
      </c>
      <c r="D54" s="56">
        <v>416207852</v>
      </c>
      <c r="E54" s="51">
        <v>400652297</v>
      </c>
      <c r="F54" s="51">
        <v>400652297</v>
      </c>
      <c r="G54" s="51">
        <v>400652297</v>
      </c>
      <c r="I54" s="36" t="s">
        <v>128</v>
      </c>
      <c r="J54" s="43"/>
      <c r="K54" s="43"/>
      <c r="L54" s="43"/>
      <c r="M54" s="43"/>
      <c r="N54" s="43"/>
    </row>
    <row r="55" spans="2:16" x14ac:dyDescent="0.35">
      <c r="B55" s="38" t="s">
        <v>116</v>
      </c>
      <c r="C55" s="50">
        <f>(C54*J65)/1000000</f>
        <v>175639.713544</v>
      </c>
      <c r="D55" s="50">
        <f>(D54*K65)/1000000</f>
        <v>109899.6833206</v>
      </c>
      <c r="E55" s="50">
        <f>(E54*L65)/1000000</f>
        <v>137063.1508037</v>
      </c>
      <c r="F55" s="50">
        <f>(F54*M65)/1000000</f>
        <v>250648.07700320001</v>
      </c>
      <c r="G55" s="50">
        <f>(G54*N65)/1000000</f>
        <v>193134.43976885002</v>
      </c>
      <c r="I55" s="36" t="s">
        <v>129</v>
      </c>
      <c r="J55" s="43">
        <v>24712.400000000001</v>
      </c>
      <c r="K55" s="43">
        <v>18204.099999999999</v>
      </c>
      <c r="L55" s="43">
        <v>11442.2</v>
      </c>
      <c r="M55" s="43">
        <v>823.3</v>
      </c>
      <c r="N55" s="44">
        <v>855.3</v>
      </c>
    </row>
    <row r="56" spans="2:16" x14ac:dyDescent="0.35">
      <c r="B56" s="34" t="s">
        <v>60</v>
      </c>
      <c r="C56" s="50">
        <f t="shared" ref="C56:F56" si="15">J11</f>
        <v>43230.9</v>
      </c>
      <c r="D56" s="50">
        <f t="shared" si="15"/>
        <v>33352.699999999997</v>
      </c>
      <c r="E56" s="50">
        <f t="shared" si="15"/>
        <v>18535.5</v>
      </c>
      <c r="F56" s="50">
        <f t="shared" si="15"/>
        <v>823.3</v>
      </c>
      <c r="G56" s="50">
        <f>N11</f>
        <v>855.3</v>
      </c>
      <c r="I56" s="36" t="s">
        <v>130</v>
      </c>
      <c r="J56" s="43">
        <v>85.2</v>
      </c>
      <c r="K56" s="43">
        <v>184.6</v>
      </c>
      <c r="L56" s="43">
        <v>154.19999999999999</v>
      </c>
      <c r="M56" s="43">
        <v>114.8</v>
      </c>
      <c r="N56" s="44">
        <v>97.3</v>
      </c>
    </row>
    <row r="57" spans="2:16" x14ac:dyDescent="0.35">
      <c r="B57" s="34" t="s">
        <v>61</v>
      </c>
      <c r="C57" s="50">
        <f t="shared" ref="C57:F57" si="16">SUM(J34:J35)</f>
        <v>5541.4</v>
      </c>
      <c r="D57" s="50">
        <f t="shared" si="16"/>
        <v>576.29999999999995</v>
      </c>
      <c r="E57" s="50">
        <f t="shared" si="16"/>
        <v>1328.8999999999999</v>
      </c>
      <c r="F57" s="50">
        <f t="shared" si="16"/>
        <v>2363.1999999999998</v>
      </c>
      <c r="G57" s="50">
        <f>SUM(N34:N35)</f>
        <v>4990.1000000000004</v>
      </c>
      <c r="I57" s="36" t="s">
        <v>151</v>
      </c>
      <c r="J57" s="43">
        <v>0</v>
      </c>
      <c r="K57" s="43">
        <v>0</v>
      </c>
      <c r="L57" s="43">
        <v>0</v>
      </c>
      <c r="M57" s="43">
        <v>23.9</v>
      </c>
      <c r="N57" s="43">
        <v>137.6</v>
      </c>
    </row>
    <row r="58" spans="2:16" x14ac:dyDescent="0.35">
      <c r="B58" s="38" t="s">
        <v>62</v>
      </c>
      <c r="C58" s="50">
        <f>C55+C56-C57</f>
        <v>213329.213544</v>
      </c>
      <c r="D58" s="50">
        <f>D55+D56-D57</f>
        <v>142676.08332060001</v>
      </c>
      <c r="E58" s="50">
        <f>E55+E56-E57</f>
        <v>154269.75080370001</v>
      </c>
      <c r="F58" s="50">
        <f t="shared" ref="F58" si="17">F55+F56-F57</f>
        <v>249108.17700319999</v>
      </c>
      <c r="G58" s="50">
        <f>G55+G56-G57</f>
        <v>188999.63976885</v>
      </c>
      <c r="I58" s="36" t="s">
        <v>63</v>
      </c>
      <c r="J58" s="43">
        <v>150</v>
      </c>
      <c r="K58" s="43">
        <v>186.4</v>
      </c>
      <c r="L58" s="43">
        <v>247.3</v>
      </c>
      <c r="M58" s="43">
        <v>84</v>
      </c>
      <c r="N58" s="43">
        <v>90.7</v>
      </c>
      <c r="P58" s="53"/>
    </row>
    <row r="59" spans="2:16" x14ac:dyDescent="0.35">
      <c r="I59" s="36" t="s">
        <v>173</v>
      </c>
      <c r="J59" s="43">
        <v>6030.7</v>
      </c>
      <c r="K59" s="43">
        <v>7043</v>
      </c>
      <c r="L59" s="43">
        <v>10257.799999999999</v>
      </c>
      <c r="M59" s="43">
        <v>14117.7</v>
      </c>
      <c r="N59" s="43">
        <v>13807.2</v>
      </c>
    </row>
    <row r="60" spans="2:16" x14ac:dyDescent="0.35">
      <c r="I60" s="36" t="s">
        <v>152</v>
      </c>
      <c r="J60" s="43">
        <v>32.799999999999997</v>
      </c>
      <c r="K60" s="43">
        <v>32</v>
      </c>
      <c r="L60" s="43">
        <v>41.7</v>
      </c>
      <c r="M60" s="43">
        <v>42.2</v>
      </c>
      <c r="N60" s="43">
        <v>47.8</v>
      </c>
    </row>
    <row r="61" spans="2:16" x14ac:dyDescent="0.35">
      <c r="I61" s="72" t="s">
        <v>29</v>
      </c>
      <c r="J61" s="65">
        <f>J29+J15</f>
        <v>132889.99999999997</v>
      </c>
      <c r="K61" s="65">
        <f>K29+K15</f>
        <v>127700.70000000001</v>
      </c>
      <c r="L61" s="65">
        <f>L29+L15</f>
        <v>115089.7</v>
      </c>
      <c r="M61" s="65">
        <f>M29+M15</f>
        <v>114067.1</v>
      </c>
      <c r="N61" s="65">
        <f>N29+N15</f>
        <v>138528.59999999998</v>
      </c>
    </row>
    <row r="62" spans="2:16" x14ac:dyDescent="0.35">
      <c r="I62" s="72" t="s">
        <v>153</v>
      </c>
      <c r="J62" s="65">
        <f>J53+J42+J8</f>
        <v>132890</v>
      </c>
      <c r="K62" s="65">
        <f>K53+K42+K8</f>
        <v>127700.70000000001</v>
      </c>
      <c r="L62" s="65">
        <f>L53+L42+L8</f>
        <v>115089.70000000001</v>
      </c>
      <c r="M62" s="65">
        <f>M53+M42+M8</f>
        <v>114067.09999999999</v>
      </c>
      <c r="N62" s="65">
        <f>N53+N42+N8</f>
        <v>138528.6</v>
      </c>
    </row>
    <row r="64" spans="2:16" x14ac:dyDescent="0.35">
      <c r="I64" s="73" t="s">
        <v>134</v>
      </c>
      <c r="J64" s="67" t="s">
        <v>65</v>
      </c>
      <c r="K64" s="67" t="s">
        <v>115</v>
      </c>
      <c r="L64" s="67" t="s">
        <v>117</v>
      </c>
      <c r="M64" s="67" t="s">
        <v>118</v>
      </c>
      <c r="N64" s="67" t="s">
        <v>156</v>
      </c>
    </row>
    <row r="65" spans="9:15" x14ac:dyDescent="0.35">
      <c r="I65" s="39" t="s">
        <v>30</v>
      </c>
      <c r="J65" s="56">
        <v>422</v>
      </c>
      <c r="K65" s="56">
        <v>264.05</v>
      </c>
      <c r="L65" s="43">
        <v>342.1</v>
      </c>
      <c r="M65" s="43">
        <v>625.6</v>
      </c>
      <c r="N65" s="43">
        <v>482.05</v>
      </c>
    </row>
    <row r="66" spans="9:15" x14ac:dyDescent="0.35">
      <c r="I66" s="39" t="s">
        <v>31</v>
      </c>
      <c r="J66" s="43">
        <f>C35</f>
        <v>37.619999999999997</v>
      </c>
      <c r="K66" s="43">
        <f>D35</f>
        <v>24.85</v>
      </c>
      <c r="L66" s="43">
        <f>E35</f>
        <v>30.84</v>
      </c>
      <c r="M66" s="43">
        <f>F35</f>
        <v>41.17</v>
      </c>
      <c r="N66" s="44">
        <f>M66+G35-37.92</f>
        <v>47.78</v>
      </c>
      <c r="O66" t="s">
        <v>177</v>
      </c>
    </row>
    <row r="67" spans="9:15" x14ac:dyDescent="0.35">
      <c r="I67" s="39" t="s">
        <v>32</v>
      </c>
      <c r="J67" s="43">
        <f>J8*1000000/C54</f>
        <v>153.43511587570913</v>
      </c>
      <c r="K67" s="43">
        <f>K8*1000000/D54</f>
        <v>169.45667810226706</v>
      </c>
      <c r="L67" s="43">
        <f>L8*1000000/E54</f>
        <v>181.1560810794503</v>
      </c>
      <c r="M67" s="43">
        <f>M8*1000000/F54</f>
        <v>217.44515294766924</v>
      </c>
      <c r="N67" s="56" t="s">
        <v>155</v>
      </c>
    </row>
    <row r="68" spans="9:15" x14ac:dyDescent="0.35">
      <c r="I68" s="39" t="s">
        <v>33</v>
      </c>
      <c r="J68" s="60">
        <v>3</v>
      </c>
      <c r="K68" s="60">
        <v>3</v>
      </c>
      <c r="L68" s="43">
        <v>3</v>
      </c>
      <c r="M68" s="43">
        <v>5</v>
      </c>
      <c r="N68" s="54">
        <v>0</v>
      </c>
    </row>
    <row r="69" spans="9:15" x14ac:dyDescent="0.35">
      <c r="I69" s="39" t="s">
        <v>34</v>
      </c>
      <c r="J69" s="43">
        <f>J65/J66</f>
        <v>11.217437533227008</v>
      </c>
      <c r="K69" s="43">
        <f>K65/K66</f>
        <v>10.625754527162977</v>
      </c>
      <c r="L69" s="43">
        <f>L65/L66</f>
        <v>11.092736705577174</v>
      </c>
      <c r="M69" s="43">
        <f>M65/M66</f>
        <v>15.195530726256983</v>
      </c>
      <c r="N69" s="43">
        <f>N65/N66</f>
        <v>10.088949351192968</v>
      </c>
    </row>
    <row r="70" spans="9:15" x14ac:dyDescent="0.35">
      <c r="I70" s="39" t="s">
        <v>35</v>
      </c>
      <c r="J70" s="43">
        <f>J65/J67</f>
        <v>2.7503482341150849</v>
      </c>
      <c r="K70" s="43">
        <f>K65/K67</f>
        <v>1.5582153678277932</v>
      </c>
      <c r="L70" s="43">
        <f>L65/L67</f>
        <v>1.8884268083165474</v>
      </c>
      <c r="M70" s="43">
        <f>M65/M67</f>
        <v>2.8770473451323979</v>
      </c>
      <c r="N70" s="56" t="s">
        <v>155</v>
      </c>
      <c r="O70" s="58"/>
    </row>
    <row r="71" spans="9:15" x14ac:dyDescent="0.35">
      <c r="I71" s="39" t="s">
        <v>36</v>
      </c>
      <c r="J71" s="43">
        <f>C58/C14</f>
        <v>9.4302076105013306</v>
      </c>
      <c r="K71" s="43">
        <f>D58/D14</f>
        <v>7.8421460038255431</v>
      </c>
      <c r="L71" s="43">
        <f>E58/E14</f>
        <v>7.5500663539536754</v>
      </c>
      <c r="M71" s="43">
        <f>F58/F14</f>
        <v>10.030649736183641</v>
      </c>
      <c r="N71" s="56" t="s">
        <v>155</v>
      </c>
      <c r="O71" s="58"/>
    </row>
    <row r="72" spans="9:15" x14ac:dyDescent="0.35">
      <c r="I72" s="40" t="s">
        <v>37</v>
      </c>
      <c r="J72" s="46">
        <f>C26/AVERAGE(J8:J8)</f>
        <v>0.24522986678859826</v>
      </c>
      <c r="K72" s="46">
        <f>D26/AVERAGE(J8:K8)</f>
        <v>0.15384913025587443</v>
      </c>
      <c r="L72" s="46">
        <f>E26/AVERAGE(K8:L8)</f>
        <v>0.17828967687747443</v>
      </c>
      <c r="M72" s="46">
        <f>F26/AVERAGE(L8:M8)</f>
        <v>0.20656040525859354</v>
      </c>
      <c r="N72" s="56" t="s">
        <v>155</v>
      </c>
    </row>
    <row r="73" spans="9:15" x14ac:dyDescent="0.35">
      <c r="I73" s="40" t="s">
        <v>38</v>
      </c>
      <c r="J73" s="46">
        <f>(C23+C20)/AVERAGE(J13:J13)</f>
        <v>0.2463139809427439</v>
      </c>
      <c r="K73" s="46">
        <f>(D23+D20)/AVERAGE(J13:K13)</f>
        <v>0.18176793353408219</v>
      </c>
      <c r="L73" s="46">
        <f>(E23+E20)/AVERAGE(K13:L13)</f>
        <v>0.21582048693813766</v>
      </c>
      <c r="M73" s="46">
        <f>(F23+F20)/AVERAGE(L13:M13)</f>
        <v>0.25375641462860127</v>
      </c>
      <c r="N73" s="56" t="s">
        <v>155</v>
      </c>
    </row>
    <row r="74" spans="9:15" x14ac:dyDescent="0.35">
      <c r="I74" s="39" t="s">
        <v>39</v>
      </c>
      <c r="J74" s="57">
        <f>J11/J8</f>
        <v>0.67695412999190441</v>
      </c>
      <c r="K74" s="57">
        <f>K11/K8</f>
        <v>0.47289207874185429</v>
      </c>
      <c r="L74" s="57">
        <f>L11/L8</f>
        <v>0.25537815890196552</v>
      </c>
      <c r="M74" s="57">
        <f>M11/M8</f>
        <v>9.4501945020598055E-3</v>
      </c>
      <c r="N74" s="52" t="s">
        <v>155</v>
      </c>
    </row>
    <row r="75" spans="9:15" x14ac:dyDescent="0.35">
      <c r="I75" s="39" t="s">
        <v>40</v>
      </c>
      <c r="J75" s="57">
        <f>(J11-C57)/J8</f>
        <v>0.59018115936355431</v>
      </c>
      <c r="K75" s="57">
        <f>(K11-D57)/K8</f>
        <v>0.46472099499214492</v>
      </c>
      <c r="L75" s="57">
        <f>(L11-E57)/L8</f>
        <v>0.2370688586206231</v>
      </c>
      <c r="M75" s="57">
        <f>(M11-F57)/M8</f>
        <v>-1.7675640123553861E-2</v>
      </c>
      <c r="N75" s="52" t="s">
        <v>155</v>
      </c>
    </row>
    <row r="76" spans="9:15" x14ac:dyDescent="0.35">
      <c r="I76" s="39" t="s">
        <v>41</v>
      </c>
      <c r="J76" s="46">
        <f>J68/J65</f>
        <v>7.1090047393364926E-3</v>
      </c>
      <c r="K76" s="46">
        <f>K68/K65</f>
        <v>1.1361484567316796E-2</v>
      </c>
      <c r="L76" s="46">
        <f>L68/L65</f>
        <v>8.7693656825489612E-3</v>
      </c>
      <c r="M76" s="46">
        <f t="shared" ref="M76" si="18">M68/M65</f>
        <v>7.9923273657289007E-3</v>
      </c>
      <c r="N76" s="56" t="s">
        <v>155</v>
      </c>
    </row>
    <row r="77" spans="9:15" x14ac:dyDescent="0.35">
      <c r="I77" s="39" t="s">
        <v>42</v>
      </c>
      <c r="J77" s="43">
        <f>AVERAGE(J33:J33)/C5*365</f>
        <v>48.866314473424637</v>
      </c>
      <c r="K77" s="43">
        <f>AVERAGE(J33:K33)/D5*365</f>
        <v>25.704991680712187</v>
      </c>
      <c r="L77" s="43">
        <f>AVERAGE(K33:L33)/E5*365</f>
        <v>19.82851888607685</v>
      </c>
      <c r="M77" s="43">
        <f>AVERAGE(L33:M33)/F5*365</f>
        <v>6.1338383534980947</v>
      </c>
      <c r="N77" s="55" t="s">
        <v>155</v>
      </c>
    </row>
    <row r="78" spans="9:15" x14ac:dyDescent="0.35">
      <c r="I78" s="39" t="s">
        <v>43</v>
      </c>
      <c r="J78" s="43">
        <f>(AVERAGE(J46:J46)/SUM(C9:C11)*365)</f>
        <v>57.005131564012821</v>
      </c>
      <c r="K78" s="43">
        <f>(AVERAGE(J46:K46)/SUM(D9:D11)*365)</f>
        <v>25.112552900916498</v>
      </c>
      <c r="L78" s="43">
        <f>(AVERAGE(K46:L46)/SUM(E9:E11)*365)</f>
        <v>33.569188865427904</v>
      </c>
      <c r="M78" s="43">
        <f>(AVERAGE(L46:M46)/SUM(F9:F11)*365)</f>
        <v>27.897752278313888</v>
      </c>
      <c r="N78" s="55" t="s">
        <v>155</v>
      </c>
    </row>
    <row r="79" spans="9:15" x14ac:dyDescent="0.35">
      <c r="I79" s="39" t="s">
        <v>44</v>
      </c>
      <c r="J79" s="43">
        <f>AVERAGE(J30:J30)/SUM(C9:C11)*365</f>
        <v>118.70611799473305</v>
      </c>
      <c r="K79" s="43">
        <f>AVERAGE(J30:K30)/SUM(D9:D11)*365</f>
        <v>41.651325675779233</v>
      </c>
      <c r="L79" s="43">
        <f>AVERAGE(K30:L30)/SUM(E9:E11)*365</f>
        <v>43.999998624138485</v>
      </c>
      <c r="M79" s="43">
        <f>AVERAGE(L30:M30)/SUM(F9:F11)*365</f>
        <v>59.884863301166803</v>
      </c>
      <c r="N79" s="55" t="s">
        <v>155</v>
      </c>
    </row>
    <row r="80" spans="9:15" x14ac:dyDescent="0.35">
      <c r="I80" s="39" t="s">
        <v>45</v>
      </c>
      <c r="J80" s="43">
        <f t="shared" ref="J80:M80" si="19">J77+J79-J78</f>
        <v>110.56730090414484</v>
      </c>
      <c r="K80" s="43">
        <f t="shared" si="19"/>
        <v>42.243764455574919</v>
      </c>
      <c r="L80" s="43">
        <f t="shared" si="19"/>
        <v>30.259328644787431</v>
      </c>
      <c r="M80" s="43">
        <f t="shared" si="19"/>
        <v>38.120949376351007</v>
      </c>
      <c r="N80" s="55" t="s">
        <v>155</v>
      </c>
    </row>
    <row r="81" spans="9:14" x14ac:dyDescent="0.35">
      <c r="I81" s="39" t="s">
        <v>46</v>
      </c>
      <c r="J81" s="43">
        <f>AVERAGE(J51:J51/C5*365)</f>
        <v>51.643423945613911</v>
      </c>
      <c r="K81" s="43">
        <f>AVERAGE(J51:K51/D5*365)</f>
        <v>32.67976844978957</v>
      </c>
      <c r="L81" s="43">
        <f>AVERAGE(K51:L51/E5*365)</f>
        <v>41.698764527804947</v>
      </c>
      <c r="M81" s="43">
        <f>AVERAGE(L51:M51/F5*365)</f>
        <v>53.675580612992775</v>
      </c>
      <c r="N81" s="55" t="s">
        <v>155</v>
      </c>
    </row>
    <row r="82" spans="9:14" x14ac:dyDescent="0.35">
      <c r="I82" s="41" t="s">
        <v>47</v>
      </c>
      <c r="J82" s="46">
        <f>C20/J11</f>
        <v>2.4503306662595502E-2</v>
      </c>
      <c r="K82" s="46">
        <f>D20/K11</f>
        <v>9.5950252903063318E-2</v>
      </c>
      <c r="L82" s="46">
        <f>E20/L11</f>
        <v>9.3366782660300504E-2</v>
      </c>
      <c r="M82" s="46">
        <f>F20/M11</f>
        <v>0.58812097655775541</v>
      </c>
      <c r="N82" s="55" t="s">
        <v>155</v>
      </c>
    </row>
    <row r="83" spans="9:14" x14ac:dyDescent="0.35">
      <c r="I83" s="36" t="s">
        <v>48</v>
      </c>
      <c r="J83" s="43">
        <f t="shared" ref="J83:M83" si="20">(C23+C20)/C20</f>
        <v>22.06013405078825</v>
      </c>
      <c r="K83" s="43">
        <f t="shared" si="20"/>
        <v>5.4257546403349783</v>
      </c>
      <c r="L83" s="43">
        <f t="shared" si="20"/>
        <v>11.903617242574827</v>
      </c>
      <c r="M83" s="43">
        <f t="shared" si="20"/>
        <v>51.634242048740212</v>
      </c>
      <c r="N83" s="55" t="s">
        <v>155</v>
      </c>
    </row>
    <row r="84" spans="9:14" x14ac:dyDescent="0.35">
      <c r="I84" s="41" t="s">
        <v>113</v>
      </c>
      <c r="J84" s="43">
        <f>C5/AVERAGE(J61:J61)</f>
        <v>1.2091827827526527</v>
      </c>
      <c r="K84" s="43">
        <f>D5/AVERAGE(J61:K61)</f>
        <v>2.1315273338611087</v>
      </c>
      <c r="L84" s="43">
        <f>E5/AVERAGE(K61:L61)</f>
        <v>1.4799934429038379</v>
      </c>
      <c r="M84" s="43">
        <f>F5/AVERAGE(L61:M61)</f>
        <v>1.4528218233105019</v>
      </c>
      <c r="N84" s="55" t="s">
        <v>155</v>
      </c>
    </row>
  </sheetData>
  <mergeCells count="3">
    <mergeCell ref="B3:G3"/>
    <mergeCell ref="I3:N3"/>
    <mergeCell ref="B2:N2"/>
  </mergeCells>
  <pageMargins left="0.7" right="0.7" top="0.75" bottom="0.75" header="0.3" footer="0.3"/>
  <pageSetup paperSize="9" orientation="portrait" horizontalDpi="1200" verticalDpi="1200" r:id="rId1"/>
  <ignoredErrors>
    <ignoredError sqref="C57:F57 J77:M77 J78 M78 K78:L78 J79:M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D38B-3010-4DCA-8F7B-CFDE8D4BED75}">
  <dimension ref="A1:C2"/>
  <sheetViews>
    <sheetView workbookViewId="0">
      <selection activeCell="C1" sqref="C1:C2"/>
    </sheetView>
  </sheetViews>
  <sheetFormatPr defaultRowHeight="14.5" x14ac:dyDescent="0.35"/>
  <sheetData>
    <row r="1" spans="1:3" x14ac:dyDescent="0.35">
      <c r="A1" s="80">
        <v>180086</v>
      </c>
      <c r="B1" s="80">
        <v>141975</v>
      </c>
      <c r="C1" s="81">
        <f>A1/B1-1</f>
        <v>0.26843458355344252</v>
      </c>
    </row>
    <row r="2" spans="1:3" x14ac:dyDescent="0.35">
      <c r="A2">
        <v>44.53</v>
      </c>
      <c r="B2">
        <v>37.92</v>
      </c>
      <c r="C2" s="81">
        <f>A2/B2-1</f>
        <v>0.17431434599156126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RowHeight="14.5" x14ac:dyDescent="0.35"/>
  <cols>
    <col min="1" max="1" width="45" customWidth="1"/>
    <col min="2" max="10" width="15.08984375" customWidth="1"/>
  </cols>
  <sheetData>
    <row r="1" spans="1:11" x14ac:dyDescent="0.35">
      <c r="B1" s="1" t="s">
        <v>14</v>
      </c>
      <c r="C1" s="1" t="s">
        <v>65</v>
      </c>
      <c r="D1" s="1" t="s">
        <v>14</v>
      </c>
      <c r="E1" s="1" t="s">
        <v>65</v>
      </c>
      <c r="F1" s="1" t="s">
        <v>14</v>
      </c>
      <c r="G1" s="1" t="s">
        <v>65</v>
      </c>
      <c r="H1" s="1" t="s">
        <v>14</v>
      </c>
      <c r="I1" s="1" t="s">
        <v>65</v>
      </c>
      <c r="J1" s="1" t="s">
        <v>14</v>
      </c>
      <c r="K1" s="1" t="s">
        <v>65</v>
      </c>
    </row>
    <row r="2" spans="1:11" x14ac:dyDescent="0.35">
      <c r="A2" s="2" t="s">
        <v>66</v>
      </c>
      <c r="B2" s="76" t="s">
        <v>109</v>
      </c>
      <c r="C2" s="77"/>
      <c r="D2" s="76" t="s">
        <v>110</v>
      </c>
      <c r="E2" s="77"/>
      <c r="F2" s="76" t="s">
        <v>111</v>
      </c>
      <c r="G2" s="77"/>
      <c r="H2" s="78" t="s">
        <v>112</v>
      </c>
      <c r="I2" s="79"/>
      <c r="J2" s="76" t="s">
        <v>67</v>
      </c>
      <c r="K2" s="77"/>
    </row>
    <row r="3" spans="1:11" x14ac:dyDescent="0.3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5">
      <c r="A4" s="5" t="s">
        <v>68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5">
      <c r="A5" s="3" t="s">
        <v>69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5">
      <c r="A6" s="3" t="s">
        <v>70</v>
      </c>
      <c r="B6" s="6"/>
      <c r="C6" s="9" t="s">
        <v>64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5">
      <c r="A7" s="3" t="s">
        <v>71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5">
      <c r="A8" s="3" t="s">
        <v>72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5">
      <c r="A9" s="3" t="s">
        <v>73</v>
      </c>
      <c r="B9" s="6"/>
      <c r="C9" s="9" t="s">
        <v>64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5">
      <c r="A10" s="3" t="s">
        <v>71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5">
      <c r="A11" s="3" t="s">
        <v>74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5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5">
      <c r="A13" s="3" t="s">
        <v>75</v>
      </c>
      <c r="B13" s="6"/>
      <c r="C13" s="9" t="s">
        <v>64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5">
      <c r="A14" s="3" t="s">
        <v>71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5">
      <c r="A15" s="3" t="s">
        <v>76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5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5">
      <c r="A18" s="5" t="s">
        <v>77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5">
      <c r="A19" s="3" t="s">
        <v>78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5">
      <c r="A20" s="3" t="s">
        <v>60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5">
      <c r="A21" s="3" t="s">
        <v>79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5">
      <c r="A22" s="3" t="s">
        <v>80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5">
      <c r="A24" s="5" t="s">
        <v>81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5">
      <c r="A25" s="3" t="s">
        <v>82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5">
      <c r="A26" s="3" t="s">
        <v>57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5">
      <c r="A27" s="3" t="s">
        <v>83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5">
      <c r="A29" s="3" t="s">
        <v>84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5">
      <c r="A30" s="3" t="s">
        <v>59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5">
      <c r="A31" s="3" t="s">
        <v>85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5">
      <c r="A32" s="3" t="s">
        <v>86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5">
      <c r="A34" s="3" t="s">
        <v>87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5">
      <c r="A35" s="3" t="s">
        <v>41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5">
      <c r="A36" s="3" t="s">
        <v>88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5">
      <c r="A37" s="3" t="s">
        <v>89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5">
      <c r="A38" s="3" t="s">
        <v>90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5">
      <c r="A40" s="5" t="s">
        <v>91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5">
      <c r="A41" s="3" t="s">
        <v>92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5">
      <c r="A42" s="3" t="s">
        <v>93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5">
      <c r="A43" s="3" t="s">
        <v>94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5">
      <c r="A44" s="3" t="s">
        <v>95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5">
      <c r="A45" s="3" t="s">
        <v>96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5">
      <c r="A46" s="3" t="s">
        <v>97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5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5">
      <c r="A48" s="3" t="s">
        <v>98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5">
      <c r="A49" s="3" t="s">
        <v>99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5">
      <c r="A50" s="3" t="s">
        <v>100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5">
      <c r="A51" s="3" t="s">
        <v>101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5">
      <c r="A52" s="3" t="s">
        <v>102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5">
      <c r="A53" s="3" t="s">
        <v>103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5">
      <c r="A54" s="3" t="s">
        <v>104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5">
      <c r="A55" s="3" t="s">
        <v>105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5">
      <c r="A56" s="3" t="s">
        <v>106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5">
      <c r="A57" s="3" t="s">
        <v>97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5">
      <c r="A58" s="3" t="s">
        <v>107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5">
      <c r="A59" s="28" t="s">
        <v>108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</vt:lpstr>
      <vt:lpstr>Sheet1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Hp</cp:lastModifiedBy>
  <cp:lastPrinted>2024-03-06T13:13:44Z</cp:lastPrinted>
  <dcterms:created xsi:type="dcterms:W3CDTF">2022-02-14T05:39:32Z</dcterms:created>
  <dcterms:modified xsi:type="dcterms:W3CDTF">2026-03-04T07:30:32Z</dcterms:modified>
</cp:coreProperties>
</file>