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1600" windowHeight="9600"/>
  </bookViews>
  <sheets>
    <sheet name="Summary Sheet" sheetId="2" r:id="rId1"/>
    <sheet name="Sheet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9" i="2" l="1"/>
  <c r="V39" i="2" l="1"/>
  <c r="V38" i="2"/>
  <c r="V28" i="2"/>
  <c r="V12" i="2"/>
  <c r="K51" i="2"/>
  <c r="K42" i="2"/>
  <c r="K27" i="2"/>
  <c r="K23" i="2"/>
  <c r="K20" i="2"/>
  <c r="K12" i="2"/>
  <c r="U62" i="2"/>
  <c r="V14" i="2" l="1"/>
  <c r="V6" i="2"/>
  <c r="K53" i="2"/>
  <c r="K50" i="2"/>
  <c r="K54" i="2" s="1"/>
  <c r="K45" i="2"/>
  <c r="K47" i="2" s="1"/>
  <c r="K7" i="2"/>
  <c r="V11" i="2" l="1"/>
  <c r="V51" i="2" s="1"/>
  <c r="V45" i="2"/>
  <c r="V48" i="2" s="1"/>
  <c r="K22" i="2"/>
  <c r="K15" i="2"/>
  <c r="V54" i="2"/>
  <c r="V47" i="2"/>
  <c r="V10" i="2"/>
  <c r="V21" i="2"/>
  <c r="V53" i="2" l="1"/>
  <c r="V52" i="2"/>
  <c r="V50" i="2"/>
  <c r="K24" i="2"/>
  <c r="V33" i="2"/>
  <c r="N55" i="2"/>
  <c r="Q55" i="2"/>
  <c r="P55" i="2"/>
  <c r="O55" i="2"/>
  <c r="R55" i="2"/>
  <c r="T55" i="2"/>
  <c r="U55" i="2"/>
  <c r="U54" i="2"/>
  <c r="U44" i="2"/>
  <c r="U29" i="2"/>
  <c r="J31" i="2"/>
  <c r="J5" i="2"/>
  <c r="J32" i="2"/>
  <c r="J6" i="2"/>
  <c r="J21" i="2"/>
  <c r="U47" i="2" l="1"/>
  <c r="J50" i="2"/>
  <c r="J51" i="2" s="1"/>
  <c r="J53" i="2"/>
  <c r="J45" i="2"/>
  <c r="J47" i="2" s="1"/>
  <c r="J41" i="2"/>
  <c r="J42" i="2" s="1"/>
  <c r="U6" i="2"/>
  <c r="U11" i="2" s="1"/>
  <c r="U10" i="2"/>
  <c r="U14" i="2"/>
  <c r="U21" i="2"/>
  <c r="U38" i="2" s="1"/>
  <c r="U28" i="2"/>
  <c r="J7" i="2"/>
  <c r="J12" i="2" s="1"/>
  <c r="J20" i="2" l="1"/>
  <c r="U57" i="2"/>
  <c r="U56" i="2"/>
  <c r="J52" i="2"/>
  <c r="J54" i="2" s="1"/>
  <c r="U53" i="2"/>
  <c r="U52" i="2"/>
  <c r="U45" i="2"/>
  <c r="U48" i="2" s="1"/>
  <c r="U12" i="2"/>
  <c r="U33" i="2"/>
  <c r="U39" i="2"/>
  <c r="T62" i="2"/>
  <c r="U51" i="2" l="1"/>
  <c r="U58" i="2"/>
  <c r="U49" i="2"/>
  <c r="J23" i="2"/>
  <c r="J15" i="2"/>
  <c r="I32" i="2"/>
  <c r="I31" i="2"/>
  <c r="I21" i="2"/>
  <c r="I6" i="2"/>
  <c r="I5" i="2"/>
  <c r="U50" i="2" l="1"/>
  <c r="J27" i="2"/>
  <c r="J24" i="2"/>
  <c r="J22" i="2"/>
  <c r="T44" i="2"/>
  <c r="T47" i="2" s="1"/>
  <c r="I53" i="2"/>
  <c r="S44" i="2"/>
  <c r="S47" i="2" s="1"/>
  <c r="S54" i="2"/>
  <c r="T54" i="2"/>
  <c r="S55" i="2"/>
  <c r="S60" i="2"/>
  <c r="S62" i="2"/>
  <c r="I50" i="2"/>
  <c r="I51" i="2" s="1"/>
  <c r="I45" i="2"/>
  <c r="I47" i="2" s="1"/>
  <c r="I41" i="2"/>
  <c r="I7" i="2"/>
  <c r="T21" i="2"/>
  <c r="T38" i="2" s="1"/>
  <c r="T14" i="2"/>
  <c r="T10" i="2"/>
  <c r="T6" i="2"/>
  <c r="T11" i="2" s="1"/>
  <c r="T57" i="2" l="1"/>
  <c r="I12" i="2"/>
  <c r="J13" i="2" s="1"/>
  <c r="I52" i="2"/>
  <c r="I54" i="2" s="1"/>
  <c r="T45" i="2"/>
  <c r="T48" i="2" s="1"/>
  <c r="T52" i="2"/>
  <c r="I42" i="2"/>
  <c r="T53" i="2"/>
  <c r="T28" i="2"/>
  <c r="T39" i="2" s="1"/>
  <c r="C5" i="2"/>
  <c r="D5" i="2"/>
  <c r="E5" i="2"/>
  <c r="F5" i="2"/>
  <c r="E6" i="2"/>
  <c r="F6" i="2"/>
  <c r="N6" i="2"/>
  <c r="N11" i="2" s="1"/>
  <c r="O6" i="2"/>
  <c r="O11" i="2" s="1"/>
  <c r="P6" i="2"/>
  <c r="Q6" i="2"/>
  <c r="Q11" i="2" s="1"/>
  <c r="R6" i="2"/>
  <c r="R11" i="2" s="1"/>
  <c r="S6" i="2"/>
  <c r="B7" i="2"/>
  <c r="C7" i="2"/>
  <c r="D7" i="2"/>
  <c r="E7" i="2"/>
  <c r="F7" i="2"/>
  <c r="G7" i="2"/>
  <c r="N10" i="2"/>
  <c r="N61" i="2" s="1"/>
  <c r="O10" i="2"/>
  <c r="P10" i="2"/>
  <c r="P52" i="2" s="1"/>
  <c r="Q10" i="2"/>
  <c r="Q53" i="2" s="1"/>
  <c r="R10" i="2"/>
  <c r="R61" i="2" s="1"/>
  <c r="S10" i="2"/>
  <c r="S61" i="2" s="1"/>
  <c r="P11" i="2"/>
  <c r="N14" i="2"/>
  <c r="O14" i="2"/>
  <c r="P14" i="2"/>
  <c r="Q14" i="2"/>
  <c r="R14" i="2"/>
  <c r="S14" i="2"/>
  <c r="G15" i="2"/>
  <c r="F21" i="2"/>
  <c r="N21" i="2"/>
  <c r="O21" i="2"/>
  <c r="P21" i="2"/>
  <c r="P38" i="2" s="1"/>
  <c r="Q21" i="2"/>
  <c r="R21" i="2"/>
  <c r="S21" i="2"/>
  <c r="G22" i="2"/>
  <c r="H22" i="2"/>
  <c r="G24" i="2"/>
  <c r="N28" i="2"/>
  <c r="N39" i="2" s="1"/>
  <c r="O28" i="2"/>
  <c r="P28" i="2"/>
  <c r="Q28" i="2"/>
  <c r="S28" i="2"/>
  <c r="R29" i="2"/>
  <c r="R28" i="2" s="1"/>
  <c r="C31" i="2"/>
  <c r="D31" i="2"/>
  <c r="E31" i="2"/>
  <c r="F31" i="2"/>
  <c r="E32" i="2"/>
  <c r="F32" i="2"/>
  <c r="B41" i="2"/>
  <c r="B42" i="2" s="1"/>
  <c r="C41" i="2"/>
  <c r="C42" i="2" s="1"/>
  <c r="D41" i="2"/>
  <c r="D42" i="2" s="1"/>
  <c r="E41" i="2"/>
  <c r="E42" i="2" s="1"/>
  <c r="F37" i="2" s="1"/>
  <c r="F41" i="2"/>
  <c r="G41" i="2"/>
  <c r="N44" i="2"/>
  <c r="N47" i="2" s="1"/>
  <c r="O44" i="2"/>
  <c r="O47" i="2" s="1"/>
  <c r="P44" i="2"/>
  <c r="P47" i="2" s="1"/>
  <c r="Q44" i="2"/>
  <c r="Q47" i="2" s="1"/>
  <c r="R44" i="2"/>
  <c r="R47" i="2" s="1"/>
  <c r="Q46" i="2"/>
  <c r="Q54" i="2" s="1"/>
  <c r="B45" i="2"/>
  <c r="B47" i="2" s="1"/>
  <c r="C45" i="2"/>
  <c r="C47" i="2" s="1"/>
  <c r="D45" i="2"/>
  <c r="D47" i="2" s="1"/>
  <c r="E45" i="2"/>
  <c r="F45" i="2"/>
  <c r="G45" i="2"/>
  <c r="G47" i="2" s="1"/>
  <c r="E46" i="2"/>
  <c r="F46" i="2"/>
  <c r="G49" i="2"/>
  <c r="G50" i="2" s="1"/>
  <c r="P54" i="2"/>
  <c r="R54" i="2"/>
  <c r="D50" i="2"/>
  <c r="E50" i="2"/>
  <c r="E51" i="2" s="1"/>
  <c r="F50" i="2"/>
  <c r="D53" i="2"/>
  <c r="E53" i="2"/>
  <c r="F53" i="2"/>
  <c r="G53" i="2"/>
  <c r="N62" i="2"/>
  <c r="O62" i="2"/>
  <c r="P62" i="2"/>
  <c r="Q62" i="2"/>
  <c r="R62" i="2"/>
  <c r="I15" i="2" l="1"/>
  <c r="T56" i="2"/>
  <c r="I20" i="2"/>
  <c r="I23" i="2" s="1"/>
  <c r="T50" i="2" s="1"/>
  <c r="F12" i="2"/>
  <c r="R57" i="2"/>
  <c r="R56" i="2"/>
  <c r="B12" i="2"/>
  <c r="N49" i="2" s="1"/>
  <c r="N56" i="2"/>
  <c r="N57" i="2"/>
  <c r="Q56" i="2"/>
  <c r="Q57" i="2"/>
  <c r="Q58" i="2" s="1"/>
  <c r="D12" i="2"/>
  <c r="I14" i="2" s="1"/>
  <c r="P56" i="2"/>
  <c r="P57" i="2"/>
  <c r="C12" i="2"/>
  <c r="O60" i="2" s="1"/>
  <c r="O56" i="2"/>
  <c r="O57" i="2"/>
  <c r="T49" i="2"/>
  <c r="T58" i="2"/>
  <c r="T51" i="2"/>
  <c r="S57" i="2"/>
  <c r="S56" i="2"/>
  <c r="S53" i="2"/>
  <c r="S52" i="2"/>
  <c r="S11" i="2"/>
  <c r="S51" i="2" s="1"/>
  <c r="S45" i="2"/>
  <c r="S48" i="2" s="1"/>
  <c r="S50" i="2"/>
  <c r="T33" i="2"/>
  <c r="U59" i="2" s="1"/>
  <c r="P61" i="2"/>
  <c r="P53" i="2"/>
  <c r="R52" i="2"/>
  <c r="F52" i="2"/>
  <c r="E52" i="2"/>
  <c r="E54" i="2" s="1"/>
  <c r="R53" i="2"/>
  <c r="N53" i="2"/>
  <c r="R45" i="2"/>
  <c r="R48" i="2" s="1"/>
  <c r="Q61" i="2"/>
  <c r="N52" i="2"/>
  <c r="I22" i="2"/>
  <c r="T12" i="2"/>
  <c r="D52" i="2"/>
  <c r="P45" i="2"/>
  <c r="P48" i="2" s="1"/>
  <c r="P39" i="2"/>
  <c r="R39" i="2"/>
  <c r="Q33" i="2"/>
  <c r="O52" i="2"/>
  <c r="P12" i="2"/>
  <c r="N60" i="2"/>
  <c r="E47" i="2"/>
  <c r="P33" i="2"/>
  <c r="S39" i="2"/>
  <c r="F42" i="2"/>
  <c r="G37" i="2" s="1"/>
  <c r="G42" i="2" s="1"/>
  <c r="F15" i="2"/>
  <c r="F51" i="2"/>
  <c r="F47" i="2"/>
  <c r="G52" i="2"/>
  <c r="G51" i="2"/>
  <c r="F20" i="2"/>
  <c r="F22" i="2" s="1"/>
  <c r="E12" i="2"/>
  <c r="J14" i="2" s="1"/>
  <c r="O39" i="2"/>
  <c r="S33" i="2"/>
  <c r="O33" i="2"/>
  <c r="O61" i="2"/>
  <c r="O53" i="2"/>
  <c r="Q38" i="2"/>
  <c r="Q12" i="2" s="1"/>
  <c r="N33" i="2"/>
  <c r="R33" i="2"/>
  <c r="D13" i="2"/>
  <c r="D20" i="2"/>
  <c r="P60" i="2"/>
  <c r="C15" i="2"/>
  <c r="C13" i="2"/>
  <c r="D51" i="2"/>
  <c r="Q52" i="2"/>
  <c r="Q45" i="2"/>
  <c r="Q48" i="2" s="1"/>
  <c r="Q39" i="2"/>
  <c r="S38" i="2"/>
  <c r="S12" i="2" s="1"/>
  <c r="O38" i="2"/>
  <c r="O12" i="2" s="1"/>
  <c r="R38" i="2"/>
  <c r="R12" i="2" s="1"/>
  <c r="N38" i="2"/>
  <c r="N12" i="2" s="1"/>
  <c r="R58" i="2" l="1"/>
  <c r="R60" i="2"/>
  <c r="O49" i="2"/>
  <c r="F14" i="2"/>
  <c r="O51" i="2"/>
  <c r="B20" i="2"/>
  <c r="B23" i="2" s="1"/>
  <c r="P51" i="2"/>
  <c r="T59" i="2"/>
  <c r="I13" i="2"/>
  <c r="D15" i="2"/>
  <c r="R51" i="2"/>
  <c r="C20" i="2"/>
  <c r="N51" i="2"/>
  <c r="B15" i="2"/>
  <c r="O58" i="2"/>
  <c r="Q60" i="2"/>
  <c r="P58" i="2"/>
  <c r="D54" i="2"/>
  <c r="P49" i="2" s="1"/>
  <c r="E15" i="2"/>
  <c r="N58" i="2"/>
  <c r="S59" i="2"/>
  <c r="S58" i="2"/>
  <c r="F54" i="2"/>
  <c r="R49" i="2" s="1"/>
  <c r="F13" i="2"/>
  <c r="E14" i="2"/>
  <c r="I27" i="2"/>
  <c r="J28" i="2" s="1"/>
  <c r="I24" i="2"/>
  <c r="R59" i="2"/>
  <c r="Q59" i="2"/>
  <c r="G54" i="2"/>
  <c r="S49" i="2" s="1"/>
  <c r="P59" i="2"/>
  <c r="N59" i="2"/>
  <c r="B22" i="2"/>
  <c r="E20" i="2"/>
  <c r="E13" i="2"/>
  <c r="Q51" i="2"/>
  <c r="B24" i="2"/>
  <c r="B27" i="2"/>
  <c r="N50" i="2"/>
  <c r="O59" i="2"/>
  <c r="Q49" i="2"/>
  <c r="F23" i="2"/>
  <c r="D22" i="2"/>
  <c r="D23" i="2"/>
  <c r="C23" i="2"/>
  <c r="C22" i="2"/>
  <c r="E22" i="2" l="1"/>
  <c r="E23" i="2"/>
  <c r="E24" i="2" s="1"/>
  <c r="F27" i="2"/>
  <c r="F24" i="2"/>
  <c r="R50" i="2"/>
  <c r="C27" i="2"/>
  <c r="C24" i="2"/>
  <c r="O50" i="2"/>
  <c r="D24" i="2"/>
  <c r="P50" i="2"/>
  <c r="D27" i="2"/>
  <c r="I29" i="2" s="1"/>
  <c r="I28" i="2" l="1"/>
  <c r="E27" i="2"/>
  <c r="J29" i="2" s="1"/>
  <c r="Q50" i="2"/>
  <c r="C28" i="2"/>
  <c r="F29" i="2"/>
  <c r="D28" i="2"/>
  <c r="E28" i="2" l="1"/>
  <c r="F28" i="2"/>
  <c r="E29" i="2"/>
</calcChain>
</file>

<file path=xl/comments1.xml><?xml version="1.0" encoding="utf-8"?>
<comments xmlns="http://schemas.openxmlformats.org/spreadsheetml/2006/main">
  <authors>
    <author>Admin</author>
  </authors>
  <commentList>
    <comment ref="Q4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Interim Dividend 1.25
Final Dividend Proposed 1.25</t>
        </r>
      </text>
    </comment>
  </commentList>
</comments>
</file>

<file path=xl/sharedStrings.xml><?xml version="1.0" encoding="utf-8"?>
<sst xmlns="http://schemas.openxmlformats.org/spreadsheetml/2006/main" count="205" uniqueCount="118">
  <si>
    <t xml:space="preserve"> </t>
  </si>
  <si>
    <t>Income Statement</t>
  </si>
  <si>
    <t>Balance Sheet</t>
  </si>
  <si>
    <t>Y/E, Mar (Rs. mn)</t>
  </si>
  <si>
    <t>FY17</t>
  </si>
  <si>
    <t>FY18</t>
  </si>
  <si>
    <t>FY19</t>
  </si>
  <si>
    <t>FY20</t>
  </si>
  <si>
    <t>FY21</t>
  </si>
  <si>
    <t>H1FY22</t>
  </si>
  <si>
    <t>9MFY22</t>
  </si>
  <si>
    <t xml:space="preserve">Operational Income </t>
  </si>
  <si>
    <t>Share Capital</t>
  </si>
  <si>
    <t>Growth (%)</t>
  </si>
  <si>
    <t>NA</t>
  </si>
  <si>
    <t>Reserves &amp; Surplus</t>
  </si>
  <si>
    <t>CAGR (%) - 3 Years</t>
  </si>
  <si>
    <t>Networth/Shareholders Fund/ Book Value</t>
  </si>
  <si>
    <t>Expenditure</t>
  </si>
  <si>
    <t>Minority Int</t>
  </si>
  <si>
    <t xml:space="preserve">Cost of material consumed </t>
  </si>
  <si>
    <t>Long Term Debt</t>
  </si>
  <si>
    <t>Change in inventories of WIP and finished goods</t>
  </si>
  <si>
    <t>Short Term Debt</t>
  </si>
  <si>
    <t>Employee Benefit Expense</t>
  </si>
  <si>
    <t>Loans</t>
  </si>
  <si>
    <t>Other Expenses</t>
  </si>
  <si>
    <t>Capital Employed</t>
  </si>
  <si>
    <t>EBITDA</t>
  </si>
  <si>
    <t>NON CURRENT ASSETS</t>
  </si>
  <si>
    <t>EBITDA margin (%)</t>
  </si>
  <si>
    <t>Tangible Assets</t>
  </si>
  <si>
    <t>Other Income</t>
  </si>
  <si>
    <t>Intangible Assets</t>
  </si>
  <si>
    <t>Depreciation</t>
  </si>
  <si>
    <t>Capital work in progerss</t>
  </si>
  <si>
    <t>Finance cost</t>
  </si>
  <si>
    <t>Non current investments</t>
  </si>
  <si>
    <t>Extra-ordinary Item</t>
  </si>
  <si>
    <t xml:space="preserve">Long term loans and advances </t>
  </si>
  <si>
    <t>PBT</t>
  </si>
  <si>
    <t xml:space="preserve">Other non current assets </t>
  </si>
  <si>
    <t>Tax</t>
  </si>
  <si>
    <t>CURRENT ASSETS, LOANS &amp; ADVANCES</t>
  </si>
  <si>
    <t>Effective tax rate (%)</t>
  </si>
  <si>
    <t>Inventories</t>
  </si>
  <si>
    <t>PAT</t>
  </si>
  <si>
    <t>Trade Receivables</t>
  </si>
  <si>
    <t>PAT margin (%)</t>
  </si>
  <si>
    <t>Cash &amp; Cash Equivalents</t>
  </si>
  <si>
    <t>Minority Interest</t>
  </si>
  <si>
    <t>Short term loans and advances</t>
  </si>
  <si>
    <t>Other Comprehensive Income</t>
  </si>
  <si>
    <t>Other Current Assets</t>
  </si>
  <si>
    <t>PAT After MI</t>
  </si>
  <si>
    <t>CURRENT LIABILITIES &amp; PROVISIONS</t>
  </si>
  <si>
    <t>CAGR (%)</t>
  </si>
  <si>
    <t>Trade Payables</t>
  </si>
  <si>
    <t>EPS</t>
  </si>
  <si>
    <t>Other Financial Liabilities</t>
  </si>
  <si>
    <t>Other Current Liabilities</t>
  </si>
  <si>
    <t>Short term Provisions</t>
  </si>
  <si>
    <t>NET CURRENT ASSETS</t>
  </si>
  <si>
    <t>Deferred Tax Liability (Net)</t>
  </si>
  <si>
    <t>Cash Flow</t>
  </si>
  <si>
    <t>Other financial liabilities</t>
  </si>
  <si>
    <t>Long term Provision</t>
  </si>
  <si>
    <t>Cash and Cash Equivalents at Beginning of the year</t>
  </si>
  <si>
    <t>Cash Flow From Operating Activities</t>
  </si>
  <si>
    <t>TOTAL ASSETS</t>
  </si>
  <si>
    <t>Cash Flow from Investing Activities</t>
  </si>
  <si>
    <t>TOTAL LIABILITIES</t>
  </si>
  <si>
    <t>Cash Flow From Financing Activities</t>
  </si>
  <si>
    <t>Net Inc./(Dec.) in Cash and Cash Equivalent</t>
  </si>
  <si>
    <t>Key ratios</t>
  </si>
  <si>
    <t>Cash and Cash Equivalents at End of the year</t>
  </si>
  <si>
    <t xml:space="preserve">Y/E, Mar </t>
  </si>
  <si>
    <t>CMP(Rs)</t>
  </si>
  <si>
    <t>Our Calculations</t>
  </si>
  <si>
    <t>EPS (Rs)</t>
  </si>
  <si>
    <t>BVPS (Rs)</t>
  </si>
  <si>
    <t>DPS (Rs)</t>
  </si>
  <si>
    <t>P/E (x)</t>
  </si>
  <si>
    <t>P/BV (x)</t>
  </si>
  <si>
    <t>EV/EBIDTA (x)</t>
  </si>
  <si>
    <t xml:space="preserve">Operating Cash Inflow </t>
  </si>
  <si>
    <t>RoE (%)</t>
  </si>
  <si>
    <t>Capital Expenditure</t>
  </si>
  <si>
    <t>RoCE (%)</t>
  </si>
  <si>
    <t>FCF</t>
  </si>
  <si>
    <t>Gross D/E(x)</t>
  </si>
  <si>
    <t>Net D/E (x)</t>
  </si>
  <si>
    <t>No. of Shares</t>
  </si>
  <si>
    <t>Dividend Yield</t>
  </si>
  <si>
    <t>No. of Shares (in Mn)</t>
  </si>
  <si>
    <t>Debtor Days</t>
  </si>
  <si>
    <t>Market Cap (in Mn)</t>
  </si>
  <si>
    <t>Creditor Days</t>
  </si>
  <si>
    <t>Total Debt</t>
  </si>
  <si>
    <t>Inventory Days</t>
  </si>
  <si>
    <t>Cash</t>
  </si>
  <si>
    <t>Cash Conversion cycle</t>
  </si>
  <si>
    <t>EV</t>
  </si>
  <si>
    <t>Working Capital Days</t>
  </si>
  <si>
    <t>Interest Coverage</t>
  </si>
  <si>
    <t>Interest Cost</t>
  </si>
  <si>
    <t>Fixed Asset Turnover</t>
  </si>
  <si>
    <t>FY22</t>
  </si>
  <si>
    <t>Current Tax Assets (Net)</t>
  </si>
  <si>
    <t>FY23</t>
  </si>
  <si>
    <t>-</t>
  </si>
  <si>
    <t>H1-FY24</t>
  </si>
  <si>
    <t>NIPPON LIFE INDIA TRUSTEE LTD-A/C NIPPON INDIA MULTI CAP FUND</t>
  </si>
  <si>
    <t>KOTAK SMALL CAP FUND</t>
  </si>
  <si>
    <t>LIFE INSURANCE CORPORATION OF INDIA</t>
  </si>
  <si>
    <t>TATA AIA LIFE INSURANCE CO LTD-WHOLE LIFE MID CAP EQUITY FUND</t>
  </si>
  <si>
    <t>VANGUARD EMERGING MARKETS STOCK INDEX FUND</t>
  </si>
  <si>
    <t>NALANDA INDIA EQUITY FUND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</si>
</sst>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%"/>
    <numFmt numFmtId="167" formatCode="_ * #,##0_ ;_ * \-#,##0_ ;_ * &quot;-&quot;??_ ;_ @_ "/>
    <numFmt numFmtId="168" formatCode="_ * #,##0.0_ ;_ * \-#,##0.0_ ;_ * &quot;-&quot;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0"/>
      <color rgb="FF000000"/>
      <name val="MyFirstFont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5" fontId="4" fillId="0" borderId="2" xfId="3" applyNumberFormat="1" applyFont="1" applyBorder="1"/>
    <xf numFmtId="165" fontId="5" fillId="0" borderId="2" xfId="3" applyNumberFormat="1" applyFont="1" applyFill="1" applyBorder="1"/>
    <xf numFmtId="0" fontId="6" fillId="0" borderId="2" xfId="0" applyFont="1" applyBorder="1"/>
    <xf numFmtId="165" fontId="6" fillId="0" borderId="2" xfId="3" applyNumberFormat="1" applyFont="1" applyBorder="1"/>
    <xf numFmtId="165" fontId="7" fillId="0" borderId="2" xfId="3" applyNumberFormat="1" applyFont="1" applyBorder="1"/>
    <xf numFmtId="0" fontId="8" fillId="3" borderId="2" xfId="0" applyFont="1" applyFill="1" applyBorder="1"/>
    <xf numFmtId="166" fontId="8" fillId="3" borderId="2" xfId="0" applyNumberFormat="1" applyFont="1" applyFill="1" applyBorder="1"/>
    <xf numFmtId="165" fontId="7" fillId="3" borderId="2" xfId="3" applyNumberFormat="1" applyFont="1" applyFill="1" applyBorder="1" applyAlignment="1">
      <alignment horizontal="center"/>
    </xf>
    <xf numFmtId="0" fontId="6" fillId="0" borderId="0" xfId="0" applyFont="1"/>
    <xf numFmtId="0" fontId="4" fillId="3" borderId="2" xfId="0" applyFont="1" applyFill="1" applyBorder="1"/>
    <xf numFmtId="165" fontId="4" fillId="3" borderId="2" xfId="3" applyNumberFormat="1" applyFont="1" applyFill="1" applyBorder="1"/>
    <xf numFmtId="164" fontId="7" fillId="0" borderId="2" xfId="0" applyNumberFormat="1" applyFont="1" applyBorder="1"/>
    <xf numFmtId="0" fontId="6" fillId="0" borderId="2" xfId="0" applyFont="1" applyBorder="1" applyAlignment="1">
      <alignment wrapText="1"/>
    </xf>
    <xf numFmtId="165" fontId="5" fillId="3" borderId="2" xfId="3" applyNumberFormat="1" applyFont="1" applyFill="1" applyBorder="1"/>
    <xf numFmtId="166" fontId="9" fillId="3" borderId="2" xfId="0" applyNumberFormat="1" applyFont="1" applyFill="1" applyBorder="1"/>
    <xf numFmtId="0" fontId="10" fillId="0" borderId="0" xfId="0" applyFont="1"/>
    <xf numFmtId="164" fontId="11" fillId="0" borderId="0" xfId="0" applyNumberFormat="1" applyFont="1"/>
    <xf numFmtId="0" fontId="10" fillId="0" borderId="2" xfId="0" applyFont="1" applyBorder="1"/>
    <xf numFmtId="43" fontId="4" fillId="3" borderId="2" xfId="0" applyNumberFormat="1" applyFont="1" applyFill="1" applyBorder="1"/>
    <xf numFmtId="10" fontId="4" fillId="3" borderId="2" xfId="0" applyNumberFormat="1" applyFont="1" applyFill="1" applyBorder="1"/>
    <xf numFmtId="10" fontId="5" fillId="3" borderId="2" xfId="0" applyNumberFormat="1" applyFont="1" applyFill="1" applyBorder="1"/>
    <xf numFmtId="165" fontId="7" fillId="0" borderId="2" xfId="3" applyNumberFormat="1" applyFont="1" applyFill="1" applyBorder="1"/>
    <xf numFmtId="165" fontId="7" fillId="0" borderId="2" xfId="3" applyNumberFormat="1" applyFont="1" applyFill="1" applyBorder="1" applyAlignment="1">
      <alignment horizontal="center"/>
    </xf>
    <xf numFmtId="164" fontId="6" fillId="0" borderId="2" xfId="0" applyNumberFormat="1" applyFont="1" applyBorder="1"/>
    <xf numFmtId="10" fontId="8" fillId="3" borderId="2" xfId="0" applyNumberFormat="1" applyFont="1" applyFill="1" applyBorder="1"/>
    <xf numFmtId="10" fontId="4" fillId="3" borderId="2" xfId="2" applyNumberFormat="1" applyFont="1" applyFill="1" applyBorder="1"/>
    <xf numFmtId="43" fontId="6" fillId="0" borderId="2" xfId="1" applyFont="1" applyBorder="1"/>
    <xf numFmtId="165" fontId="4" fillId="0" borderId="2" xfId="3" applyNumberFormat="1" applyFont="1" applyFill="1" applyBorder="1"/>
    <xf numFmtId="43" fontId="4" fillId="0" borderId="2" xfId="3" applyFont="1" applyFill="1" applyBorder="1"/>
    <xf numFmtId="43" fontId="5" fillId="0" borderId="2" xfId="3" applyFont="1" applyFill="1" applyBorder="1"/>
    <xf numFmtId="166" fontId="6" fillId="3" borderId="2" xfId="0" applyNumberFormat="1" applyFont="1" applyFill="1" applyBorder="1"/>
    <xf numFmtId="0" fontId="12" fillId="0" borderId="0" xfId="0" applyFont="1"/>
    <xf numFmtId="0" fontId="4" fillId="4" borderId="2" xfId="0" applyFont="1" applyFill="1" applyBorder="1"/>
    <xf numFmtId="0" fontId="4" fillId="4" borderId="2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168" fontId="10" fillId="0" borderId="0" xfId="0" applyNumberFormat="1" applyFont="1"/>
    <xf numFmtId="0" fontId="4" fillId="0" borderId="2" xfId="0" applyFont="1" applyBorder="1" applyAlignment="1">
      <alignment wrapText="1"/>
    </xf>
    <xf numFmtId="0" fontId="5" fillId="4" borderId="3" xfId="0" applyFont="1" applyFill="1" applyBorder="1" applyAlignment="1">
      <alignment horizontal="right"/>
    </xf>
    <xf numFmtId="164" fontId="4" fillId="0" borderId="2" xfId="0" applyNumberFormat="1" applyFont="1" applyBorder="1"/>
    <xf numFmtId="43" fontId="4" fillId="0" borderId="2" xfId="3" applyFont="1" applyBorder="1"/>
    <xf numFmtId="43" fontId="5" fillId="0" borderId="3" xfId="3" applyFont="1" applyBorder="1"/>
    <xf numFmtId="43" fontId="6" fillId="0" borderId="2" xfId="3" applyFont="1" applyBorder="1"/>
    <xf numFmtId="164" fontId="4" fillId="3" borderId="2" xfId="0" applyNumberFormat="1" applyFont="1" applyFill="1" applyBorder="1"/>
    <xf numFmtId="43" fontId="4" fillId="3" borderId="2" xfId="3" applyFont="1" applyFill="1" applyBorder="1"/>
    <xf numFmtId="43" fontId="5" fillId="3" borderId="3" xfId="3" applyFont="1" applyFill="1" applyBorder="1"/>
    <xf numFmtId="43" fontId="5" fillId="3" borderId="2" xfId="3" applyFont="1" applyFill="1" applyBorder="1"/>
    <xf numFmtId="165" fontId="6" fillId="3" borderId="2" xfId="3" applyNumberFormat="1" applyFont="1" applyFill="1" applyBorder="1"/>
    <xf numFmtId="165" fontId="7" fillId="3" borderId="2" xfId="3" applyNumberFormat="1" applyFont="1" applyFill="1" applyBorder="1"/>
    <xf numFmtId="164" fontId="6" fillId="3" borderId="2" xfId="0" applyNumberFormat="1" applyFont="1" applyFill="1" applyBorder="1"/>
    <xf numFmtId="43" fontId="6" fillId="3" borderId="2" xfId="3" applyFont="1" applyFill="1" applyBorder="1"/>
    <xf numFmtId="43" fontId="6" fillId="3" borderId="3" xfId="3" applyFont="1" applyFill="1" applyBorder="1"/>
    <xf numFmtId="43" fontId="6" fillId="0" borderId="2" xfId="3" applyFont="1" applyFill="1" applyBorder="1"/>
    <xf numFmtId="43" fontId="7" fillId="0" borderId="3" xfId="3" applyFont="1" applyFill="1" applyBorder="1"/>
    <xf numFmtId="43" fontId="7" fillId="0" borderId="2" xfId="3" applyFont="1" applyFill="1" applyBorder="1"/>
    <xf numFmtId="2" fontId="6" fillId="3" borderId="2" xfId="0" applyNumberFormat="1" applyFont="1" applyFill="1" applyBorder="1"/>
    <xf numFmtId="2" fontId="7" fillId="3" borderId="3" xfId="0" applyNumberFormat="1" applyFont="1" applyFill="1" applyBorder="1"/>
    <xf numFmtId="2" fontId="7" fillId="3" borderId="2" xfId="0" applyNumberFormat="1" applyFont="1" applyFill="1" applyBorder="1"/>
    <xf numFmtId="166" fontId="6" fillId="0" borderId="2" xfId="0" applyNumberFormat="1" applyFont="1" applyBorder="1"/>
    <xf numFmtId="10" fontId="6" fillId="3" borderId="2" xfId="0" applyNumberFormat="1" applyFont="1" applyFill="1" applyBorder="1"/>
    <xf numFmtId="10" fontId="7" fillId="3" borderId="3" xfId="0" applyNumberFormat="1" applyFont="1" applyFill="1" applyBorder="1"/>
    <xf numFmtId="10" fontId="7" fillId="3" borderId="2" xfId="0" applyNumberFormat="1" applyFont="1" applyFill="1" applyBorder="1"/>
    <xf numFmtId="167" fontId="7" fillId="0" borderId="2" xfId="3" applyNumberFormat="1" applyFont="1" applyFill="1" applyBorder="1"/>
    <xf numFmtId="10" fontId="6" fillId="3" borderId="2" xfId="2" applyNumberFormat="1" applyFont="1" applyFill="1" applyBorder="1"/>
    <xf numFmtId="10" fontId="7" fillId="3" borderId="3" xfId="2" applyNumberFormat="1" applyFont="1" applyFill="1" applyBorder="1"/>
    <xf numFmtId="10" fontId="7" fillId="3" borderId="2" xfId="2" applyNumberFormat="1" applyFont="1" applyFill="1" applyBorder="1"/>
    <xf numFmtId="167" fontId="6" fillId="3" borderId="2" xfId="3" applyNumberFormat="1" applyFont="1" applyFill="1" applyBorder="1"/>
    <xf numFmtId="167" fontId="7" fillId="3" borderId="2" xfId="3" applyNumberFormat="1" applyFont="1" applyFill="1" applyBorder="1"/>
    <xf numFmtId="167" fontId="7" fillId="5" borderId="2" xfId="3" applyNumberFormat="1" applyFont="1" applyFill="1" applyBorder="1"/>
    <xf numFmtId="167" fontId="7" fillId="3" borderId="3" xfId="3" applyNumberFormat="1" applyFont="1" applyFill="1" applyBorder="1"/>
    <xf numFmtId="43" fontId="7" fillId="3" borderId="2" xfId="3" applyFont="1" applyFill="1" applyBorder="1"/>
    <xf numFmtId="0" fontId="7" fillId="0" borderId="2" xfId="0" applyFont="1" applyBorder="1"/>
    <xf numFmtId="165" fontId="6" fillId="3" borderId="2" xfId="0" applyNumberFormat="1" applyFont="1" applyFill="1" applyBorder="1"/>
    <xf numFmtId="0" fontId="3" fillId="0" borderId="0" xfId="0" applyFont="1" applyAlignment="1">
      <alignment horizontal="center"/>
    </xf>
    <xf numFmtId="165" fontId="5" fillId="3" borderId="0" xfId="3" applyNumberFormat="1" applyFont="1" applyFill="1" applyBorder="1"/>
    <xf numFmtId="165" fontId="7" fillId="3" borderId="0" xfId="3" applyNumberFormat="1" applyFont="1" applyFill="1" applyBorder="1"/>
    <xf numFmtId="165" fontId="6" fillId="3" borderId="0" xfId="3" applyNumberFormat="1" applyFont="1" applyFill="1" applyBorder="1"/>
    <xf numFmtId="165" fontId="7" fillId="0" borderId="0" xfId="3" applyNumberFormat="1" applyFont="1" applyFill="1" applyBorder="1"/>
    <xf numFmtId="167" fontId="7" fillId="0" borderId="0" xfId="3" applyNumberFormat="1" applyFont="1" applyFill="1" applyBorder="1"/>
    <xf numFmtId="165" fontId="4" fillId="3" borderId="0" xfId="3" applyNumberFormat="1" applyFont="1" applyFill="1" applyBorder="1"/>
    <xf numFmtId="0" fontId="5" fillId="4" borderId="0" xfId="0" applyFont="1" applyFill="1" applyAlignment="1">
      <alignment horizontal="right"/>
    </xf>
    <xf numFmtId="165" fontId="4" fillId="0" borderId="0" xfId="3" applyNumberFormat="1" applyFont="1" applyBorder="1"/>
    <xf numFmtId="165" fontId="6" fillId="0" borderId="0" xfId="3" applyNumberFormat="1" applyFont="1" applyBorder="1"/>
    <xf numFmtId="165" fontId="4" fillId="0" borderId="0" xfId="3" applyNumberFormat="1" applyFont="1" applyFill="1" applyBorder="1"/>
    <xf numFmtId="0" fontId="5" fillId="4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164" fontId="11" fillId="0" borderId="2" xfId="0" applyNumberFormat="1" applyFont="1" applyBorder="1"/>
    <xf numFmtId="167" fontId="6" fillId="5" borderId="2" xfId="3" applyNumberFormat="1" applyFont="1" applyFill="1" applyBorder="1"/>
    <xf numFmtId="43" fontId="7" fillId="0" borderId="2" xfId="3" applyFont="1" applyFill="1" applyBorder="1" applyAlignment="1"/>
    <xf numFmtId="10" fontId="7" fillId="3" borderId="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165" fontId="7" fillId="0" borderId="3" xfId="3" applyNumberFormat="1" applyFont="1" applyBorder="1"/>
    <xf numFmtId="165" fontId="6" fillId="0" borderId="3" xfId="3" applyNumberFormat="1" applyFont="1" applyBorder="1"/>
    <xf numFmtId="165" fontId="4" fillId="3" borderId="3" xfId="3" applyNumberFormat="1" applyFont="1" applyFill="1" applyBorder="1"/>
    <xf numFmtId="165" fontId="5" fillId="3" borderId="3" xfId="3" applyNumberFormat="1" applyFont="1" applyFill="1" applyBorder="1"/>
    <xf numFmtId="0" fontId="10" fillId="0" borderId="3" xfId="0" applyFont="1" applyBorder="1"/>
    <xf numFmtId="43" fontId="4" fillId="3" borderId="3" xfId="0" applyNumberFormat="1" applyFont="1" applyFill="1" applyBorder="1"/>
    <xf numFmtId="165" fontId="5" fillId="0" borderId="3" xfId="3" applyNumberFormat="1" applyFont="1" applyFill="1" applyBorder="1"/>
    <xf numFmtId="166" fontId="8" fillId="3" borderId="3" xfId="0" applyNumberFormat="1" applyFont="1" applyFill="1" applyBorder="1"/>
    <xf numFmtId="164" fontId="7" fillId="0" borderId="3" xfId="0" applyNumberFormat="1" applyFont="1" applyBorder="1"/>
    <xf numFmtId="166" fontId="9" fillId="3" borderId="3" xfId="0" applyNumberFormat="1" applyFont="1" applyFill="1" applyBorder="1"/>
    <xf numFmtId="10" fontId="5" fillId="3" borderId="3" xfId="0" applyNumberFormat="1" applyFont="1" applyFill="1" applyBorder="1"/>
    <xf numFmtId="165" fontId="7" fillId="0" borderId="3" xfId="3" applyNumberFormat="1" applyFont="1" applyFill="1" applyBorder="1"/>
    <xf numFmtId="10" fontId="8" fillId="3" borderId="3" xfId="0" applyNumberFormat="1" applyFont="1" applyFill="1" applyBorder="1"/>
    <xf numFmtId="10" fontId="4" fillId="3" borderId="3" xfId="2" applyNumberFormat="1" applyFont="1" applyFill="1" applyBorder="1"/>
    <xf numFmtId="43" fontId="6" fillId="0" borderId="3" xfId="1" applyFont="1" applyBorder="1"/>
    <xf numFmtId="43" fontId="5" fillId="0" borderId="3" xfId="3" applyFont="1" applyFill="1" applyBorder="1"/>
    <xf numFmtId="166" fontId="6" fillId="3" borderId="3" xfId="0" applyNumberFormat="1" applyFont="1" applyFill="1" applyBorder="1"/>
    <xf numFmtId="0" fontId="4" fillId="4" borderId="3" xfId="0" applyFont="1" applyFill="1" applyBorder="1" applyAlignment="1">
      <alignment horizontal="right"/>
    </xf>
    <xf numFmtId="165" fontId="4" fillId="0" borderId="3" xfId="3" applyNumberFormat="1" applyFont="1" applyFill="1" applyBorder="1"/>
    <xf numFmtId="165" fontId="4" fillId="0" borderId="3" xfId="3" applyNumberFormat="1" applyFont="1" applyBorder="1"/>
    <xf numFmtId="165" fontId="7" fillId="3" borderId="3" xfId="3" applyNumberFormat="1" applyFont="1" applyFill="1" applyBorder="1"/>
    <xf numFmtId="167" fontId="6" fillId="5" borderId="3" xfId="3" applyNumberFormat="1" applyFont="1" applyFill="1" applyBorder="1"/>
    <xf numFmtId="165" fontId="6" fillId="3" borderId="3" xfId="3" applyNumberFormat="1" applyFont="1" applyFill="1" applyBorder="1"/>
    <xf numFmtId="0" fontId="12" fillId="0" borderId="2" xfId="0" applyFont="1" applyBorder="1"/>
    <xf numFmtId="0" fontId="0" fillId="0" borderId="2" xfId="0" applyBorder="1"/>
    <xf numFmtId="0" fontId="16" fillId="0" borderId="2" xfId="0" applyFont="1" applyBorder="1"/>
    <xf numFmtId="166" fontId="9" fillId="3" borderId="2" xfId="0" applyNumberFormat="1" applyFont="1" applyFill="1" applyBorder="1" applyAlignment="1">
      <alignment horizontal="right"/>
    </xf>
    <xf numFmtId="167" fontId="6" fillId="3" borderId="2" xfId="3" applyNumberFormat="1" applyFont="1" applyFill="1" applyBorder="1" applyAlignment="1">
      <alignment horizontal="right"/>
    </xf>
    <xf numFmtId="0" fontId="0" fillId="5" borderId="0" xfId="0" applyFill="1"/>
    <xf numFmtId="165" fontId="7" fillId="5" borderId="2" xfId="3" applyNumberFormat="1" applyFont="1" applyFill="1" applyBorder="1"/>
    <xf numFmtId="164" fontId="7" fillId="5" borderId="2" xfId="0" applyNumberFormat="1" applyFont="1" applyFill="1" applyBorder="1"/>
    <xf numFmtId="165" fontId="5" fillId="5" borderId="2" xfId="3" applyNumberFormat="1" applyFont="1" applyFill="1" applyBorder="1"/>
    <xf numFmtId="165" fontId="6" fillId="5" borderId="2" xfId="3" applyNumberFormat="1" applyFont="1" applyFill="1" applyBorder="1"/>
    <xf numFmtId="0" fontId="0" fillId="5" borderId="2" xfId="0" applyFill="1" applyBorder="1"/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right"/>
    </xf>
    <xf numFmtId="43" fontId="6" fillId="5" borderId="4" xfId="3" applyFont="1" applyFill="1" applyBorder="1"/>
    <xf numFmtId="165" fontId="4" fillId="5" borderId="2" xfId="3" applyNumberFormat="1" applyFont="1" applyFill="1" applyBorder="1"/>
    <xf numFmtId="43" fontId="5" fillId="5" borderId="2" xfId="3" applyFont="1" applyFill="1" applyBorder="1"/>
    <xf numFmtId="166" fontId="8" fillId="3" borderId="2" xfId="0" applyNumberFormat="1" applyFont="1" applyFill="1" applyBorder="1" applyAlignment="1">
      <alignment horizontal="right"/>
    </xf>
    <xf numFmtId="0" fontId="6" fillId="5" borderId="2" xfId="0" applyFont="1" applyFill="1" applyBorder="1"/>
    <xf numFmtId="165" fontId="7" fillId="5" borderId="2" xfId="3" applyNumberFormat="1" applyFont="1" applyFill="1" applyBorder="1" applyAlignment="1">
      <alignment horizontal="center"/>
    </xf>
    <xf numFmtId="165" fontId="7" fillId="5" borderId="3" xfId="3" applyNumberFormat="1" applyFont="1" applyFill="1" applyBorder="1"/>
    <xf numFmtId="165" fontId="6" fillId="3" borderId="2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Comma" xfId="1" builtinId="3"/>
    <cellStyle name="Comma 3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topLeftCell="B31" zoomScale="70" zoomScaleNormal="70" workbookViewId="0">
      <selection activeCell="V44" sqref="V44"/>
    </sheetView>
  </sheetViews>
  <sheetFormatPr defaultRowHeight="15"/>
  <cols>
    <col min="1" max="1" width="56.85546875" bestFit="1" customWidth="1"/>
    <col min="2" max="2" width="12.28515625" customWidth="1"/>
    <col min="3" max="3" width="11.85546875" customWidth="1"/>
    <col min="4" max="6" width="13.42578125" bestFit="1" customWidth="1"/>
    <col min="7" max="7" width="13.7109375" hidden="1" customWidth="1"/>
    <col min="8" max="8" width="25.28515625" hidden="1" customWidth="1"/>
    <col min="9" max="9" width="15.42578125" bestFit="1" customWidth="1"/>
    <col min="10" max="11" width="15.42578125" customWidth="1"/>
    <col min="12" max="12" width="10.28515625" customWidth="1"/>
    <col min="13" max="13" width="45.5703125" bestFit="1" customWidth="1"/>
    <col min="14" max="14" width="13.7109375" customWidth="1"/>
    <col min="15" max="15" width="12" customWidth="1"/>
    <col min="16" max="16" width="12.140625" customWidth="1"/>
    <col min="17" max="17" width="12" customWidth="1"/>
    <col min="18" max="18" width="12.28515625" bestFit="1" customWidth="1"/>
    <col min="19" max="19" width="11.28515625" hidden="1" customWidth="1"/>
    <col min="20" max="20" width="12.28515625" bestFit="1" customWidth="1"/>
    <col min="21" max="21" width="12.28515625" customWidth="1"/>
    <col min="22" max="22" width="14.28515625" customWidth="1"/>
  </cols>
  <sheetData>
    <row r="1" spans="1:22" ht="15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95"/>
    </row>
    <row r="2" spans="1:22" ht="15.75">
      <c r="A2" s="143" t="s">
        <v>1</v>
      </c>
      <c r="B2" s="144"/>
      <c r="C2" s="144"/>
      <c r="D2" s="144"/>
      <c r="E2" s="144"/>
      <c r="F2" s="77"/>
      <c r="G2" s="77"/>
      <c r="H2" s="77"/>
      <c r="I2" s="1"/>
      <c r="J2" s="1"/>
      <c r="K2" s="1"/>
      <c r="M2" s="89" t="s">
        <v>2</v>
      </c>
      <c r="N2" s="89"/>
      <c r="O2" s="89"/>
      <c r="P2" s="89"/>
      <c r="Q2" s="89"/>
      <c r="R2" s="89"/>
      <c r="S2" s="89"/>
      <c r="T2" s="96"/>
      <c r="U2" s="89"/>
    </row>
    <row r="3" spans="1:22" ht="15.75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107</v>
      </c>
      <c r="J3" s="97" t="s">
        <v>109</v>
      </c>
      <c r="K3" s="4" t="s">
        <v>111</v>
      </c>
      <c r="M3" s="2" t="s">
        <v>3</v>
      </c>
      <c r="N3" s="3" t="s">
        <v>4</v>
      </c>
      <c r="O3" s="90" t="s">
        <v>5</v>
      </c>
      <c r="P3" s="4" t="s">
        <v>6</v>
      </c>
      <c r="Q3" s="4" t="s">
        <v>7</v>
      </c>
      <c r="R3" s="4" t="s">
        <v>8</v>
      </c>
      <c r="S3" s="4" t="s">
        <v>9</v>
      </c>
      <c r="T3" s="97" t="s">
        <v>107</v>
      </c>
      <c r="U3" s="4" t="s">
        <v>109</v>
      </c>
      <c r="V3" s="4" t="s">
        <v>111</v>
      </c>
    </row>
    <row r="4" spans="1:22" ht="15.75">
      <c r="A4" s="2" t="s">
        <v>11</v>
      </c>
      <c r="B4" s="5">
        <v>487.661</v>
      </c>
      <c r="C4" s="6">
        <v>423.76400000000001</v>
      </c>
      <c r="D4" s="6">
        <v>463.233</v>
      </c>
      <c r="E4" s="6">
        <v>558.48699999999997</v>
      </c>
      <c r="F4" s="6">
        <v>607.51300000000003</v>
      </c>
      <c r="G4" s="6">
        <v>360.78199999999998</v>
      </c>
      <c r="H4" s="6">
        <v>530</v>
      </c>
      <c r="I4" s="6">
        <v>750.74</v>
      </c>
      <c r="J4" s="104">
        <v>957.48800000000006</v>
      </c>
      <c r="K4" s="129">
        <v>488.2</v>
      </c>
      <c r="M4" s="7" t="s">
        <v>12</v>
      </c>
      <c r="N4" s="8">
        <v>84.5</v>
      </c>
      <c r="O4" s="9">
        <v>84.5</v>
      </c>
      <c r="P4" s="9">
        <v>44.802999999999997</v>
      </c>
      <c r="Q4" s="9">
        <v>61.523000000000003</v>
      </c>
      <c r="R4" s="9">
        <v>61.523000000000003</v>
      </c>
      <c r="S4" s="9">
        <v>123.04600000000001</v>
      </c>
      <c r="T4" s="98">
        <v>123.04600000000001</v>
      </c>
      <c r="U4" s="9">
        <v>123.04600000000001</v>
      </c>
      <c r="V4" s="127">
        <v>123</v>
      </c>
    </row>
    <row r="5" spans="1:22" ht="15.75">
      <c r="A5" s="10" t="s">
        <v>13</v>
      </c>
      <c r="B5" s="11"/>
      <c r="C5" s="11">
        <f>(C4/B4-1)</f>
        <v>-0.13102749656011037</v>
      </c>
      <c r="D5" s="11">
        <f>(D4/C4-1)</f>
        <v>9.3139105728660354E-2</v>
      </c>
      <c r="E5" s="11">
        <f>(E4/D4-1)</f>
        <v>0.205628700891344</v>
      </c>
      <c r="F5" s="11">
        <f>(F4/E4-1)</f>
        <v>8.7783601050696047E-2</v>
      </c>
      <c r="G5" s="12" t="s">
        <v>14</v>
      </c>
      <c r="H5" s="12" t="s">
        <v>14</v>
      </c>
      <c r="I5" s="11">
        <f>(I4/F4-1)</f>
        <v>0.23575956399286913</v>
      </c>
      <c r="J5" s="105">
        <f>(J4/I4-1)</f>
        <v>0.27539227961744417</v>
      </c>
      <c r="K5" s="138" t="s">
        <v>14</v>
      </c>
      <c r="M5" s="7" t="s">
        <v>15</v>
      </c>
      <c r="N5" s="8">
        <v>107.53400000000001</v>
      </c>
      <c r="O5" s="9">
        <v>125.14</v>
      </c>
      <c r="P5" s="8">
        <v>245.48599999999999</v>
      </c>
      <c r="Q5" s="8">
        <v>344.62200000000001</v>
      </c>
      <c r="R5" s="8">
        <v>460.62200000000001</v>
      </c>
      <c r="S5" s="8">
        <v>445.85500000000002</v>
      </c>
      <c r="T5" s="99">
        <v>475.74400000000003</v>
      </c>
      <c r="U5" s="8">
        <v>589.33699999999999</v>
      </c>
      <c r="V5" s="130">
        <v>662.9</v>
      </c>
    </row>
    <row r="6" spans="1:22" ht="15.75">
      <c r="A6" s="10" t="s">
        <v>16</v>
      </c>
      <c r="B6" s="11"/>
      <c r="C6" s="11"/>
      <c r="D6" s="11"/>
      <c r="E6" s="11">
        <f>(E4/B4)^(1/3)-1</f>
        <v>4.6240870048841032E-2</v>
      </c>
      <c r="F6" s="11">
        <f>(F4/C4)^(1/3)-1</f>
        <v>0.12757084699010135</v>
      </c>
      <c r="G6" s="12" t="s">
        <v>14</v>
      </c>
      <c r="H6" s="12" t="s">
        <v>14</v>
      </c>
      <c r="I6" s="11">
        <f>(I4/D4)^(1/3)-1</f>
        <v>0.17461809962843478</v>
      </c>
      <c r="J6" s="105">
        <f>(J4/E4)^(1/3)-1</f>
        <v>0.19685100950904877</v>
      </c>
      <c r="K6" s="138" t="s">
        <v>14</v>
      </c>
      <c r="M6" s="14" t="s">
        <v>17</v>
      </c>
      <c r="N6" s="15">
        <f t="shared" ref="N6:T6" si="0">(N4+N5)</f>
        <v>192.03399999999999</v>
      </c>
      <c r="O6" s="15">
        <f t="shared" si="0"/>
        <v>209.64</v>
      </c>
      <c r="P6" s="15">
        <f t="shared" si="0"/>
        <v>290.28899999999999</v>
      </c>
      <c r="Q6" s="15">
        <f t="shared" si="0"/>
        <v>406.14500000000004</v>
      </c>
      <c r="R6" s="15">
        <f t="shared" si="0"/>
        <v>522.14499999999998</v>
      </c>
      <c r="S6" s="15">
        <f t="shared" si="0"/>
        <v>568.90100000000007</v>
      </c>
      <c r="T6" s="100">
        <f t="shared" si="0"/>
        <v>598.79000000000008</v>
      </c>
      <c r="U6" s="15">
        <f>(U4+U5)</f>
        <v>712.38300000000004</v>
      </c>
      <c r="V6" s="15">
        <f>(V4+V5)</f>
        <v>785.9</v>
      </c>
    </row>
    <row r="7" spans="1:22" ht="15.75">
      <c r="A7" s="14" t="s">
        <v>18</v>
      </c>
      <c r="B7" s="15">
        <f t="shared" ref="B7:I7" si="1">SUM(B8:B11)</f>
        <v>403.04899999999998</v>
      </c>
      <c r="C7" s="15">
        <f t="shared" si="1"/>
        <v>343.95299999999997</v>
      </c>
      <c r="D7" s="15">
        <f t="shared" si="1"/>
        <v>381.28300000000002</v>
      </c>
      <c r="E7" s="15">
        <f t="shared" si="1"/>
        <v>463.99900000000002</v>
      </c>
      <c r="F7" s="15">
        <f t="shared" si="1"/>
        <v>447.38400000000001</v>
      </c>
      <c r="G7" s="15">
        <f t="shared" si="1"/>
        <v>279.05599999999998</v>
      </c>
      <c r="H7" s="15">
        <v>413</v>
      </c>
      <c r="I7" s="15">
        <f t="shared" si="1"/>
        <v>588.09999999999991</v>
      </c>
      <c r="J7" s="100">
        <f>SUM(J8:J11)</f>
        <v>775.41399999999999</v>
      </c>
      <c r="K7" s="15">
        <f>SUM(K8:K11)</f>
        <v>373.1</v>
      </c>
      <c r="M7" s="7" t="s">
        <v>19</v>
      </c>
      <c r="N7" s="8"/>
      <c r="O7" s="9"/>
      <c r="P7" s="8"/>
      <c r="Q7" s="8"/>
      <c r="R7" s="8"/>
      <c r="S7" s="8"/>
      <c r="T7" s="99"/>
      <c r="U7" s="8"/>
      <c r="V7" s="122"/>
    </row>
    <row r="8" spans="1:22" ht="15.75">
      <c r="A8" s="7" t="s">
        <v>20</v>
      </c>
      <c r="B8" s="16">
        <v>195.91200000000001</v>
      </c>
      <c r="C8" s="16">
        <v>179.416</v>
      </c>
      <c r="D8" s="16">
        <v>192.20400000000001</v>
      </c>
      <c r="E8" s="16">
        <v>221.91200000000001</v>
      </c>
      <c r="F8" s="16">
        <v>220.92400000000001</v>
      </c>
      <c r="G8" s="16">
        <v>127.785</v>
      </c>
      <c r="H8" s="16">
        <v>195.99199999999999</v>
      </c>
      <c r="I8" s="16">
        <v>296</v>
      </c>
      <c r="J8" s="106">
        <v>410.27300000000002</v>
      </c>
      <c r="K8" s="128">
        <v>179</v>
      </c>
      <c r="M8" s="7" t="s">
        <v>21</v>
      </c>
      <c r="N8" s="8">
        <v>143.00700000000001</v>
      </c>
      <c r="O8" s="9">
        <v>125.9</v>
      </c>
      <c r="P8" s="8">
        <v>60.3</v>
      </c>
      <c r="Q8" s="8">
        <v>46.191000000000003</v>
      </c>
      <c r="R8" s="8">
        <v>43.917999999999999</v>
      </c>
      <c r="S8" s="8">
        <v>39.619</v>
      </c>
      <c r="T8" s="99">
        <v>0</v>
      </c>
      <c r="U8" s="8">
        <v>0</v>
      </c>
      <c r="V8" s="130">
        <v>0</v>
      </c>
    </row>
    <row r="9" spans="1:22" ht="15.75">
      <c r="A9" s="17" t="s">
        <v>22</v>
      </c>
      <c r="B9" s="16">
        <v>14.757999999999999</v>
      </c>
      <c r="C9" s="16">
        <v>-0.14899999999999999</v>
      </c>
      <c r="D9" s="16">
        <v>1.0999999999999999E-2</v>
      </c>
      <c r="E9" s="16">
        <v>14.645</v>
      </c>
      <c r="F9" s="16">
        <v>-2.1389999999999998</v>
      </c>
      <c r="G9" s="16">
        <v>1.35</v>
      </c>
      <c r="H9" s="16">
        <v>-1.9390000000000001</v>
      </c>
      <c r="I9" s="16">
        <v>-7.86</v>
      </c>
      <c r="J9" s="106">
        <v>-7.0229999999999997</v>
      </c>
      <c r="K9" s="128">
        <v>7.7</v>
      </c>
      <c r="M9" s="7" t="s">
        <v>23</v>
      </c>
      <c r="N9" s="8">
        <v>65.259</v>
      </c>
      <c r="O9" s="9">
        <v>50.826000000000001</v>
      </c>
      <c r="P9" s="8">
        <v>43.191000000000003</v>
      </c>
      <c r="Q9" s="8">
        <v>0</v>
      </c>
      <c r="R9" s="8">
        <v>32.478999999999999</v>
      </c>
      <c r="S9" s="8">
        <v>0</v>
      </c>
      <c r="T9" s="99">
        <v>0</v>
      </c>
      <c r="U9" s="8">
        <v>0</v>
      </c>
      <c r="V9" s="130">
        <v>0</v>
      </c>
    </row>
    <row r="10" spans="1:22" ht="15.75">
      <c r="A10" s="7" t="s">
        <v>24</v>
      </c>
      <c r="B10" s="16">
        <v>32.648000000000003</v>
      </c>
      <c r="C10" s="16">
        <v>34.92</v>
      </c>
      <c r="D10" s="16">
        <v>36.390999999999998</v>
      </c>
      <c r="E10" s="16">
        <v>41.136000000000003</v>
      </c>
      <c r="F10" s="16">
        <v>39.783999999999999</v>
      </c>
      <c r="G10" s="16">
        <v>18.446999999999999</v>
      </c>
      <c r="H10" s="16">
        <v>28.704000000000001</v>
      </c>
      <c r="I10" s="16">
        <v>41.01</v>
      </c>
      <c r="J10" s="106">
        <v>48.878999999999998</v>
      </c>
      <c r="K10" s="128">
        <v>22.9</v>
      </c>
      <c r="M10" s="14" t="s">
        <v>25</v>
      </c>
      <c r="N10" s="15">
        <f t="shared" ref="N10:T10" si="2">(N8+N9)</f>
        <v>208.26600000000002</v>
      </c>
      <c r="O10" s="15">
        <f t="shared" si="2"/>
        <v>176.726</v>
      </c>
      <c r="P10" s="15">
        <f t="shared" si="2"/>
        <v>103.491</v>
      </c>
      <c r="Q10" s="15">
        <f t="shared" si="2"/>
        <v>46.191000000000003</v>
      </c>
      <c r="R10" s="15">
        <f t="shared" si="2"/>
        <v>76.396999999999991</v>
      </c>
      <c r="S10" s="15">
        <f t="shared" si="2"/>
        <v>39.619</v>
      </c>
      <c r="T10" s="100">
        <f t="shared" si="2"/>
        <v>0</v>
      </c>
      <c r="U10" s="15">
        <f>(U8+U9)</f>
        <v>0</v>
      </c>
      <c r="V10" s="15">
        <f>(V8+V9)</f>
        <v>0</v>
      </c>
    </row>
    <row r="11" spans="1:22" ht="15.75">
      <c r="A11" s="7" t="s">
        <v>26</v>
      </c>
      <c r="B11" s="16">
        <v>159.73099999999999</v>
      </c>
      <c r="C11" s="16">
        <v>129.76599999999999</v>
      </c>
      <c r="D11" s="16">
        <v>152.67699999999999</v>
      </c>
      <c r="E11" s="16">
        <v>186.30600000000001</v>
      </c>
      <c r="F11" s="16">
        <v>188.815</v>
      </c>
      <c r="G11" s="16">
        <v>131.47399999999999</v>
      </c>
      <c r="H11" s="16">
        <v>189.851</v>
      </c>
      <c r="I11" s="16">
        <v>258.95</v>
      </c>
      <c r="J11" s="106">
        <v>323.28500000000003</v>
      </c>
      <c r="K11" s="128">
        <v>163.5</v>
      </c>
      <c r="M11" s="14" t="s">
        <v>27</v>
      </c>
      <c r="N11" s="15">
        <f t="shared" ref="N11:S11" si="3">(N6+N8+N7+N36+N34)</f>
        <v>364.48500000000001</v>
      </c>
      <c r="O11" s="15">
        <f t="shared" si="3"/>
        <v>367.93999999999994</v>
      </c>
      <c r="P11" s="15">
        <f t="shared" si="3"/>
        <v>388.101</v>
      </c>
      <c r="Q11" s="15">
        <f t="shared" si="3"/>
        <v>492.71000000000004</v>
      </c>
      <c r="R11" s="15">
        <f t="shared" si="3"/>
        <v>604.04899999999998</v>
      </c>
      <c r="S11" s="15">
        <f t="shared" si="3"/>
        <v>646.09600000000012</v>
      </c>
      <c r="T11" s="100">
        <f t="shared" ref="T11:V11" si="4">(T6+T8+T7+T36+T34)</f>
        <v>638.32000000000005</v>
      </c>
      <c r="U11" s="15">
        <f t="shared" si="4"/>
        <v>748.78300000000002</v>
      </c>
      <c r="V11" s="15">
        <f t="shared" si="4"/>
        <v>823.4</v>
      </c>
    </row>
    <row r="12" spans="1:22" ht="15.75">
      <c r="A12" s="14" t="s">
        <v>28</v>
      </c>
      <c r="B12" s="15">
        <f>(B4-B7)</f>
        <v>84.612000000000023</v>
      </c>
      <c r="C12" s="15">
        <f>(C4-C7)</f>
        <v>79.811000000000035</v>
      </c>
      <c r="D12" s="15">
        <f>(D4-D7)</f>
        <v>81.949999999999989</v>
      </c>
      <c r="E12" s="15">
        <f>(E4-E7)</f>
        <v>94.487999999999943</v>
      </c>
      <c r="F12" s="15">
        <f>(F4-F7)</f>
        <v>160.12900000000002</v>
      </c>
      <c r="G12" s="15">
        <v>81.725999999999999</v>
      </c>
      <c r="H12" s="15">
        <v>117</v>
      </c>
      <c r="I12" s="15">
        <f>(I4-I7)</f>
        <v>162.6400000000001</v>
      </c>
      <c r="J12" s="100">
        <f>(J4-J7)</f>
        <v>182.07400000000007</v>
      </c>
      <c r="K12" s="15">
        <f>(K4-K7)</f>
        <v>115.09999999999997</v>
      </c>
      <c r="M12" s="14" t="s">
        <v>27</v>
      </c>
      <c r="N12" s="18">
        <f t="shared" ref="N12:S12" si="5">N38-N28-N9</f>
        <v>364.48599999999999</v>
      </c>
      <c r="O12" s="18">
        <f t="shared" si="5"/>
        <v>368.80400000000003</v>
      </c>
      <c r="P12" s="18">
        <f t="shared" si="5"/>
        <v>388.12</v>
      </c>
      <c r="Q12" s="18">
        <f t="shared" si="5"/>
        <v>492.71100000000001</v>
      </c>
      <c r="R12" s="18">
        <f t="shared" si="5"/>
        <v>604.04900000000009</v>
      </c>
      <c r="S12" s="18">
        <f t="shared" si="5"/>
        <v>646.096</v>
      </c>
      <c r="T12" s="101">
        <f>T38-T28-T9</f>
        <v>638.31700000000012</v>
      </c>
      <c r="U12" s="18">
        <f>U38-U28-U9</f>
        <v>748.79199999999992</v>
      </c>
      <c r="V12" s="18">
        <f>V38-V28-V9</f>
        <v>823.35300000000007</v>
      </c>
    </row>
    <row r="13" spans="1:22" ht="15.75">
      <c r="A13" s="10" t="s">
        <v>13</v>
      </c>
      <c r="B13" s="11"/>
      <c r="C13" s="19">
        <f>(C12/B12-1)</f>
        <v>-5.674136056351331E-2</v>
      </c>
      <c r="D13" s="19">
        <f>(D12/C12-1)</f>
        <v>2.6800816929996474E-2</v>
      </c>
      <c r="E13" s="19">
        <f>(E12/D12-1)</f>
        <v>0.15299572910311121</v>
      </c>
      <c r="F13" s="19">
        <f>(F12/E12-1)</f>
        <v>0.69470197273728007</v>
      </c>
      <c r="G13" s="12" t="s">
        <v>14</v>
      </c>
      <c r="H13" s="12" t="s">
        <v>14</v>
      </c>
      <c r="I13" s="19">
        <f>(I12/F12-1)</f>
        <v>1.5681107107395231E-2</v>
      </c>
      <c r="J13" s="107">
        <f>(J12/I12-1)</f>
        <v>0.1194909001475648</v>
      </c>
      <c r="K13" s="124" t="s">
        <v>14</v>
      </c>
      <c r="M13" s="22"/>
      <c r="N13" s="22"/>
      <c r="O13" s="91"/>
      <c r="P13" s="22"/>
      <c r="Q13" s="22"/>
      <c r="R13" s="22"/>
      <c r="S13" s="22"/>
      <c r="T13" s="102"/>
      <c r="U13" s="22"/>
      <c r="V13" s="122"/>
    </row>
    <row r="14" spans="1:22" ht="15.75">
      <c r="A14" s="10" t="s">
        <v>16</v>
      </c>
      <c r="B14" s="11"/>
      <c r="C14" s="11"/>
      <c r="D14" s="11"/>
      <c r="E14" s="11">
        <f>(E12/B12)^(1/3)-1</f>
        <v>3.7484376203344771E-2</v>
      </c>
      <c r="F14" s="11">
        <f>(F12/C12)^(1/3)-1</f>
        <v>0.26125358311722491</v>
      </c>
      <c r="G14" s="12" t="s">
        <v>14</v>
      </c>
      <c r="H14" s="12" t="s">
        <v>14</v>
      </c>
      <c r="I14" s="11">
        <f>(I12/D12)^(1/3)-1</f>
        <v>0.25668414524329375</v>
      </c>
      <c r="J14" s="105">
        <f>(J12/E12)^(1/3)-1</f>
        <v>0.24439166147489511</v>
      </c>
      <c r="K14" s="124" t="s">
        <v>14</v>
      </c>
      <c r="M14" s="14" t="s">
        <v>29</v>
      </c>
      <c r="N14" s="23">
        <f t="shared" ref="N14:T14" si="6">SUM(N15:N20)</f>
        <v>424.59300000000002</v>
      </c>
      <c r="O14" s="23">
        <f t="shared" si="6"/>
        <v>397.87300000000005</v>
      </c>
      <c r="P14" s="23">
        <f t="shared" si="6"/>
        <v>370.83300000000003</v>
      </c>
      <c r="Q14" s="23">
        <f t="shared" si="6"/>
        <v>358.96699999999998</v>
      </c>
      <c r="R14" s="23">
        <f t="shared" si="6"/>
        <v>351.98600000000005</v>
      </c>
      <c r="S14" s="23">
        <f t="shared" si="6"/>
        <v>351.971</v>
      </c>
      <c r="T14" s="103">
        <f t="shared" si="6"/>
        <v>351.25900000000007</v>
      </c>
      <c r="U14" s="23">
        <f>SUM(U15:U20)</f>
        <v>394.30799999999999</v>
      </c>
      <c r="V14" s="23">
        <f>SUM(V15:V20)</f>
        <v>415.8</v>
      </c>
    </row>
    <row r="15" spans="1:22" ht="15.75">
      <c r="A15" s="14" t="s">
        <v>30</v>
      </c>
      <c r="B15" s="24">
        <f t="shared" ref="B15:G15" si="7">(B12/B4)</f>
        <v>0.17350577552849217</v>
      </c>
      <c r="C15" s="25">
        <f t="shared" si="7"/>
        <v>0.18833832038587522</v>
      </c>
      <c r="D15" s="25">
        <f t="shared" si="7"/>
        <v>0.17690881262777045</v>
      </c>
      <c r="E15" s="25">
        <f t="shared" si="7"/>
        <v>0.16918567486799146</v>
      </c>
      <c r="F15" s="25">
        <f t="shared" si="7"/>
        <v>0.26358119085517512</v>
      </c>
      <c r="G15" s="25">
        <f t="shared" si="7"/>
        <v>0.22652460488605308</v>
      </c>
      <c r="H15" s="25">
        <v>0.2208</v>
      </c>
      <c r="I15" s="25">
        <f>(I12/I4)</f>
        <v>0.21663958227881835</v>
      </c>
      <c r="J15" s="108">
        <f>(J12/J4)</f>
        <v>0.19015799675818398</v>
      </c>
      <c r="K15" s="25">
        <f>(K12/K4)</f>
        <v>0.23576403113478075</v>
      </c>
      <c r="M15" s="7" t="s">
        <v>31</v>
      </c>
      <c r="N15" s="8">
        <v>415.32</v>
      </c>
      <c r="O15" s="9">
        <v>390.35</v>
      </c>
      <c r="P15" s="8">
        <v>363.41</v>
      </c>
      <c r="Q15" s="8">
        <v>343.96199999999999</v>
      </c>
      <c r="R15" s="8">
        <v>299.08100000000002</v>
      </c>
      <c r="S15" s="8">
        <v>343.92599999999999</v>
      </c>
      <c r="T15" s="99">
        <v>341.03100000000001</v>
      </c>
      <c r="U15" s="8">
        <v>384.49099999999999</v>
      </c>
      <c r="V15" s="131">
        <v>399.8</v>
      </c>
    </row>
    <row r="16" spans="1:22" ht="15.75">
      <c r="A16" s="7" t="s">
        <v>32</v>
      </c>
      <c r="B16" s="8">
        <v>0.43</v>
      </c>
      <c r="C16" s="26">
        <v>0.4</v>
      </c>
      <c r="D16" s="26">
        <v>0.88700000000000001</v>
      </c>
      <c r="E16" s="26">
        <v>0.98599999999999999</v>
      </c>
      <c r="F16" s="26">
        <v>1.8939999999999999</v>
      </c>
      <c r="G16" s="27" t="s">
        <v>14</v>
      </c>
      <c r="H16" s="27">
        <v>2</v>
      </c>
      <c r="I16" s="26">
        <v>1.8</v>
      </c>
      <c r="J16" s="109">
        <v>2.383</v>
      </c>
      <c r="K16" s="127">
        <v>0.6</v>
      </c>
      <c r="M16" s="7" t="s">
        <v>33</v>
      </c>
      <c r="N16" s="8"/>
      <c r="O16" s="9"/>
      <c r="P16" s="8"/>
      <c r="Q16" s="8">
        <v>0</v>
      </c>
      <c r="R16" s="8">
        <v>0</v>
      </c>
      <c r="S16" s="8"/>
      <c r="T16" s="99">
        <v>0</v>
      </c>
      <c r="U16" s="8">
        <v>0</v>
      </c>
      <c r="V16" s="132" t="s">
        <v>110</v>
      </c>
    </row>
    <row r="17" spans="1:22" ht="15.75">
      <c r="A17" s="7" t="s">
        <v>34</v>
      </c>
      <c r="B17" s="8">
        <v>28.2</v>
      </c>
      <c r="C17" s="26">
        <v>31.358000000000001</v>
      </c>
      <c r="D17" s="26">
        <v>30.37</v>
      </c>
      <c r="E17" s="26">
        <v>27.614999999999998</v>
      </c>
      <c r="F17" s="26">
        <v>28.193999999999999</v>
      </c>
      <c r="G17" s="26">
        <v>16.393999999999998</v>
      </c>
      <c r="H17" s="26">
        <v>24</v>
      </c>
      <c r="I17" s="26">
        <v>32.81</v>
      </c>
      <c r="J17" s="109">
        <v>32.332000000000001</v>
      </c>
      <c r="K17" s="127">
        <v>16.7</v>
      </c>
      <c r="M17" s="7" t="s">
        <v>35</v>
      </c>
      <c r="N17" s="8">
        <v>0</v>
      </c>
      <c r="O17" s="9">
        <v>0</v>
      </c>
      <c r="P17" s="8">
        <v>0</v>
      </c>
      <c r="Q17" s="8">
        <v>7.39</v>
      </c>
      <c r="R17" s="8">
        <v>45.222999999999999</v>
      </c>
      <c r="S17" s="8"/>
      <c r="T17" s="99">
        <v>2.48</v>
      </c>
      <c r="U17" s="8">
        <v>2.4540000000000002</v>
      </c>
      <c r="V17" s="131">
        <v>9.6999999999999993</v>
      </c>
    </row>
    <row r="18" spans="1:22" ht="15.75">
      <c r="A18" s="7" t="s">
        <v>36</v>
      </c>
      <c r="B18" s="8">
        <v>25.007999999999999</v>
      </c>
      <c r="C18" s="26">
        <v>23.323</v>
      </c>
      <c r="D18" s="26">
        <v>19.63</v>
      </c>
      <c r="E18" s="26">
        <v>7.9390000000000001</v>
      </c>
      <c r="F18" s="26">
        <v>6.4</v>
      </c>
      <c r="G18" s="26">
        <v>2.617</v>
      </c>
      <c r="H18" s="26">
        <v>4</v>
      </c>
      <c r="I18" s="26">
        <v>4.54</v>
      </c>
      <c r="J18" s="109">
        <v>1.3320000000000001</v>
      </c>
      <c r="K18" s="127">
        <v>0.4</v>
      </c>
      <c r="M18" s="7" t="s">
        <v>37</v>
      </c>
      <c r="N18" s="8">
        <v>0.56499999999999995</v>
      </c>
      <c r="O18" s="9">
        <v>0.56499999999999995</v>
      </c>
      <c r="P18" s="8">
        <v>0.56499999999999995</v>
      </c>
      <c r="Q18" s="8">
        <v>0.56499999999999995</v>
      </c>
      <c r="R18" s="8">
        <v>0.1</v>
      </c>
      <c r="S18" s="8">
        <v>0.1</v>
      </c>
      <c r="T18" s="99">
        <v>0.1</v>
      </c>
      <c r="U18" s="8">
        <v>0.1</v>
      </c>
      <c r="V18" s="133" t="s">
        <v>110</v>
      </c>
    </row>
    <row r="19" spans="1:22" ht="15.75">
      <c r="A19" s="139" t="s">
        <v>38</v>
      </c>
      <c r="B19" s="130">
        <v>0</v>
      </c>
      <c r="C19" s="127">
        <v>0</v>
      </c>
      <c r="D19" s="127">
        <v>0</v>
      </c>
      <c r="E19" s="127">
        <v>0</v>
      </c>
      <c r="F19" s="127">
        <v>-19.875</v>
      </c>
      <c r="G19" s="140" t="s">
        <v>14</v>
      </c>
      <c r="H19" s="140" t="s">
        <v>14</v>
      </c>
      <c r="I19" s="127">
        <v>0</v>
      </c>
      <c r="J19" s="141">
        <v>0</v>
      </c>
      <c r="K19" s="127"/>
      <c r="M19" s="7" t="s">
        <v>39</v>
      </c>
      <c r="N19" s="8">
        <v>8.7080000000000002</v>
      </c>
      <c r="O19" s="9">
        <v>6.9580000000000002</v>
      </c>
      <c r="P19" s="9">
        <v>6.8579999999999997</v>
      </c>
      <c r="Q19" s="9">
        <v>7.05</v>
      </c>
      <c r="R19" s="9">
        <v>7.5819999999999999</v>
      </c>
      <c r="S19" s="9">
        <v>7.9450000000000003</v>
      </c>
      <c r="T19" s="98">
        <v>0</v>
      </c>
      <c r="U19" s="9">
        <v>0</v>
      </c>
      <c r="V19" s="133" t="s">
        <v>110</v>
      </c>
    </row>
    <row r="20" spans="1:22" ht="15.75">
      <c r="A20" s="14" t="s">
        <v>40</v>
      </c>
      <c r="B20" s="15">
        <f>(B12-B17-B18+B16-B19)</f>
        <v>31.834000000000021</v>
      </c>
      <c r="C20" s="15">
        <f>(C12-C17-C18+C16-C19)</f>
        <v>25.53000000000003</v>
      </c>
      <c r="D20" s="15">
        <f>(D12-D17-D18+D16-D19)</f>
        <v>32.836999999999982</v>
      </c>
      <c r="E20" s="15">
        <f>(E12-E17-E18+E16-E19)</f>
        <v>59.919999999999945</v>
      </c>
      <c r="F20" s="15">
        <f>(F12-F17-F18+F16-F19)</f>
        <v>147.30400000000003</v>
      </c>
      <c r="G20" s="15">
        <v>63.365000000000002</v>
      </c>
      <c r="H20" s="15">
        <v>91</v>
      </c>
      <c r="I20" s="15">
        <f>(I12-I17-I18+I16-I19)</f>
        <v>127.09000000000009</v>
      </c>
      <c r="J20" s="100">
        <f>(J12-J17-J18+J16-J19)</f>
        <v>150.79300000000009</v>
      </c>
      <c r="K20" s="15">
        <f>(K12-K17-K18+K16-K19)</f>
        <v>98.599999999999952</v>
      </c>
      <c r="M20" s="7" t="s">
        <v>41</v>
      </c>
      <c r="N20" s="8">
        <v>0</v>
      </c>
      <c r="O20" s="9">
        <v>0</v>
      </c>
      <c r="P20" s="8">
        <v>0</v>
      </c>
      <c r="Q20" s="8"/>
      <c r="R20" s="8">
        <v>0</v>
      </c>
      <c r="S20" s="8"/>
      <c r="T20" s="99">
        <v>7.6479999999999997</v>
      </c>
      <c r="U20" s="8">
        <v>7.2629999999999999</v>
      </c>
      <c r="V20" s="131">
        <v>6.3</v>
      </c>
    </row>
    <row r="21" spans="1:22" ht="15.75">
      <c r="A21" s="7" t="s">
        <v>42</v>
      </c>
      <c r="B21" s="28">
        <v>13.355</v>
      </c>
      <c r="C21" s="16">
        <v>10.577</v>
      </c>
      <c r="D21" s="16">
        <v>7.8</v>
      </c>
      <c r="E21" s="16">
        <v>12.269</v>
      </c>
      <c r="F21" s="16">
        <f>33.61-2.461</f>
        <v>31.149000000000001</v>
      </c>
      <c r="G21" s="16">
        <v>16.61</v>
      </c>
      <c r="H21" s="16">
        <v>23</v>
      </c>
      <c r="I21" s="16">
        <f>33.45+1.43</f>
        <v>34.880000000000003</v>
      </c>
      <c r="J21" s="106">
        <f>37.951-0.5</f>
        <v>37.451000000000001</v>
      </c>
      <c r="K21" s="128">
        <v>24.7</v>
      </c>
      <c r="M21" s="14" t="s">
        <v>43</v>
      </c>
      <c r="N21" s="15">
        <f t="shared" ref="N21:T21" si="8">SUM(N22:N27)</f>
        <v>135.822</v>
      </c>
      <c r="O21" s="15">
        <f t="shared" si="8"/>
        <v>140.96599999999998</v>
      </c>
      <c r="P21" s="15">
        <f t="shared" si="8"/>
        <v>141.84100000000001</v>
      </c>
      <c r="Q21" s="15">
        <f t="shared" si="8"/>
        <v>242.185</v>
      </c>
      <c r="R21" s="15">
        <f t="shared" si="8"/>
        <v>411.85500000000002</v>
      </c>
      <c r="S21" s="15">
        <f t="shared" si="8"/>
        <v>383.61199999999997</v>
      </c>
      <c r="T21" s="100">
        <f t="shared" si="8"/>
        <v>435.62600000000003</v>
      </c>
      <c r="U21" s="15">
        <f>SUM(U22:U27)</f>
        <v>494.36999999999995</v>
      </c>
      <c r="V21" s="15">
        <f>SUM(V22:V27)</f>
        <v>540.35299999999995</v>
      </c>
    </row>
    <row r="22" spans="1:22" ht="15.75">
      <c r="A22" s="10" t="s">
        <v>44</v>
      </c>
      <c r="B22" s="29">
        <f t="shared" ref="B22:I22" si="9">(B21/B20)</f>
        <v>0.41952001005214523</v>
      </c>
      <c r="C22" s="29">
        <f t="shared" si="9"/>
        <v>0.41429690560125293</v>
      </c>
      <c r="D22" s="29">
        <f t="shared" si="9"/>
        <v>0.23753692481042737</v>
      </c>
      <c r="E22" s="29">
        <f t="shared" si="9"/>
        <v>0.20475634178905225</v>
      </c>
      <c r="F22" s="29">
        <f t="shared" si="9"/>
        <v>0.21146065279965237</v>
      </c>
      <c r="G22" s="29">
        <f t="shared" si="9"/>
        <v>0.26213209184881242</v>
      </c>
      <c r="H22" s="29">
        <f t="shared" si="9"/>
        <v>0.25274725274725274</v>
      </c>
      <c r="I22" s="29">
        <f t="shared" si="9"/>
        <v>0.27445117633173327</v>
      </c>
      <c r="J22" s="110">
        <f>(J21/J20)</f>
        <v>0.24836033502881419</v>
      </c>
      <c r="K22" s="29">
        <f>(K21/K20)</f>
        <v>0.25050709939148086</v>
      </c>
      <c r="M22" s="7" t="s">
        <v>45</v>
      </c>
      <c r="N22" s="8">
        <v>39.889000000000003</v>
      </c>
      <c r="O22" s="9">
        <v>40.674999999999997</v>
      </c>
      <c r="P22" s="8">
        <v>42.941000000000003</v>
      </c>
      <c r="Q22" s="8">
        <v>29.167999999999999</v>
      </c>
      <c r="R22" s="8">
        <v>29.966999999999999</v>
      </c>
      <c r="S22" s="8">
        <v>29.891999999999999</v>
      </c>
      <c r="T22" s="99">
        <v>47.12</v>
      </c>
      <c r="U22" s="8">
        <v>53.789000000000001</v>
      </c>
      <c r="V22" s="131">
        <v>41.7</v>
      </c>
    </row>
    <row r="23" spans="1:22" ht="15.75">
      <c r="A23" s="14" t="s">
        <v>46</v>
      </c>
      <c r="B23" s="15">
        <f>(B20-B21)</f>
        <v>18.479000000000021</v>
      </c>
      <c r="C23" s="15">
        <f>(C20-C21)</f>
        <v>14.95300000000003</v>
      </c>
      <c r="D23" s="15">
        <f>(D20-D21)</f>
        <v>25.036999999999981</v>
      </c>
      <c r="E23" s="15">
        <f>(E20-E21)</f>
        <v>47.650999999999947</v>
      </c>
      <c r="F23" s="15">
        <f>(F20-F21)</f>
        <v>116.15500000000003</v>
      </c>
      <c r="G23" s="15">
        <v>46.755000000000003</v>
      </c>
      <c r="H23" s="15">
        <v>68</v>
      </c>
      <c r="I23" s="15">
        <f>(I20-I21)</f>
        <v>92.210000000000093</v>
      </c>
      <c r="J23" s="100">
        <f>(J20-J21)</f>
        <v>113.3420000000001</v>
      </c>
      <c r="K23" s="15">
        <f>(K20-K21)</f>
        <v>73.899999999999949</v>
      </c>
      <c r="M23" s="7" t="s">
        <v>47</v>
      </c>
      <c r="N23" s="8">
        <v>81.125</v>
      </c>
      <c r="O23" s="9">
        <v>87.245999999999995</v>
      </c>
      <c r="P23" s="8">
        <v>85.197000000000003</v>
      </c>
      <c r="Q23" s="8">
        <v>123.684</v>
      </c>
      <c r="R23" s="8">
        <v>124.514</v>
      </c>
      <c r="S23" s="8">
        <v>141.387</v>
      </c>
      <c r="T23" s="99">
        <v>184.67</v>
      </c>
      <c r="U23" s="8">
        <v>169.68899999999999</v>
      </c>
      <c r="V23" s="131">
        <v>170.7</v>
      </c>
    </row>
    <row r="24" spans="1:22" ht="15.75">
      <c r="A24" s="14" t="s">
        <v>48</v>
      </c>
      <c r="B24" s="30">
        <f t="shared" ref="B24:I24" si="10">B23/B4</f>
        <v>3.7893126577684129E-2</v>
      </c>
      <c r="C24" s="30">
        <f t="shared" si="10"/>
        <v>3.5286149838117509E-2</v>
      </c>
      <c r="D24" s="30">
        <f t="shared" si="10"/>
        <v>5.4048394652367125E-2</v>
      </c>
      <c r="E24" s="30">
        <f t="shared" si="10"/>
        <v>8.532159208719263E-2</v>
      </c>
      <c r="F24" s="30">
        <f t="shared" si="10"/>
        <v>0.19119755462023039</v>
      </c>
      <c r="G24" s="30">
        <f t="shared" si="10"/>
        <v>0.12959349413219065</v>
      </c>
      <c r="H24" s="30">
        <v>0.1283</v>
      </c>
      <c r="I24" s="30">
        <f t="shared" si="10"/>
        <v>0.12282547886085741</v>
      </c>
      <c r="J24" s="111">
        <f>J23/J4</f>
        <v>0.11837432949551335</v>
      </c>
      <c r="K24" s="30">
        <f>K23/K4</f>
        <v>0.15137238836542391</v>
      </c>
      <c r="M24" s="7" t="s">
        <v>49</v>
      </c>
      <c r="N24" s="8">
        <v>0.184</v>
      </c>
      <c r="O24" s="9">
        <v>0.63800000000000001</v>
      </c>
      <c r="P24" s="9">
        <v>0.30599999999999999</v>
      </c>
      <c r="Q24" s="9">
        <v>73.792000000000002</v>
      </c>
      <c r="R24" s="9">
        <v>211.63800000000001</v>
      </c>
      <c r="S24" s="9">
        <v>179.107</v>
      </c>
      <c r="T24" s="98">
        <v>162.06</v>
      </c>
      <c r="U24" s="9">
        <v>222.43</v>
      </c>
      <c r="V24" s="131">
        <v>298.5</v>
      </c>
    </row>
    <row r="25" spans="1:22" ht="15.75">
      <c r="A25" s="7" t="s">
        <v>50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112">
        <v>0</v>
      </c>
      <c r="K25" s="31"/>
      <c r="M25" s="7" t="s">
        <v>51</v>
      </c>
      <c r="N25" s="8">
        <v>6.1340000000000003</v>
      </c>
      <c r="O25" s="9">
        <v>6.8840000000000003</v>
      </c>
      <c r="P25" s="8">
        <v>6.1050000000000004</v>
      </c>
      <c r="Q25" s="8">
        <v>6.2270000000000003</v>
      </c>
      <c r="R25" s="8">
        <v>9.2409999999999997</v>
      </c>
      <c r="S25" s="8">
        <v>0.254</v>
      </c>
      <c r="T25" s="99">
        <v>0.502</v>
      </c>
      <c r="U25" s="8">
        <v>0.76500000000000001</v>
      </c>
      <c r="V25" s="134">
        <v>0.35299999999999998</v>
      </c>
    </row>
    <row r="26" spans="1:22" ht="15.75">
      <c r="A26" s="7" t="s">
        <v>52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112">
        <v>0</v>
      </c>
      <c r="K26" s="31">
        <v>0</v>
      </c>
      <c r="M26" s="7" t="s">
        <v>108</v>
      </c>
      <c r="N26" s="8">
        <v>8.49</v>
      </c>
      <c r="O26" s="9">
        <v>5.5229999999999997</v>
      </c>
      <c r="P26" s="8">
        <v>7.2919999999999998</v>
      </c>
      <c r="Q26" s="8">
        <v>9.3140000000000001</v>
      </c>
      <c r="R26" s="8">
        <v>36.494999999999997</v>
      </c>
      <c r="S26" s="8">
        <v>32.972000000000001</v>
      </c>
      <c r="T26" s="99">
        <v>32.200000000000003</v>
      </c>
      <c r="U26" s="8">
        <v>41.381</v>
      </c>
      <c r="V26" s="131">
        <v>22.6</v>
      </c>
    </row>
    <row r="27" spans="1:22" ht="15.75">
      <c r="A27" s="14" t="s">
        <v>54</v>
      </c>
      <c r="B27" s="15">
        <f>(B23-B25+B26)</f>
        <v>18.479000000000021</v>
      </c>
      <c r="C27" s="15">
        <f>(C23-C25+C26)</f>
        <v>14.95300000000003</v>
      </c>
      <c r="D27" s="15">
        <f>(D23-D25+D26)</f>
        <v>25.036999999999981</v>
      </c>
      <c r="E27" s="15">
        <f>(E23-E25+E26)</f>
        <v>47.650999999999947</v>
      </c>
      <c r="F27" s="15">
        <f>(F23-F25+F26)</f>
        <v>116.15500000000003</v>
      </c>
      <c r="G27" s="15">
        <v>46.755000000000003</v>
      </c>
      <c r="H27" s="15">
        <v>68</v>
      </c>
      <c r="I27" s="15">
        <f>(I23-I25+I26)</f>
        <v>92.210000000000093</v>
      </c>
      <c r="J27" s="100">
        <f>(J23-J25+J26)</f>
        <v>113.3420000000001</v>
      </c>
      <c r="K27" s="15">
        <f>(K23-K25+K26)</f>
        <v>73.899999999999949</v>
      </c>
      <c r="M27" s="7" t="s">
        <v>53</v>
      </c>
      <c r="N27" s="8">
        <v>0</v>
      </c>
      <c r="O27" s="9">
        <v>0</v>
      </c>
      <c r="P27" s="8">
        <v>0</v>
      </c>
      <c r="Q27" s="8">
        <v>0</v>
      </c>
      <c r="R27" s="8">
        <v>0</v>
      </c>
      <c r="S27" s="8"/>
      <c r="T27" s="99">
        <v>9.0739999999999998</v>
      </c>
      <c r="U27" s="8">
        <v>6.3159999999999998</v>
      </c>
      <c r="V27" s="131">
        <v>6.5</v>
      </c>
    </row>
    <row r="28" spans="1:22" ht="15.75">
      <c r="A28" s="10" t="s">
        <v>13</v>
      </c>
      <c r="B28" s="11"/>
      <c r="C28" s="19">
        <f>(C27/B27-1)</f>
        <v>-0.19081119108176781</v>
      </c>
      <c r="D28" s="19">
        <f>(D27/C27-1)</f>
        <v>0.67437972313247729</v>
      </c>
      <c r="E28" s="19">
        <f>(E27/D27-1)</f>
        <v>0.90322322962016144</v>
      </c>
      <c r="F28" s="19">
        <f>(F27/E27-1)</f>
        <v>1.4376193574111804</v>
      </c>
      <c r="G28" s="12" t="s">
        <v>14</v>
      </c>
      <c r="H28" s="12" t="s">
        <v>14</v>
      </c>
      <c r="I28" s="19">
        <f>(I27/F27-1)</f>
        <v>-0.20614695880504441</v>
      </c>
      <c r="J28" s="107">
        <f>(J27/I27-1)</f>
        <v>0.22917254093916051</v>
      </c>
      <c r="K28" s="124" t="s">
        <v>14</v>
      </c>
      <c r="M28" s="14" t="s">
        <v>55</v>
      </c>
      <c r="N28" s="15">
        <f t="shared" ref="N28:T28" si="11">SUM(N29:N32)</f>
        <v>130.66999999999999</v>
      </c>
      <c r="O28" s="18">
        <f t="shared" si="11"/>
        <v>119.20899999999999</v>
      </c>
      <c r="P28" s="18">
        <f t="shared" si="11"/>
        <v>81.363</v>
      </c>
      <c r="Q28" s="18">
        <f t="shared" si="11"/>
        <v>108.441</v>
      </c>
      <c r="R28" s="18">
        <f t="shared" si="11"/>
        <v>127.313</v>
      </c>
      <c r="S28" s="18">
        <f t="shared" si="11"/>
        <v>89.486999999999995</v>
      </c>
      <c r="T28" s="101">
        <f t="shared" si="11"/>
        <v>148.56799999999998</v>
      </c>
      <c r="U28" s="18">
        <f>SUM(U29:U32)</f>
        <v>139.886</v>
      </c>
      <c r="V28" s="18">
        <f>SUM(V29:V32)</f>
        <v>132.80000000000001</v>
      </c>
    </row>
    <row r="29" spans="1:22" ht="15.75">
      <c r="A29" s="10" t="s">
        <v>56</v>
      </c>
      <c r="B29" s="11"/>
      <c r="C29" s="11"/>
      <c r="D29" s="11"/>
      <c r="E29" s="11">
        <f>(E27/B27)^(1/3)-1</f>
        <v>0.37129592220442142</v>
      </c>
      <c r="F29" s="11">
        <f>(F27/C27)^(1/3)-1</f>
        <v>0.98047725292077037</v>
      </c>
      <c r="G29" s="12" t="s">
        <v>14</v>
      </c>
      <c r="H29" s="12" t="s">
        <v>14</v>
      </c>
      <c r="I29" s="11">
        <f>(I27/D27)^(1/3)-1</f>
        <v>0.54430085145673002</v>
      </c>
      <c r="J29" s="105">
        <f>(J27/E27)^(1/3)-1</f>
        <v>0.33487198177940969</v>
      </c>
      <c r="K29" s="124" t="s">
        <v>14</v>
      </c>
      <c r="M29" s="7" t="s">
        <v>57</v>
      </c>
      <c r="N29" s="8">
        <v>77.831000000000003</v>
      </c>
      <c r="O29" s="9">
        <v>52.613</v>
      </c>
      <c r="P29" s="9">
        <v>49.317999999999998</v>
      </c>
      <c r="Q29" s="9">
        <v>62.045999999999999</v>
      </c>
      <c r="R29" s="9">
        <f>0.726+66.452</f>
        <v>67.177999999999997</v>
      </c>
      <c r="S29" s="9">
        <v>57.857999999999997</v>
      </c>
      <c r="T29" s="98">
        <v>106.61799999999999</v>
      </c>
      <c r="U29" s="9">
        <f>1.6+79.314</f>
        <v>80.913999999999987</v>
      </c>
      <c r="V29" s="131">
        <v>100.7</v>
      </c>
    </row>
    <row r="30" spans="1:22" ht="15.75">
      <c r="A30" s="2" t="s">
        <v>58</v>
      </c>
      <c r="B30" s="33">
        <v>6.84</v>
      </c>
      <c r="C30" s="34">
        <v>5.64</v>
      </c>
      <c r="D30" s="34">
        <v>5.6</v>
      </c>
      <c r="E30" s="34">
        <v>7.75</v>
      </c>
      <c r="F30" s="34">
        <v>18.87</v>
      </c>
      <c r="G30" s="34">
        <v>3.8</v>
      </c>
      <c r="H30" s="34">
        <v>5.52</v>
      </c>
      <c r="I30" s="34">
        <v>7.49</v>
      </c>
      <c r="J30" s="113">
        <v>9.2100000000000009</v>
      </c>
      <c r="K30" s="137">
        <v>5.98</v>
      </c>
      <c r="M30" s="7" t="s">
        <v>59</v>
      </c>
      <c r="N30" s="8">
        <v>0</v>
      </c>
      <c r="O30" s="9">
        <v>0</v>
      </c>
      <c r="P30" s="8">
        <v>0</v>
      </c>
      <c r="Q30" s="8">
        <v>0</v>
      </c>
      <c r="R30" s="8">
        <v>0</v>
      </c>
      <c r="S30" s="8"/>
      <c r="T30" s="99">
        <v>0</v>
      </c>
      <c r="U30" s="8">
        <v>0</v>
      </c>
      <c r="V30" s="133" t="s">
        <v>110</v>
      </c>
    </row>
    <row r="31" spans="1:22" ht="15.75">
      <c r="A31" s="10" t="s">
        <v>13</v>
      </c>
      <c r="B31" s="35"/>
      <c r="C31" s="35">
        <f>(C30/B30-1)</f>
        <v>-0.17543859649122806</v>
      </c>
      <c r="D31" s="35">
        <f>(D30/C30-1)</f>
        <v>-7.0921985815602939E-3</v>
      </c>
      <c r="E31" s="35">
        <f>(E30/D30-1)</f>
        <v>0.38392857142857162</v>
      </c>
      <c r="F31" s="35">
        <f>(F30/E30-1)</f>
        <v>1.4348387096774196</v>
      </c>
      <c r="G31" s="12" t="s">
        <v>14</v>
      </c>
      <c r="H31" s="12" t="s">
        <v>14</v>
      </c>
      <c r="I31" s="35">
        <f>(I30/F30-1)</f>
        <v>-0.60307366189719125</v>
      </c>
      <c r="J31" s="114">
        <f>(J30/I30-1)</f>
        <v>0.22963951935914562</v>
      </c>
      <c r="K31" s="124" t="s">
        <v>14</v>
      </c>
      <c r="M31" s="7" t="s">
        <v>60</v>
      </c>
      <c r="N31" s="8">
        <v>44.984000000000002</v>
      </c>
      <c r="O31" s="9">
        <v>61.295999999999999</v>
      </c>
      <c r="P31" s="8">
        <v>23.315000000000001</v>
      </c>
      <c r="Q31" s="8">
        <v>26.91</v>
      </c>
      <c r="R31" s="8">
        <v>24.65</v>
      </c>
      <c r="S31" s="8">
        <v>13.144</v>
      </c>
      <c r="T31" s="99">
        <v>7.96</v>
      </c>
      <c r="U31" s="8">
        <v>19.821999999999999</v>
      </c>
      <c r="V31" s="131">
        <v>7.4</v>
      </c>
    </row>
    <row r="32" spans="1:22" ht="15.75">
      <c r="A32" s="10" t="s">
        <v>16</v>
      </c>
      <c r="B32" s="11"/>
      <c r="C32" s="11"/>
      <c r="D32" s="11"/>
      <c r="E32" s="11">
        <f>(E30/B30)^(1/3)-1</f>
        <v>4.2513930554346269E-2</v>
      </c>
      <c r="F32" s="11">
        <f>(F30/C30)^(1/3)-1</f>
        <v>0.49565329491468035</v>
      </c>
      <c r="G32" s="12" t="s">
        <v>14</v>
      </c>
      <c r="H32" s="12" t="s">
        <v>14</v>
      </c>
      <c r="I32" s="11">
        <f>(I30/D30)^(1/3)-1</f>
        <v>0.1017877266108127</v>
      </c>
      <c r="J32" s="105">
        <f>(J30/E30)^(1/3)-1</f>
        <v>5.9219520635712675E-2</v>
      </c>
      <c r="K32" s="124" t="s">
        <v>14</v>
      </c>
      <c r="M32" s="7" t="s">
        <v>61</v>
      </c>
      <c r="N32" s="8">
        <v>7.8550000000000004</v>
      </c>
      <c r="O32" s="9">
        <v>5.3</v>
      </c>
      <c r="P32" s="8">
        <v>8.73</v>
      </c>
      <c r="Q32" s="8">
        <v>19.484999999999999</v>
      </c>
      <c r="R32" s="8">
        <v>35.484999999999999</v>
      </c>
      <c r="S32" s="8">
        <v>18.484999999999999</v>
      </c>
      <c r="T32" s="99">
        <v>33.99</v>
      </c>
      <c r="U32" s="8">
        <v>39.15</v>
      </c>
      <c r="V32" s="131">
        <v>24.7</v>
      </c>
    </row>
    <row r="33" spans="1:22" ht="15.75">
      <c r="A33" s="13"/>
      <c r="B33" s="13"/>
      <c r="C33" s="36"/>
      <c r="D33" s="36"/>
      <c r="E33" s="36"/>
      <c r="F33" s="36"/>
      <c r="G33" s="36"/>
      <c r="H33" s="36"/>
      <c r="I33" s="36"/>
      <c r="J33" s="36"/>
      <c r="K33" s="121"/>
      <c r="M33" s="14" t="s">
        <v>62</v>
      </c>
      <c r="N33" s="15">
        <f t="shared" ref="N33:S33" si="12">(N21-N28-N9)</f>
        <v>-60.106999999999985</v>
      </c>
      <c r="O33" s="15">
        <f t="shared" si="12"/>
        <v>-29.06900000000001</v>
      </c>
      <c r="P33" s="15">
        <f t="shared" si="12"/>
        <v>17.287000000000006</v>
      </c>
      <c r="Q33" s="15">
        <f t="shared" si="12"/>
        <v>133.744</v>
      </c>
      <c r="R33" s="15">
        <f t="shared" si="12"/>
        <v>252.06300000000005</v>
      </c>
      <c r="S33" s="15">
        <f t="shared" si="12"/>
        <v>294.125</v>
      </c>
      <c r="T33" s="100">
        <f>(T21-T28-T9)</f>
        <v>287.05800000000005</v>
      </c>
      <c r="U33" s="15">
        <f>(U21-U28-U9)</f>
        <v>354.48399999999992</v>
      </c>
      <c r="V33" s="15">
        <f>(V21-V28-V9)</f>
        <v>407.55299999999994</v>
      </c>
    </row>
    <row r="34" spans="1:22" ht="15.75">
      <c r="A34" s="13"/>
      <c r="B34" s="13"/>
      <c r="C34" s="36"/>
      <c r="D34" s="36"/>
      <c r="E34" s="36"/>
      <c r="F34" s="36"/>
      <c r="G34" s="36"/>
      <c r="H34" s="36"/>
      <c r="I34" s="36"/>
      <c r="J34" s="36"/>
      <c r="K34" s="121"/>
      <c r="M34" s="7" t="s">
        <v>63</v>
      </c>
      <c r="N34" s="8">
        <v>27</v>
      </c>
      <c r="O34" s="9">
        <v>32.4</v>
      </c>
      <c r="P34" s="8">
        <v>34.243000000000002</v>
      </c>
      <c r="Q34" s="8">
        <v>36.512</v>
      </c>
      <c r="R34" s="8">
        <v>34.051000000000002</v>
      </c>
      <c r="S34" s="8">
        <v>34.051000000000002</v>
      </c>
      <c r="T34" s="99">
        <v>35.479999999999997</v>
      </c>
      <c r="U34" s="8">
        <v>35</v>
      </c>
      <c r="V34" s="131">
        <v>35</v>
      </c>
    </row>
    <row r="35" spans="1:22" ht="15.75">
      <c r="A35" s="1" t="s">
        <v>64</v>
      </c>
      <c r="B35" s="13"/>
      <c r="C35" s="36"/>
      <c r="D35" s="36"/>
      <c r="E35" s="36"/>
      <c r="F35" s="36"/>
      <c r="G35" s="36"/>
      <c r="H35" s="36"/>
      <c r="I35" s="36"/>
      <c r="J35" s="36"/>
      <c r="K35" s="121"/>
      <c r="M35" s="7" t="s">
        <v>65</v>
      </c>
      <c r="N35" s="8"/>
      <c r="O35" s="9"/>
      <c r="P35" s="8"/>
      <c r="Q35" s="8"/>
      <c r="R35" s="8">
        <v>0</v>
      </c>
      <c r="S35" s="8"/>
      <c r="T35" s="99">
        <v>0</v>
      </c>
      <c r="U35" s="8">
        <v>0</v>
      </c>
      <c r="V35" s="133" t="s">
        <v>110</v>
      </c>
    </row>
    <row r="36" spans="1:22" ht="15.75">
      <c r="A36" s="37" t="s">
        <v>3</v>
      </c>
      <c r="B36" s="38" t="s">
        <v>4</v>
      </c>
      <c r="C36" s="38" t="s">
        <v>5</v>
      </c>
      <c r="D36" s="38" t="s">
        <v>6</v>
      </c>
      <c r="E36" s="38" t="s">
        <v>7</v>
      </c>
      <c r="F36" s="38" t="s">
        <v>8</v>
      </c>
      <c r="G36" s="39" t="s">
        <v>9</v>
      </c>
      <c r="H36" s="84"/>
      <c r="I36" s="38" t="s">
        <v>107</v>
      </c>
      <c r="J36" s="115" t="s">
        <v>109</v>
      </c>
      <c r="K36" s="38" t="s">
        <v>111</v>
      </c>
      <c r="M36" s="7" t="s">
        <v>66</v>
      </c>
      <c r="N36" s="8">
        <v>2.444</v>
      </c>
      <c r="O36" s="9">
        <v>0</v>
      </c>
      <c r="P36" s="8">
        <v>3.2690000000000001</v>
      </c>
      <c r="Q36" s="8">
        <v>3.8620000000000001</v>
      </c>
      <c r="R36" s="8">
        <v>3.9350000000000001</v>
      </c>
      <c r="S36" s="8">
        <v>3.5249999999999999</v>
      </c>
      <c r="T36" s="99">
        <v>4.05</v>
      </c>
      <c r="U36" s="8">
        <v>1.4</v>
      </c>
      <c r="V36" s="131">
        <v>2.5</v>
      </c>
    </row>
    <row r="37" spans="1:22" ht="15.75">
      <c r="A37" s="2" t="s">
        <v>67</v>
      </c>
      <c r="B37" s="32">
        <v>9.2949999999999999</v>
      </c>
      <c r="C37" s="32">
        <v>0.184</v>
      </c>
      <c r="D37" s="32">
        <v>0.63800000000000001</v>
      </c>
      <c r="E37" s="32">
        <v>0.30599999999999999</v>
      </c>
      <c r="F37" s="32">
        <f>E42</f>
        <v>73.792000000000002</v>
      </c>
      <c r="G37" s="32">
        <f>F42</f>
        <v>211.63900000000001</v>
      </c>
      <c r="H37" s="87"/>
      <c r="I37" s="32">
        <v>211.63</v>
      </c>
      <c r="J37" s="116">
        <v>162</v>
      </c>
      <c r="K37" s="136">
        <v>222.4</v>
      </c>
      <c r="M37" s="2"/>
      <c r="N37" s="32"/>
      <c r="O37" s="6"/>
      <c r="P37" s="6"/>
      <c r="Q37" s="6"/>
      <c r="R37" s="6"/>
      <c r="S37" s="6"/>
      <c r="T37" s="104"/>
      <c r="U37" s="6"/>
      <c r="V37" s="131"/>
    </row>
    <row r="38" spans="1:22" ht="15.75">
      <c r="A38" s="2" t="s">
        <v>68</v>
      </c>
      <c r="B38" s="32">
        <v>91.724000000000004</v>
      </c>
      <c r="C38" s="32">
        <v>43.183</v>
      </c>
      <c r="D38" s="32">
        <v>75.772000000000006</v>
      </c>
      <c r="E38" s="5">
        <v>76.912000000000006</v>
      </c>
      <c r="F38" s="5">
        <v>120.851</v>
      </c>
      <c r="G38" s="5">
        <v>21.745999999999999</v>
      </c>
      <c r="H38" s="85"/>
      <c r="I38" s="5">
        <v>76.150000000000006</v>
      </c>
      <c r="J38" s="117">
        <v>133.77000000000001</v>
      </c>
      <c r="K38" s="136">
        <v>114.9</v>
      </c>
      <c r="M38" s="14" t="s">
        <v>69</v>
      </c>
      <c r="N38" s="18">
        <f t="shared" ref="N38:S38" si="13">SUM(N15:N20)+N21</f>
        <v>560.41499999999996</v>
      </c>
      <c r="O38" s="18">
        <f t="shared" si="13"/>
        <v>538.83900000000006</v>
      </c>
      <c r="P38" s="18">
        <f t="shared" si="13"/>
        <v>512.67399999999998</v>
      </c>
      <c r="Q38" s="18">
        <f t="shared" si="13"/>
        <v>601.15200000000004</v>
      </c>
      <c r="R38" s="18">
        <f t="shared" si="13"/>
        <v>763.84100000000012</v>
      </c>
      <c r="S38" s="18">
        <f t="shared" si="13"/>
        <v>735.58299999999997</v>
      </c>
      <c r="T38" s="101">
        <f>SUM(T15:T20)+T21</f>
        <v>786.8850000000001</v>
      </c>
      <c r="U38" s="18">
        <f>SUM(U15:U20)+U21</f>
        <v>888.67799999999988</v>
      </c>
      <c r="V38" s="18">
        <f>SUM(V15:V20)+V21</f>
        <v>956.15300000000002</v>
      </c>
    </row>
    <row r="39" spans="1:22" ht="15.75">
      <c r="A39" s="7" t="s">
        <v>70</v>
      </c>
      <c r="B39" s="8">
        <v>-17.001999999999999</v>
      </c>
      <c r="C39" s="8">
        <v>-5.9880000000000004</v>
      </c>
      <c r="D39" s="8">
        <v>-2.5430000000000001</v>
      </c>
      <c r="E39" s="8">
        <v>-14.571999999999999</v>
      </c>
      <c r="F39" s="8">
        <v>0.50700000000000001</v>
      </c>
      <c r="G39" s="8">
        <v>-15.366</v>
      </c>
      <c r="H39" s="86"/>
      <c r="I39" s="8">
        <v>-30.18</v>
      </c>
      <c r="J39" s="99">
        <v>-73.38</v>
      </c>
      <c r="K39" s="130">
        <v>-38.799999999999997</v>
      </c>
      <c r="M39" s="14" t="s">
        <v>71</v>
      </c>
      <c r="N39" s="18">
        <f t="shared" ref="N39:S39" si="14">N36+N28+N10+N6+N34+N35+N37</f>
        <v>560.41399999999999</v>
      </c>
      <c r="O39" s="18">
        <f t="shared" si="14"/>
        <v>537.97500000000002</v>
      </c>
      <c r="P39" s="18">
        <f t="shared" si="14"/>
        <v>512.65499999999997</v>
      </c>
      <c r="Q39" s="18">
        <f t="shared" si="14"/>
        <v>601.15100000000007</v>
      </c>
      <c r="R39" s="18">
        <f t="shared" si="14"/>
        <v>763.84100000000001</v>
      </c>
      <c r="S39" s="18">
        <f t="shared" si="14"/>
        <v>735.58300000000008</v>
      </c>
      <c r="T39" s="101">
        <f>T36+T28+T10+T6+T34+T35+T37</f>
        <v>786.88800000000015</v>
      </c>
      <c r="U39" s="18">
        <f>U36+U28+U10+U6+U34+U35+U37</f>
        <v>888.6690000000001</v>
      </c>
      <c r="V39" s="18">
        <f>V6+V28+V34+V36</f>
        <v>956.2</v>
      </c>
    </row>
    <row r="40" spans="1:22" ht="15.75">
      <c r="A40" s="7" t="s">
        <v>72</v>
      </c>
      <c r="B40" s="8">
        <v>-83.831999999999994</v>
      </c>
      <c r="C40" s="8">
        <v>-36.741</v>
      </c>
      <c r="D40" s="8">
        <v>-73.56</v>
      </c>
      <c r="E40" s="8">
        <v>11.146000000000001</v>
      </c>
      <c r="F40" s="8">
        <v>16.489000000000001</v>
      </c>
      <c r="G40" s="8">
        <v>-38.911999999999999</v>
      </c>
      <c r="H40" s="86"/>
      <c r="I40" s="8">
        <v>-95.5</v>
      </c>
      <c r="J40" s="99">
        <v>-0.04</v>
      </c>
      <c r="K40" s="130">
        <v>0</v>
      </c>
      <c r="M40" s="20"/>
      <c r="N40" s="20"/>
      <c r="O40" s="21"/>
      <c r="P40" s="20"/>
      <c r="Q40" s="20"/>
      <c r="R40" s="40"/>
      <c r="S40" s="40"/>
      <c r="T40" s="40"/>
    </row>
    <row r="41" spans="1:22" ht="15.75">
      <c r="A41" s="41" t="s">
        <v>73</v>
      </c>
      <c r="B41" s="5">
        <f t="shared" ref="B41:I41" si="15">SUM(B38:B40)</f>
        <v>-9.1099999999999852</v>
      </c>
      <c r="C41" s="5">
        <f t="shared" si="15"/>
        <v>0.45400000000000063</v>
      </c>
      <c r="D41" s="5">
        <f t="shared" si="15"/>
        <v>-0.33100000000000307</v>
      </c>
      <c r="E41" s="5">
        <f t="shared" si="15"/>
        <v>73.486000000000004</v>
      </c>
      <c r="F41" s="5">
        <f t="shared" si="15"/>
        <v>137.84700000000001</v>
      </c>
      <c r="G41" s="5">
        <f t="shared" si="15"/>
        <v>-32.531999999999996</v>
      </c>
      <c r="H41" s="85"/>
      <c r="I41" s="5">
        <f t="shared" si="15"/>
        <v>-49.529999999999994</v>
      </c>
      <c r="J41" s="117">
        <f>SUM(J38:J40)</f>
        <v>60.350000000000016</v>
      </c>
      <c r="K41" s="136">
        <v>76.099999999999994</v>
      </c>
      <c r="M41" s="2" t="s">
        <v>74</v>
      </c>
      <c r="N41" s="7"/>
      <c r="O41" s="7"/>
      <c r="P41" s="7"/>
      <c r="Q41" s="7"/>
      <c r="R41" s="7"/>
      <c r="S41" s="7"/>
      <c r="T41" s="7"/>
      <c r="U41" s="7"/>
      <c r="V41" s="7"/>
    </row>
    <row r="42" spans="1:22" ht="15.75">
      <c r="A42" s="41" t="s">
        <v>75</v>
      </c>
      <c r="B42" s="15">
        <f t="shared" ref="B42:I42" si="16">+B37+B41</f>
        <v>0.18500000000001471</v>
      </c>
      <c r="C42" s="15">
        <f t="shared" si="16"/>
        <v>0.63800000000000057</v>
      </c>
      <c r="D42" s="15">
        <f t="shared" si="16"/>
        <v>0.30699999999999694</v>
      </c>
      <c r="E42" s="15">
        <f t="shared" si="16"/>
        <v>73.792000000000002</v>
      </c>
      <c r="F42" s="15">
        <f t="shared" si="16"/>
        <v>211.63900000000001</v>
      </c>
      <c r="G42" s="15">
        <f t="shared" si="16"/>
        <v>179.10700000000003</v>
      </c>
      <c r="H42" s="83"/>
      <c r="I42" s="15">
        <f t="shared" si="16"/>
        <v>162.1</v>
      </c>
      <c r="J42" s="100">
        <f>+J37+J41</f>
        <v>222.35000000000002</v>
      </c>
      <c r="K42" s="15">
        <f>+K37+K41</f>
        <v>298.5</v>
      </c>
      <c r="M42" s="37" t="s">
        <v>76</v>
      </c>
      <c r="N42" s="38" t="s">
        <v>4</v>
      </c>
      <c r="O42" s="42" t="s">
        <v>5</v>
      </c>
      <c r="P42" s="39" t="s">
        <v>6</v>
      </c>
      <c r="Q42" s="39" t="s">
        <v>7</v>
      </c>
      <c r="R42" s="39" t="s">
        <v>8</v>
      </c>
      <c r="S42" s="39" t="s">
        <v>9</v>
      </c>
      <c r="T42" s="39" t="s">
        <v>107</v>
      </c>
      <c r="U42" s="39" t="s">
        <v>109</v>
      </c>
      <c r="V42" s="39" t="s">
        <v>111</v>
      </c>
    </row>
    <row r="43" spans="1:22" ht="15.75">
      <c r="A43" s="13"/>
      <c r="B43" s="13"/>
      <c r="C43" s="36"/>
      <c r="D43" s="36"/>
      <c r="E43" s="36"/>
      <c r="F43" s="36"/>
      <c r="G43" s="36"/>
      <c r="H43" s="36"/>
      <c r="I43" s="36"/>
      <c r="J43" s="13"/>
      <c r="K43" s="7"/>
      <c r="M43" s="43" t="s">
        <v>77</v>
      </c>
      <c r="N43" s="44"/>
      <c r="O43" s="45"/>
      <c r="P43" s="46">
        <v>48</v>
      </c>
      <c r="Q43" s="46">
        <v>31.5</v>
      </c>
      <c r="R43" s="46">
        <v>123.8</v>
      </c>
      <c r="S43" s="46">
        <v>124.8</v>
      </c>
      <c r="T43" s="46">
        <v>159.75</v>
      </c>
      <c r="U43" s="46">
        <v>140</v>
      </c>
      <c r="V43" s="135">
        <v>211</v>
      </c>
    </row>
    <row r="44" spans="1:22" ht="15.75">
      <c r="A44" s="88" t="s">
        <v>78</v>
      </c>
      <c r="B44" s="39" t="s">
        <v>4</v>
      </c>
      <c r="C44" s="39" t="s">
        <v>5</v>
      </c>
      <c r="D44" s="39" t="s">
        <v>6</v>
      </c>
      <c r="E44" s="39" t="s">
        <v>7</v>
      </c>
      <c r="F44" s="39" t="s">
        <v>8</v>
      </c>
      <c r="G44" s="39" t="s">
        <v>9</v>
      </c>
      <c r="H44" s="39"/>
      <c r="I44" s="39" t="s">
        <v>107</v>
      </c>
      <c r="J44" s="42" t="s">
        <v>109</v>
      </c>
      <c r="K44" s="39"/>
      <c r="M44" s="47" t="s">
        <v>79</v>
      </c>
      <c r="N44" s="48">
        <f t="shared" ref="N44:S44" si="17">B30</f>
        <v>6.84</v>
      </c>
      <c r="O44" s="49">
        <f t="shared" si="17"/>
        <v>5.64</v>
      </c>
      <c r="P44" s="50">
        <f t="shared" si="17"/>
        <v>5.6</v>
      </c>
      <c r="Q44" s="50">
        <f t="shared" si="17"/>
        <v>7.75</v>
      </c>
      <c r="R44" s="50">
        <f t="shared" si="17"/>
        <v>18.87</v>
      </c>
      <c r="S44" s="50">
        <f t="shared" si="17"/>
        <v>3.8</v>
      </c>
      <c r="T44" s="50">
        <f>I30</f>
        <v>7.49</v>
      </c>
      <c r="U44" s="50">
        <f>J30</f>
        <v>9.2100000000000009</v>
      </c>
      <c r="V44" s="50">
        <v>10.3</v>
      </c>
    </row>
    <row r="45" spans="1:22" ht="15.75">
      <c r="A45" s="2" t="s">
        <v>85</v>
      </c>
      <c r="B45" s="15">
        <f t="shared" ref="B45:G45" si="18">B38</f>
        <v>91.724000000000004</v>
      </c>
      <c r="C45" s="15">
        <f t="shared" si="18"/>
        <v>43.183</v>
      </c>
      <c r="D45" s="15">
        <f t="shared" si="18"/>
        <v>75.772000000000006</v>
      </c>
      <c r="E45" s="15">
        <f t="shared" si="18"/>
        <v>76.912000000000006</v>
      </c>
      <c r="F45" s="15">
        <f t="shared" si="18"/>
        <v>120.851</v>
      </c>
      <c r="G45" s="15">
        <f t="shared" si="18"/>
        <v>21.745999999999999</v>
      </c>
      <c r="H45" s="83"/>
      <c r="I45" s="15">
        <f>I38</f>
        <v>76.150000000000006</v>
      </c>
      <c r="J45" s="100">
        <f>J38</f>
        <v>133.77000000000001</v>
      </c>
      <c r="K45" s="15">
        <f>K38</f>
        <v>114.9</v>
      </c>
      <c r="M45" s="53" t="s">
        <v>80</v>
      </c>
      <c r="N45" s="54" t="s">
        <v>14</v>
      </c>
      <c r="O45" s="55" t="s">
        <v>14</v>
      </c>
      <c r="P45" s="54">
        <f>P6/D50</f>
        <v>47.183679387183822</v>
      </c>
      <c r="Q45" s="54">
        <f>Q6/E50</f>
        <v>66.014955663865237</v>
      </c>
      <c r="R45" s="54">
        <f>R6/F50</f>
        <v>84.869637752794958</v>
      </c>
      <c r="S45" s="54">
        <f>S6/G50</f>
        <v>46.234687478768173</v>
      </c>
      <c r="T45" s="54">
        <f>T6/I50</f>
        <v>48.66377193116481</v>
      </c>
      <c r="U45" s="54">
        <f>U6/J50</f>
        <v>57.895490943779983</v>
      </c>
      <c r="V45" s="54">
        <f>V6/K50</f>
        <v>63.87023557624947</v>
      </c>
    </row>
    <row r="46" spans="1:22" ht="15.75">
      <c r="A46" s="7" t="s">
        <v>87</v>
      </c>
      <c r="B46" s="51">
        <v>-18.099</v>
      </c>
      <c r="C46" s="52">
        <v>6.3890000000000002</v>
      </c>
      <c r="D46" s="52">
        <v>3.43</v>
      </c>
      <c r="E46" s="52">
        <f>-15.587+0.25</f>
        <v>-15.337</v>
      </c>
      <c r="F46" s="52">
        <f>-50.491+49.206</f>
        <v>-1.2849999999999966</v>
      </c>
      <c r="G46" s="52">
        <v>-16.016999999999999</v>
      </c>
      <c r="H46" s="79"/>
      <c r="I46" s="52">
        <v>-32.03</v>
      </c>
      <c r="J46" s="118">
        <v>-76.33</v>
      </c>
      <c r="K46" s="52">
        <v>-39.4</v>
      </c>
      <c r="M46" s="28" t="s">
        <v>81</v>
      </c>
      <c r="N46" s="56">
        <v>0</v>
      </c>
      <c r="O46" s="57">
        <v>0</v>
      </c>
      <c r="P46" s="58">
        <v>0</v>
      </c>
      <c r="Q46" s="58">
        <f>1.25+1.25</f>
        <v>2.5</v>
      </c>
      <c r="R46" s="58">
        <v>0</v>
      </c>
      <c r="S46" s="58"/>
      <c r="T46" s="93">
        <v>0</v>
      </c>
      <c r="U46" s="93">
        <v>0</v>
      </c>
      <c r="V46" s="126"/>
    </row>
    <row r="47" spans="1:22" ht="15.75">
      <c r="A47" s="14" t="s">
        <v>89</v>
      </c>
      <c r="B47" s="15">
        <f>SUM(B45:B46)</f>
        <v>73.625</v>
      </c>
      <c r="C47" s="18">
        <f>SUM(C45:C46)</f>
        <v>49.572000000000003</v>
      </c>
      <c r="D47" s="18">
        <f>SUM(D45:D46)</f>
        <v>79.202000000000012</v>
      </c>
      <c r="E47" s="18">
        <f>E45+E46</f>
        <v>61.575000000000003</v>
      </c>
      <c r="F47" s="18">
        <f>F45+F46</f>
        <v>119.566</v>
      </c>
      <c r="G47" s="18">
        <f>G45+G46</f>
        <v>5.7289999999999992</v>
      </c>
      <c r="H47" s="78"/>
      <c r="I47" s="18">
        <f>I45+I46</f>
        <v>44.120000000000005</v>
      </c>
      <c r="J47" s="101">
        <f>J45+J46</f>
        <v>57.440000000000012</v>
      </c>
      <c r="K47" s="18">
        <f>K45+K46</f>
        <v>75.5</v>
      </c>
      <c r="M47" s="28" t="s">
        <v>82</v>
      </c>
      <c r="N47" s="54">
        <f t="shared" ref="N47:U47" si="19">(N43/N44)</f>
        <v>0</v>
      </c>
      <c r="O47" s="55">
        <f t="shared" si="19"/>
        <v>0</v>
      </c>
      <c r="P47" s="54">
        <f t="shared" si="19"/>
        <v>8.5714285714285712</v>
      </c>
      <c r="Q47" s="54">
        <f t="shared" si="19"/>
        <v>4.064516129032258</v>
      </c>
      <c r="R47" s="54">
        <f t="shared" si="19"/>
        <v>6.5606783253842069</v>
      </c>
      <c r="S47" s="54">
        <f t="shared" si="19"/>
        <v>32.842105263157897</v>
      </c>
      <c r="T47" s="54">
        <f t="shared" si="19"/>
        <v>21.328437917222963</v>
      </c>
      <c r="U47" s="54">
        <f t="shared" si="19"/>
        <v>15.200868621064059</v>
      </c>
      <c r="V47" s="54">
        <f>(V43/V44)</f>
        <v>20.485436893203882</v>
      </c>
    </row>
    <row r="48" spans="1:22" ht="15.75">
      <c r="A48" s="13" t="s">
        <v>0</v>
      </c>
      <c r="B48" s="13"/>
      <c r="C48" s="36"/>
      <c r="D48" s="36"/>
      <c r="E48" s="36"/>
      <c r="F48" s="36"/>
      <c r="G48" s="36"/>
      <c r="H48" s="36"/>
      <c r="I48" s="36"/>
      <c r="J48" s="13"/>
      <c r="K48" s="7"/>
      <c r="M48" s="28" t="s">
        <v>83</v>
      </c>
      <c r="N48" s="54" t="s">
        <v>14</v>
      </c>
      <c r="O48" s="55" t="s">
        <v>14</v>
      </c>
      <c r="P48" s="54">
        <f t="shared" ref="P48:U48" si="20">(P43/P45)</f>
        <v>1.0173009104719779</v>
      </c>
      <c r="Q48" s="54">
        <f t="shared" si="20"/>
        <v>0.47716460131233912</v>
      </c>
      <c r="R48" s="54">
        <f t="shared" si="20"/>
        <v>1.4587077696808359</v>
      </c>
      <c r="S48" s="54">
        <f t="shared" si="20"/>
        <v>2.6992720575284621</v>
      </c>
      <c r="T48" s="54">
        <f t="shared" si="20"/>
        <v>3.2827295061707775</v>
      </c>
      <c r="U48" s="54">
        <f t="shared" si="20"/>
        <v>2.4181503208246125</v>
      </c>
      <c r="V48" s="54">
        <f>(V43/V45)</f>
        <v>3.3035732230563686</v>
      </c>
    </row>
    <row r="49" spans="1:22" ht="15.75">
      <c r="A49" s="7" t="s">
        <v>92</v>
      </c>
      <c r="B49" s="72"/>
      <c r="C49" s="66"/>
      <c r="D49" s="66">
        <v>6152318</v>
      </c>
      <c r="E49" s="66">
        <v>6152318</v>
      </c>
      <c r="F49" s="66">
        <v>6152318</v>
      </c>
      <c r="G49" s="66">
        <f>F49*2</f>
        <v>12304636</v>
      </c>
      <c r="H49" s="82"/>
      <c r="I49" s="92">
        <v>12304636</v>
      </c>
      <c r="J49" s="119">
        <v>12304637</v>
      </c>
      <c r="K49" s="92">
        <v>12304636</v>
      </c>
      <c r="M49" s="28" t="s">
        <v>84</v>
      </c>
      <c r="N49" s="59">
        <f t="shared" ref="N49:S49" si="21">B54/B12</f>
        <v>0</v>
      </c>
      <c r="O49" s="60">
        <f t="shared" si="21"/>
        <v>0</v>
      </c>
      <c r="P49" s="61">
        <f t="shared" si="21"/>
        <v>4.8626755826723622</v>
      </c>
      <c r="Q49" s="61">
        <f t="shared" si="21"/>
        <v>1.7589219477605633</v>
      </c>
      <c r="R49" s="61">
        <f t="shared" si="21"/>
        <v>3.9119457962018118</v>
      </c>
      <c r="S49" s="61">
        <f t="shared" si="21"/>
        <v>17.08306503193598</v>
      </c>
      <c r="T49" s="61">
        <f>I54/I12</f>
        <v>11.089557310624688</v>
      </c>
      <c r="U49" s="61">
        <f>J54/(J12+45)</f>
        <v>6.6067413266159907</v>
      </c>
      <c r="V49" s="61">
        <f>K54/(K12+85)</f>
        <v>11.483149405297354</v>
      </c>
    </row>
    <row r="50" spans="1:22" ht="15.75">
      <c r="A50" s="7" t="s">
        <v>94</v>
      </c>
      <c r="B50" s="66"/>
      <c r="C50" s="66"/>
      <c r="D50" s="26">
        <f>D49/10^6</f>
        <v>6.1523180000000002</v>
      </c>
      <c r="E50" s="26">
        <f>E49/10^6</f>
        <v>6.1523180000000002</v>
      </c>
      <c r="F50" s="26">
        <f>F49/10^6</f>
        <v>6.1523180000000002</v>
      </c>
      <c r="G50" s="26">
        <f>G49/10^6</f>
        <v>12.304636</v>
      </c>
      <c r="H50" s="81"/>
      <c r="I50" s="26">
        <f>I49/10^6</f>
        <v>12.304636</v>
      </c>
      <c r="J50" s="109">
        <f>J49/10^6</f>
        <v>12.304637</v>
      </c>
      <c r="K50" s="26">
        <f>K49/10^6</f>
        <v>12.304636</v>
      </c>
      <c r="M50" s="62" t="s">
        <v>86</v>
      </c>
      <c r="N50" s="63">
        <f t="shared" ref="N50:S50" si="22">(B23/N6)</f>
        <v>9.6227751335701078E-2</v>
      </c>
      <c r="O50" s="64">
        <f t="shared" si="22"/>
        <v>7.1327036825033538E-2</v>
      </c>
      <c r="P50" s="65">
        <f t="shared" si="22"/>
        <v>8.6248531635714693E-2</v>
      </c>
      <c r="Q50" s="65">
        <f t="shared" si="22"/>
        <v>0.11732509325487188</v>
      </c>
      <c r="R50" s="65">
        <f t="shared" si="22"/>
        <v>0.22245736337607375</v>
      </c>
      <c r="S50" s="65">
        <f t="shared" si="22"/>
        <v>8.2184773800713998E-2</v>
      </c>
      <c r="T50" s="65">
        <f>(I23/T6)</f>
        <v>0.15399388767347497</v>
      </c>
      <c r="U50" s="65">
        <f>(J23/U6)</f>
        <v>0.15910261755263685</v>
      </c>
      <c r="V50" s="65">
        <f>(K23/V6)</f>
        <v>9.4032319633541098E-2</v>
      </c>
    </row>
    <row r="51" spans="1:22" ht="15.75">
      <c r="A51" s="7" t="s">
        <v>96</v>
      </c>
      <c r="B51" s="51"/>
      <c r="C51" s="51"/>
      <c r="D51" s="51">
        <f>D50*P43</f>
        <v>295.31126399999999</v>
      </c>
      <c r="E51" s="51">
        <f>E50*Q43</f>
        <v>193.79801700000002</v>
      </c>
      <c r="F51" s="51">
        <f>F50*R43</f>
        <v>761.65696839999998</v>
      </c>
      <c r="G51" s="51">
        <f>G50*S43</f>
        <v>1535.6185728</v>
      </c>
      <c r="H51" s="80"/>
      <c r="I51" s="51">
        <f>I50*T43</f>
        <v>1965.6656010000002</v>
      </c>
      <c r="J51" s="120">
        <f>J50*U43</f>
        <v>1722.6491799999999</v>
      </c>
      <c r="K51" s="51">
        <f>K50*V43</f>
        <v>2596.2781960000002</v>
      </c>
      <c r="M51" s="62" t="s">
        <v>88</v>
      </c>
      <c r="N51" s="63">
        <f t="shared" ref="N51:S51" si="23">(B12-B17)/N11</f>
        <v>0.15477180130869589</v>
      </c>
      <c r="O51" s="64">
        <f t="shared" si="23"/>
        <v>0.13168723161385018</v>
      </c>
      <c r="P51" s="65">
        <f t="shared" si="23"/>
        <v>0.13290354830314785</v>
      </c>
      <c r="Q51" s="65">
        <f t="shared" si="23"/>
        <v>0.13572486858395394</v>
      </c>
      <c r="R51" s="65">
        <f t="shared" si="23"/>
        <v>0.21841771114595013</v>
      </c>
      <c r="S51" s="65">
        <f t="shared" si="23"/>
        <v>0.10111810009658005</v>
      </c>
      <c r="T51" s="65">
        <f>(I12-I17)/T11</f>
        <v>0.20339328236621143</v>
      </c>
      <c r="U51" s="65">
        <f>(J12-J17)/U11</f>
        <v>0.19998050169408235</v>
      </c>
      <c r="V51" s="65">
        <f>(K12-K17)/V11</f>
        <v>0.11950449356327418</v>
      </c>
    </row>
    <row r="52" spans="1:22" ht="15.75">
      <c r="A52" s="7" t="s">
        <v>98</v>
      </c>
      <c r="B52" s="51"/>
      <c r="C52" s="52"/>
      <c r="D52" s="52">
        <f>P10</f>
        <v>103.491</v>
      </c>
      <c r="E52" s="52">
        <f>Q10</f>
        <v>46.191000000000003</v>
      </c>
      <c r="F52" s="52">
        <f>R10</f>
        <v>76.396999999999991</v>
      </c>
      <c r="G52" s="52">
        <f>S10</f>
        <v>39.619</v>
      </c>
      <c r="H52" s="79"/>
      <c r="I52" s="52">
        <f>T10</f>
        <v>0</v>
      </c>
      <c r="J52" s="118">
        <f>U10</f>
        <v>0</v>
      </c>
      <c r="K52" s="52">
        <v>0</v>
      </c>
      <c r="M52" s="28" t="s">
        <v>90</v>
      </c>
      <c r="N52" s="59">
        <f t="shared" ref="N52:U52" si="24">(N10/N6)</f>
        <v>1.0845266983971591</v>
      </c>
      <c r="O52" s="60">
        <f t="shared" si="24"/>
        <v>0.84299751955733648</v>
      </c>
      <c r="P52" s="61">
        <f t="shared" si="24"/>
        <v>0.35651023635067125</v>
      </c>
      <c r="Q52" s="61">
        <f t="shared" si="24"/>
        <v>0.11373031798988045</v>
      </c>
      <c r="R52" s="61">
        <f t="shared" si="24"/>
        <v>0.14631376341820757</v>
      </c>
      <c r="S52" s="61">
        <f t="shared" si="24"/>
        <v>6.9641290839706729E-2</v>
      </c>
      <c r="T52" s="61">
        <f t="shared" si="24"/>
        <v>0</v>
      </c>
      <c r="U52" s="61">
        <f t="shared" si="24"/>
        <v>0</v>
      </c>
      <c r="V52" s="61">
        <f>(V10/V6)</f>
        <v>0</v>
      </c>
    </row>
    <row r="53" spans="1:22" ht="15.75">
      <c r="A53" s="7" t="s">
        <v>100</v>
      </c>
      <c r="B53" s="51"/>
      <c r="C53" s="52"/>
      <c r="D53" s="52">
        <f>P24</f>
        <v>0.30599999999999999</v>
      </c>
      <c r="E53" s="52">
        <f>Q24</f>
        <v>73.792000000000002</v>
      </c>
      <c r="F53" s="52">
        <f>R24</f>
        <v>211.63800000000001</v>
      </c>
      <c r="G53" s="52">
        <f>S24</f>
        <v>179.107</v>
      </c>
      <c r="H53" s="79"/>
      <c r="I53" s="52">
        <f>T24</f>
        <v>162.06</v>
      </c>
      <c r="J53" s="118">
        <f>U24</f>
        <v>222.43</v>
      </c>
      <c r="K53" s="52">
        <f>V24</f>
        <v>298.5</v>
      </c>
      <c r="M53" s="28" t="s">
        <v>91</v>
      </c>
      <c r="N53" s="59">
        <f t="shared" ref="N53:U53" si="25">(N10-N24)/N6</f>
        <v>1.0835685347386401</v>
      </c>
      <c r="O53" s="60">
        <f t="shared" si="25"/>
        <v>0.83995420721236402</v>
      </c>
      <c r="P53" s="61">
        <f t="shared" si="25"/>
        <v>0.35545611442390174</v>
      </c>
      <c r="Q53" s="61">
        <f t="shared" si="25"/>
        <v>-6.7958487732213857E-2</v>
      </c>
      <c r="R53" s="61">
        <f t="shared" si="25"/>
        <v>-0.25901042813777786</v>
      </c>
      <c r="S53" s="61">
        <f t="shared" si="25"/>
        <v>-0.24518853016605699</v>
      </c>
      <c r="T53" s="61">
        <f t="shared" si="25"/>
        <v>-0.27064580236810898</v>
      </c>
      <c r="U53" s="61">
        <f t="shared" si="25"/>
        <v>-0.31223372820519296</v>
      </c>
      <c r="V53" s="61">
        <f>(V10-V24)/V6</f>
        <v>-0.37981931543453368</v>
      </c>
    </row>
    <row r="54" spans="1:22" ht="15.75">
      <c r="A54" s="7" t="s">
        <v>102</v>
      </c>
      <c r="B54" s="15"/>
      <c r="C54" s="18"/>
      <c r="D54" s="18">
        <f>D51+D52-D53</f>
        <v>398.496264</v>
      </c>
      <c r="E54" s="18">
        <f>E51+E52-E53</f>
        <v>166.19701700000002</v>
      </c>
      <c r="F54" s="18">
        <f>F51+F52-F53</f>
        <v>626.4159684</v>
      </c>
      <c r="G54" s="18">
        <f>G51+G52-G53</f>
        <v>1396.1305728</v>
      </c>
      <c r="H54" s="78"/>
      <c r="I54" s="18">
        <f>I51+I52-I53</f>
        <v>1803.6056010000002</v>
      </c>
      <c r="J54" s="101">
        <f>J51+J52-J53</f>
        <v>1500.2191799999998</v>
      </c>
      <c r="K54" s="18">
        <f>K51+K52-K53</f>
        <v>2297.7781960000002</v>
      </c>
      <c r="M54" s="28" t="s">
        <v>93</v>
      </c>
      <c r="N54" s="67"/>
      <c r="O54" s="68"/>
      <c r="P54" s="69">
        <f t="shared" ref="P54:T54" si="26">(P46/P43)</f>
        <v>0</v>
      </c>
      <c r="Q54" s="69">
        <f t="shared" si="26"/>
        <v>7.9365079365079361E-2</v>
      </c>
      <c r="R54" s="69">
        <f t="shared" si="26"/>
        <v>0</v>
      </c>
      <c r="S54" s="69">
        <f t="shared" si="26"/>
        <v>0</v>
      </c>
      <c r="T54" s="69">
        <f t="shared" si="26"/>
        <v>0</v>
      </c>
      <c r="U54" s="69">
        <f>(U46/U43)</f>
        <v>0</v>
      </c>
      <c r="V54" s="69">
        <f>(V46/V43)</f>
        <v>0</v>
      </c>
    </row>
    <row r="55" spans="1:22" ht="15.75">
      <c r="A55" s="13"/>
      <c r="B55" s="13"/>
      <c r="C55" s="36"/>
      <c r="D55" s="36"/>
      <c r="E55" s="36"/>
      <c r="F55" s="36"/>
      <c r="G55" s="36"/>
      <c r="H55" s="36"/>
      <c r="I55" s="13"/>
      <c r="J55" s="13"/>
      <c r="K55" s="13"/>
      <c r="M55" s="28" t="s">
        <v>95</v>
      </c>
      <c r="N55" s="70">
        <f>AVERAGE(M23:N23)/B4*365</f>
        <v>60.719690522719674</v>
      </c>
      <c r="O55" s="70">
        <f>AVERAGE(N23:O23)/C4*365</f>
        <v>72.511368355971712</v>
      </c>
      <c r="P55" s="70">
        <f>AVERAGE(O23:P23)/D4*365</f>
        <v>67.937404070953491</v>
      </c>
      <c r="Q55" s="70">
        <f>AVERAGE(P23:Q23)/E4*365</f>
        <v>68.257242335094645</v>
      </c>
      <c r="R55" s="70">
        <f>AVERAGE(Q23:R23)/F4*365</f>
        <v>74.559943573223933</v>
      </c>
      <c r="S55" s="70">
        <f>(S23/G4)*365</f>
        <v>143.03999368039428</v>
      </c>
      <c r="T55" s="70">
        <f>(AVERAGE(T23,R23)/I4)*365</f>
        <v>75.160614860004785</v>
      </c>
      <c r="U55" s="70">
        <f>(AVERAGE(U23,T23)/J4)*365</f>
        <v>67.541856921444435</v>
      </c>
      <c r="V55" s="125" t="s">
        <v>14</v>
      </c>
    </row>
    <row r="56" spans="1:22" ht="15.75">
      <c r="A56" s="13"/>
      <c r="B56" s="13"/>
      <c r="C56" s="36"/>
      <c r="D56" s="36"/>
      <c r="E56" s="36"/>
      <c r="F56" s="36"/>
      <c r="G56" s="36"/>
      <c r="H56" s="36"/>
      <c r="I56" s="13"/>
      <c r="J56" s="13"/>
      <c r="K56" s="13"/>
      <c r="M56" s="28" t="s">
        <v>97</v>
      </c>
      <c r="N56" s="70">
        <f>AVERAGE(M29:N29)/B7*365</f>
        <v>70.483526816838648</v>
      </c>
      <c r="O56" s="70">
        <f>AVERAGE(N29:O29)/C7*365</f>
        <v>69.213032013094832</v>
      </c>
      <c r="P56" s="70">
        <f>AVERAGE(O29:P29)/D7*365</f>
        <v>48.788976954125935</v>
      </c>
      <c r="Q56" s="70">
        <f>AVERAGE(P29:Q29)/E7*365</f>
        <v>43.801667676007924</v>
      </c>
      <c r="R56" s="70">
        <f>AVERAGE(Q29:R29)/F7*365</f>
        <v>52.713954902276335</v>
      </c>
      <c r="S56" s="70">
        <f>(S29/G7)*365</f>
        <v>75.677175907344761</v>
      </c>
      <c r="T56" s="70">
        <f>AVERAGE(R29:T29)/I7*365</f>
        <v>47.92479170209149</v>
      </c>
      <c r="U56" s="70">
        <f>AVERAGE(T29:U29)/J7*365</f>
        <v>44.137183491657353</v>
      </c>
      <c r="V56" s="125" t="s">
        <v>14</v>
      </c>
    </row>
    <row r="57" spans="1:22" ht="15.75">
      <c r="A57" s="13"/>
      <c r="B57" s="13"/>
      <c r="C57" s="36"/>
      <c r="D57" s="36"/>
      <c r="E57" s="36"/>
      <c r="F57" s="36"/>
      <c r="G57" s="36"/>
      <c r="H57" s="36"/>
      <c r="I57" s="13"/>
      <c r="J57" s="13"/>
      <c r="K57" s="13"/>
      <c r="M57" s="28" t="s">
        <v>99</v>
      </c>
      <c r="N57" s="71">
        <f>AVERAGE(M22:N22)/B7*365</f>
        <v>36.123362171845116</v>
      </c>
      <c r="O57" s="71">
        <f>AVERAGE(N22:O22)/C7*365</f>
        <v>42.746916003058558</v>
      </c>
      <c r="P57" s="71">
        <f>AVERAGE(O22:P22)/D7*365</f>
        <v>40.022555424710781</v>
      </c>
      <c r="Q57" s="71">
        <f>AVERAGE(P22:Q22)/E7*365</f>
        <v>28.361898409263816</v>
      </c>
      <c r="R57" s="71">
        <f>AVERAGE(Q22:R22)/F7*365</f>
        <v>24.122761430896052</v>
      </c>
      <c r="S57" s="71">
        <f>(S22/G7)*365</f>
        <v>39.098173843242932</v>
      </c>
      <c r="T57" s="71">
        <f>AVERAGE(T22,R22)/I7*365</f>
        <v>23.921743751062742</v>
      </c>
      <c r="U57" s="71">
        <f>AVERAGE(T22:U22)/J7*365</f>
        <v>23.749754969603334</v>
      </c>
      <c r="V57" s="125" t="s">
        <v>14</v>
      </c>
    </row>
    <row r="58" spans="1:22" ht="15.75">
      <c r="J58" s="13"/>
      <c r="K58" s="13"/>
      <c r="M58" s="28" t="s">
        <v>101</v>
      </c>
      <c r="N58" s="71">
        <f t="shared" ref="N58:U58" si="27">(N57+N55-N56)</f>
        <v>26.359525877726142</v>
      </c>
      <c r="O58" s="71">
        <f t="shared" si="27"/>
        <v>46.045252345935438</v>
      </c>
      <c r="P58" s="71">
        <f t="shared" si="27"/>
        <v>59.170982541538329</v>
      </c>
      <c r="Q58" s="71">
        <f t="shared" si="27"/>
        <v>52.817473068350537</v>
      </c>
      <c r="R58" s="71">
        <f t="shared" si="27"/>
        <v>45.968750101843646</v>
      </c>
      <c r="S58" s="71">
        <f t="shared" si="27"/>
        <v>106.46099161629245</v>
      </c>
      <c r="T58" s="71">
        <f t="shared" si="27"/>
        <v>51.15756690897603</v>
      </c>
      <c r="U58" s="71">
        <f t="shared" si="27"/>
        <v>47.154428399390412</v>
      </c>
      <c r="V58" s="125" t="s">
        <v>14</v>
      </c>
    </row>
    <row r="59" spans="1:22" ht="15.75">
      <c r="J59" s="13"/>
      <c r="K59" s="13"/>
      <c r="M59" s="28" t="s">
        <v>103</v>
      </c>
      <c r="N59" s="71">
        <f>AVERAGE(N33:N33)/B4*365</f>
        <v>-44.988332058540657</v>
      </c>
      <c r="O59" s="73">
        <f>AVERAGE(N33:O33)/C4*365</f>
        <v>-38.404914055936786</v>
      </c>
      <c r="P59" s="71">
        <f>AVERAGE(O33:P33)/D4*365</f>
        <v>-4.6417569560027045</v>
      </c>
      <c r="Q59" s="71">
        <f>AVERAGE(P33:Q33)/E4*365</f>
        <v>49.353266056327186</v>
      </c>
      <c r="R59" s="71">
        <f>AVERAGE(Q33:R33)/F4*365</f>
        <v>115.89838818263971</v>
      </c>
      <c r="S59" s="71">
        <f>AVERAGE(R33:S33)/G4*365</f>
        <v>276.28681586110179</v>
      </c>
      <c r="T59" s="71">
        <f>AVERAGE(R33,T33)/I4*365</f>
        <v>131.05680062338493</v>
      </c>
      <c r="U59" s="71">
        <f>AVERAGE(T33,U33)/J4*365</f>
        <v>122.27977269689018</v>
      </c>
      <c r="V59" s="125" t="s">
        <v>14</v>
      </c>
    </row>
    <row r="60" spans="1:22" ht="15.75">
      <c r="J60" s="13"/>
      <c r="K60" s="13"/>
      <c r="M60" s="28" t="s">
        <v>104</v>
      </c>
      <c r="N60" s="74">
        <f t="shared" ref="N60:S60" si="28">(B12-B17)/B18</f>
        <v>2.2557581573896361</v>
      </c>
      <c r="O60" s="74">
        <f t="shared" si="28"/>
        <v>2.0774771684603195</v>
      </c>
      <c r="P60" s="74">
        <f t="shared" si="28"/>
        <v>2.6276107997962295</v>
      </c>
      <c r="Q60" s="74">
        <f t="shared" si="28"/>
        <v>8.4233530671369117</v>
      </c>
      <c r="R60" s="74">
        <f>(F12-F17)/F18</f>
        <v>20.614843750000002</v>
      </c>
      <c r="S60" s="74">
        <f t="shared" si="28"/>
        <v>24.964463125716467</v>
      </c>
      <c r="T60" s="74">
        <v>0</v>
      </c>
      <c r="U60" s="74">
        <v>0</v>
      </c>
      <c r="V60" s="74">
        <v>0</v>
      </c>
    </row>
    <row r="61" spans="1:22" ht="15.75">
      <c r="J61" s="13"/>
      <c r="K61" s="13"/>
      <c r="M61" s="75" t="s">
        <v>105</v>
      </c>
      <c r="N61" s="69">
        <f t="shared" ref="N61:S61" si="29">B18/N10</f>
        <v>0.12007720895393389</v>
      </c>
      <c r="O61" s="68">
        <f t="shared" si="29"/>
        <v>0.13197265823930832</v>
      </c>
      <c r="P61" s="69">
        <f t="shared" si="29"/>
        <v>0.18967832951657632</v>
      </c>
      <c r="Q61" s="69">
        <f t="shared" si="29"/>
        <v>0.17187330865320083</v>
      </c>
      <c r="R61" s="69">
        <f t="shared" si="29"/>
        <v>8.3772923020537474E-2</v>
      </c>
      <c r="S61" s="69">
        <f t="shared" si="29"/>
        <v>6.6054165930487893E-2</v>
      </c>
      <c r="T61" s="94" t="s">
        <v>14</v>
      </c>
      <c r="U61" s="94" t="s">
        <v>14</v>
      </c>
      <c r="V61" s="94" t="s">
        <v>14</v>
      </c>
    </row>
    <row r="62" spans="1:22" ht="15.75">
      <c r="J62" s="13"/>
      <c r="K62" s="13"/>
      <c r="M62" s="7" t="s">
        <v>106</v>
      </c>
      <c r="N62" s="76">
        <f t="shared" ref="N62:S62" si="30">+B4/N15</f>
        <v>1.1741813541365693</v>
      </c>
      <c r="O62" s="76">
        <f t="shared" si="30"/>
        <v>1.0856001024721404</v>
      </c>
      <c r="P62" s="76">
        <f t="shared" si="30"/>
        <v>1.274684240939985</v>
      </c>
      <c r="Q62" s="76">
        <f t="shared" si="30"/>
        <v>1.623688081822992</v>
      </c>
      <c r="R62" s="76">
        <f t="shared" si="30"/>
        <v>2.0312657774984033</v>
      </c>
      <c r="S62" s="76">
        <f t="shared" si="30"/>
        <v>1.049010542965638</v>
      </c>
      <c r="T62" s="76">
        <f>+I4/T15</f>
        <v>2.2013834519442512</v>
      </c>
      <c r="U62" s="76">
        <f>+J4/U15</f>
        <v>2.4902741546616176</v>
      </c>
      <c r="V62" s="142" t="s">
        <v>14</v>
      </c>
    </row>
  </sheetData>
  <mergeCells count="2">
    <mergeCell ref="A2:E2"/>
    <mergeCell ref="A1:T1"/>
  </mergeCells>
  <phoneticPr fontId="15" type="noConversion"/>
  <pageMargins left="0.70866141732283472" right="0.70866141732283472" top="0.74803149606299213" bottom="0.74803149606299213" header="0.31496062992125984" footer="0.31496062992125984"/>
  <pageSetup scale="4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"/>
  <sheetViews>
    <sheetView workbookViewId="0">
      <selection activeCell="B13" sqref="B13"/>
    </sheetView>
  </sheetViews>
  <sheetFormatPr defaultRowHeight="15"/>
  <cols>
    <col min="2" max="2" width="64.85546875" bestFit="1" customWidth="1"/>
  </cols>
  <sheetData>
    <row r="3" spans="2:3">
      <c r="B3" s="123" t="s">
        <v>112</v>
      </c>
      <c r="C3" s="123">
        <v>1.21</v>
      </c>
    </row>
    <row r="4" spans="2:3">
      <c r="B4" s="123" t="s">
        <v>113</v>
      </c>
      <c r="C4" s="123">
        <v>3.74</v>
      </c>
    </row>
    <row r="5" spans="2:3">
      <c r="B5" s="123" t="s">
        <v>114</v>
      </c>
      <c r="C5" s="123">
        <v>7.23</v>
      </c>
    </row>
    <row r="6" spans="2:3">
      <c r="B6" s="123" t="s">
        <v>115</v>
      </c>
      <c r="C6" s="123">
        <v>3.46</v>
      </c>
    </row>
    <row r="7" spans="2:3">
      <c r="B7" s="123" t="s">
        <v>116</v>
      </c>
      <c r="C7" s="123">
        <v>1.02</v>
      </c>
    </row>
    <row r="8" spans="2:3">
      <c r="B8" s="123" t="s">
        <v>117</v>
      </c>
      <c r="C8" s="123">
        <v>9.8800000000000008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Sheet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2022-07-22T03:15:56Z</cp:lastPrinted>
  <dcterms:created xsi:type="dcterms:W3CDTF">2022-05-04T03:32:34Z</dcterms:created>
  <dcterms:modified xsi:type="dcterms:W3CDTF">2023-11-29T10:55:05Z</dcterms:modified>
</cp:coreProperties>
</file>