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airchem\Collaterals\"/>
    </mc:Choice>
  </mc:AlternateContent>
  <xr:revisionPtr revIDLastSave="0" documentId="13_ncr:1_{0666D394-937B-4BEC-82D3-2B11C3A66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Ltd.'!$A$1:$T$67</definedName>
    <definedName name="_xlnm.Print_Area" localSheetId="6">'Peer analysis'!$A$1:$V$62</definedName>
    <definedName name="_xlnm.Print_Area" localSheetId="4">'Standalone New'!$A$1:$V$75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11" l="1"/>
  <c r="U67" i="11"/>
  <c r="J4" i="11"/>
  <c r="T14" i="11"/>
  <c r="S14" i="11"/>
  <c r="R14" i="11"/>
  <c r="U14" i="11"/>
  <c r="J37" i="11" l="1"/>
  <c r="I37" i="11"/>
  <c r="J58" i="11"/>
  <c r="J57" i="11"/>
  <c r="J56" i="11"/>
  <c r="J59" i="11" s="1"/>
  <c r="J50" i="11"/>
  <c r="J52" i="11" s="1"/>
  <c r="J46" i="11"/>
  <c r="U53" i="11"/>
  <c r="U31" i="11"/>
  <c r="U23" i="11"/>
  <c r="U10" i="11"/>
  <c r="U6" i="11"/>
  <c r="J9" i="11"/>
  <c r="J16" i="11" s="1"/>
  <c r="J6" i="11"/>
  <c r="T60" i="11"/>
  <c r="S60" i="11"/>
  <c r="T67" i="11"/>
  <c r="T50" i="11"/>
  <c r="T63" i="11"/>
  <c r="I36" i="11"/>
  <c r="I35" i="11"/>
  <c r="I8" i="11"/>
  <c r="U55" i="11" l="1"/>
  <c r="U51" i="11"/>
  <c r="U54" i="11" s="1"/>
  <c r="U11" i="11"/>
  <c r="U59" i="11"/>
  <c r="U58" i="11"/>
  <c r="U45" i="11"/>
  <c r="U12" i="11" s="1"/>
  <c r="U39" i="11"/>
  <c r="U46" i="11"/>
  <c r="J24" i="11"/>
  <c r="J19" i="11"/>
  <c r="I56" i="11"/>
  <c r="T53" i="11"/>
  <c r="T31" i="11"/>
  <c r="I58" i="11"/>
  <c r="T10" i="11"/>
  <c r="T6" i="11"/>
  <c r="T51" i="11" s="1"/>
  <c r="T54" i="11" s="1"/>
  <c r="I50" i="11"/>
  <c r="I52" i="11" s="1"/>
  <c r="I46" i="11"/>
  <c r="I47" i="11" s="1"/>
  <c r="J42" i="11" s="1"/>
  <c r="J47" i="11" s="1"/>
  <c r="J27" i="11" l="1"/>
  <c r="J26" i="11"/>
  <c r="I57" i="11"/>
  <c r="I59" i="11" s="1"/>
  <c r="T66" i="11"/>
  <c r="T46" i="11"/>
  <c r="T58" i="11"/>
  <c r="T11" i="11"/>
  <c r="T23" i="11"/>
  <c r="T45" i="11" s="1"/>
  <c r="T12" i="11" s="1"/>
  <c r="T59" i="11"/>
  <c r="I9" i="11"/>
  <c r="I16" i="11" s="1"/>
  <c r="I6" i="11"/>
  <c r="J30" i="11" l="1"/>
  <c r="J31" i="11" s="1"/>
  <c r="T61" i="11"/>
  <c r="I24" i="11"/>
  <c r="T57" i="11"/>
  <c r="T39" i="11"/>
  <c r="T55" i="11"/>
  <c r="I19" i="11"/>
  <c r="I27" i="11"/>
  <c r="H8" i="11"/>
  <c r="I30" i="11" l="1"/>
  <c r="T56" i="11"/>
  <c r="I26" i="11"/>
  <c r="S67" i="11"/>
  <c r="S63" i="11"/>
  <c r="S53" i="11"/>
  <c r="H58" i="11"/>
  <c r="H56" i="11"/>
  <c r="I31" i="11" l="1"/>
  <c r="H50" i="11"/>
  <c r="H52" i="11" s="1"/>
  <c r="G46" i="11"/>
  <c r="H46" i="11"/>
  <c r="H47" i="11" s="1"/>
  <c r="R32" i="11"/>
  <c r="S32" i="11"/>
  <c r="T62" i="11" s="1"/>
  <c r="T64" i="11" s="1"/>
  <c r="H36" i="11"/>
  <c r="G36" i="11"/>
  <c r="H35" i="11"/>
  <c r="H25" i="11"/>
  <c r="H9" i="11"/>
  <c r="S62" i="11" l="1"/>
  <c r="H6" i="11"/>
  <c r="I7" i="11" s="1"/>
  <c r="S61" i="11" l="1"/>
  <c r="S64" i="11" s="1"/>
  <c r="H16" i="11"/>
  <c r="I17" i="11" s="1"/>
  <c r="H24" i="11" l="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R63" i="11"/>
  <c r="R67" i="11"/>
  <c r="B14" i="7"/>
  <c r="B6" i="7"/>
  <c r="H31" i="11" l="1"/>
  <c r="B45" i="7"/>
  <c r="C43" i="7"/>
  <c r="C39" i="7"/>
  <c r="C25" i="7"/>
  <c r="C21" i="7"/>
  <c r="C20" i="7"/>
  <c r="S31" i="11" l="1"/>
  <c r="S23" i="11"/>
  <c r="S10" i="11"/>
  <c r="S6" i="11"/>
  <c r="S51" i="11" l="1"/>
  <c r="S54" i="11" s="1"/>
  <c r="S56" i="11"/>
  <c r="S66" i="11"/>
  <c r="S59" i="11"/>
  <c r="S58" i="11"/>
  <c r="H57" i="11"/>
  <c r="H59" i="11" s="1"/>
  <c r="S55" i="11" s="1"/>
  <c r="S39" i="11"/>
  <c r="T65" i="11" s="1"/>
  <c r="S11" i="11"/>
  <c r="S57" i="11" s="1"/>
  <c r="C18" i="7"/>
  <c r="S46" i="11"/>
  <c r="C19" i="7"/>
  <c r="S45" i="11"/>
  <c r="S12" i="11" s="1"/>
  <c r="G56" i="11" l="1"/>
  <c r="B28" i="7" s="1"/>
  <c r="G8" i="11" l="1"/>
  <c r="B7" i="7" l="1"/>
  <c r="C7" i="7"/>
  <c r="Q32" i="11"/>
  <c r="Q26" i="11"/>
  <c r="Q20" i="11"/>
  <c r="Q14" i="11" s="1"/>
  <c r="Q5" i="11"/>
  <c r="F10" i="11"/>
  <c r="F4" i="11"/>
  <c r="F46" i="11" l="1"/>
  <c r="R6" i="11"/>
  <c r="R60" i="11"/>
  <c r="C34" i="7" s="1"/>
  <c r="R53" i="11"/>
  <c r="R10" i="11"/>
  <c r="R66" i="11" s="1"/>
  <c r="G35" i="11"/>
  <c r="G9" i="11"/>
  <c r="G16" i="11" s="1"/>
  <c r="G6" i="11"/>
  <c r="H17" i="11" l="1"/>
  <c r="H7" i="11"/>
  <c r="R61" i="11"/>
  <c r="B33" i="7"/>
  <c r="C33" i="7"/>
  <c r="B8" i="7"/>
  <c r="R59" i="11"/>
  <c r="C50" i="7" s="1"/>
  <c r="C52" i="7"/>
  <c r="R62" i="11"/>
  <c r="B46" i="7" s="1"/>
  <c r="R11" i="11"/>
  <c r="R57" i="11" s="1"/>
  <c r="R51" i="11"/>
  <c r="C40" i="7" s="1"/>
  <c r="G57" i="11"/>
  <c r="R23" i="11"/>
  <c r="R45" i="11" s="1"/>
  <c r="G58" i="11"/>
  <c r="G24" i="11"/>
  <c r="G26" i="11" s="1"/>
  <c r="R31" i="11"/>
  <c r="R46" i="11" s="1"/>
  <c r="R58" i="11"/>
  <c r="C49" i="7" s="1"/>
  <c r="G19" i="11"/>
  <c r="B10" i="7" s="1"/>
  <c r="F6" i="11"/>
  <c r="M60" i="11"/>
  <c r="M62" i="11"/>
  <c r="M63" i="11"/>
  <c r="M67" i="11"/>
  <c r="B6" i="11"/>
  <c r="B7" i="11" s="1"/>
  <c r="B9" i="11"/>
  <c r="B16" i="11" s="1"/>
  <c r="G18" i="11" s="1"/>
  <c r="N67" i="11"/>
  <c r="O67" i="11"/>
  <c r="P67" i="11"/>
  <c r="Q67" i="11"/>
  <c r="N63" i="11"/>
  <c r="E11" i="11"/>
  <c r="E9" i="11" s="1"/>
  <c r="E16" i="11" s="1"/>
  <c r="N5" i="11"/>
  <c r="N6" i="11" s="1"/>
  <c r="O5" i="11"/>
  <c r="O6" i="11" s="1"/>
  <c r="N10" i="11"/>
  <c r="O10" i="11"/>
  <c r="O66" i="11" s="1"/>
  <c r="N20" i="11"/>
  <c r="N26" i="11"/>
  <c r="N23" i="11" s="1"/>
  <c r="N31" i="11"/>
  <c r="O20" i="11"/>
  <c r="O14" i="11" s="1"/>
  <c r="O26" i="11"/>
  <c r="D58" i="11" s="1"/>
  <c r="O32" i="11"/>
  <c r="O31" i="11" s="1"/>
  <c r="F9" i="11"/>
  <c r="F16" i="11" s="1"/>
  <c r="Q6" i="11"/>
  <c r="Q51" i="11" s="1"/>
  <c r="P6" i="11"/>
  <c r="P51" i="11" s="1"/>
  <c r="P54" i="11" s="1"/>
  <c r="Q10" i="11"/>
  <c r="F57" i="11" s="1"/>
  <c r="Q23" i="11"/>
  <c r="F56" i="11"/>
  <c r="K32" i="13"/>
  <c r="C20" i="13"/>
  <c r="D35" i="11"/>
  <c r="F35" i="11"/>
  <c r="E46" i="11"/>
  <c r="E47" i="11" s="1"/>
  <c r="C46" i="11"/>
  <c r="C47" i="11" s="1"/>
  <c r="N50" i="11"/>
  <c r="N53" i="11" s="1"/>
  <c r="C9" i="11"/>
  <c r="C16" i="11" s="1"/>
  <c r="H18" i="11" s="1"/>
  <c r="C6" i="11"/>
  <c r="N62" i="11"/>
  <c r="N66" i="11"/>
  <c r="D9" i="11"/>
  <c r="D16" i="11" s="1"/>
  <c r="I18" i="11" s="1"/>
  <c r="D6" i="11"/>
  <c r="Q50" i="11"/>
  <c r="Q53" i="11" s="1"/>
  <c r="P32" i="11"/>
  <c r="P31" i="11" s="1"/>
  <c r="P26" i="11"/>
  <c r="E58" i="11" s="1"/>
  <c r="P20" i="11"/>
  <c r="P14" i="11" s="1"/>
  <c r="Q31" i="11"/>
  <c r="C9" i="7"/>
  <c r="E56" i="11"/>
  <c r="D56" i="11"/>
  <c r="P50" i="11"/>
  <c r="P53" i="11" s="1"/>
  <c r="O50" i="11"/>
  <c r="O53" i="11" s="1"/>
  <c r="M50" i="11"/>
  <c r="M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M31" i="11"/>
  <c r="E35" i="11"/>
  <c r="M23" i="11"/>
  <c r="O63" i="11"/>
  <c r="P10" i="11"/>
  <c r="M10" i="11"/>
  <c r="M6" i="11"/>
  <c r="M51" i="11" s="1"/>
  <c r="M54" i="11" s="1"/>
  <c r="E6" i="11"/>
  <c r="E19" i="7"/>
  <c r="Q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" i="9"/>
  <c r="Q54" i="9"/>
  <c r="Q57" i="9" s="1"/>
  <c r="R54" i="9"/>
  <c r="R57" i="9" s="1"/>
  <c r="E59" i="9"/>
  <c r="U54" i="9"/>
  <c r="U57" i="9" s="1"/>
  <c r="F44" i="9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F45" i="9"/>
  <c r="E44" i="9"/>
  <c r="E45" i="9" s="1"/>
  <c r="D44" i="9"/>
  <c r="C44" i="9"/>
  <c r="B44" i="9"/>
  <c r="T35" i="9"/>
  <c r="S35" i="9"/>
  <c r="R35" i="9"/>
  <c r="P35" i="9"/>
  <c r="P43" i="9" s="1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S62" i="9" s="1"/>
  <c r="R6" i="9"/>
  <c r="R55" i="9" s="1"/>
  <c r="R58" i="9" s="1"/>
  <c r="P6" i="9"/>
  <c r="P11" i="9" s="1"/>
  <c r="N6" i="9"/>
  <c r="N55" i="9" s="1"/>
  <c r="N58" i="9" s="1"/>
  <c r="H6" i="9"/>
  <c r="G6" i="9"/>
  <c r="F6" i="9"/>
  <c r="F7" i="9" s="1"/>
  <c r="D6" i="9"/>
  <c r="P65" i="9" s="1"/>
  <c r="P68" i="9" s="1"/>
  <c r="C6" i="9"/>
  <c r="O65" i="9" s="1"/>
  <c r="B6" i="9"/>
  <c r="H60" i="9"/>
  <c r="T65" i="9"/>
  <c r="R11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B16" i="6" s="1"/>
  <c r="B23" i="6" s="1"/>
  <c r="B26" i="6" s="1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E61" i="5"/>
  <c r="K15" i="5"/>
  <c r="K28" i="5"/>
  <c r="B61" i="5" s="1"/>
  <c r="M28" i="5"/>
  <c r="M25" i="5" s="1"/>
  <c r="M47" i="5" s="1"/>
  <c r="M12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J12" i="5" s="1"/>
  <c r="I25" i="5"/>
  <c r="I47" i="5" s="1"/>
  <c r="I12" i="5" s="1"/>
  <c r="O10" i="5"/>
  <c r="O60" i="5" s="1"/>
  <c r="O6" i="5"/>
  <c r="O53" i="5" s="1"/>
  <c r="J10" i="5"/>
  <c r="J68" i="5"/>
  <c r="I10" i="5"/>
  <c r="F9" i="5"/>
  <c r="J6" i="5"/>
  <c r="J11" i="5" s="1"/>
  <c r="J59" i="5" s="1"/>
  <c r="I6" i="5"/>
  <c r="I58" i="5" s="1"/>
  <c r="F6" i="5"/>
  <c r="O11" i="5"/>
  <c r="O56" i="5"/>
  <c r="J63" i="5"/>
  <c r="J66" i="5" s="1"/>
  <c r="I57" i="5"/>
  <c r="J57" i="5"/>
  <c r="P55" i="9"/>
  <c r="P58" i="9" s="1"/>
  <c r="O43" i="9"/>
  <c r="Q67" i="9"/>
  <c r="U25" i="9"/>
  <c r="E60" i="6"/>
  <c r="E60" i="9"/>
  <c r="T55" i="9"/>
  <c r="T58" i="9" s="1"/>
  <c r="O11" i="9"/>
  <c r="T62" i="9"/>
  <c r="M62" i="6"/>
  <c r="T50" i="9"/>
  <c r="B60" i="5"/>
  <c r="Q62" i="9"/>
  <c r="O49" i="9"/>
  <c r="C60" i="6"/>
  <c r="O63" i="9"/>
  <c r="C16" i="9"/>
  <c r="O62" i="6"/>
  <c r="N25" i="5"/>
  <c r="N47" i="5" s="1"/>
  <c r="L60" i="6"/>
  <c r="O42" i="5"/>
  <c r="I19" i="9"/>
  <c r="N11" i="9"/>
  <c r="S65" i="9"/>
  <c r="S68" i="9" s="1"/>
  <c r="G7" i="9"/>
  <c r="U35" i="9"/>
  <c r="U66" i="9"/>
  <c r="S55" i="9"/>
  <c r="S58" i="9" s="1"/>
  <c r="S50" i="9"/>
  <c r="G60" i="9"/>
  <c r="T25" i="9"/>
  <c r="T63" i="9"/>
  <c r="H61" i="9"/>
  <c r="H62" i="9" s="1"/>
  <c r="H7" i="9"/>
  <c r="I8" i="9"/>
  <c r="H8" i="9"/>
  <c r="U63" i="9"/>
  <c r="I7" i="9"/>
  <c r="T43" i="9"/>
  <c r="T49" i="9"/>
  <c r="T12" i="9" s="1"/>
  <c r="E23" i="9" l="1"/>
  <c r="E19" i="9"/>
  <c r="G60" i="6"/>
  <c r="N11" i="5"/>
  <c r="L65" i="6"/>
  <c r="F7" i="6"/>
  <c r="M11" i="5"/>
  <c r="B16" i="5"/>
  <c r="K57" i="5" s="1"/>
  <c r="O52" i="6"/>
  <c r="O55" i="6" s="1"/>
  <c r="Q24" i="6"/>
  <c r="V67" i="9"/>
  <c r="N12" i="9"/>
  <c r="G23" i="9"/>
  <c r="G48" i="9" s="1"/>
  <c r="G19" i="9"/>
  <c r="S63" i="9"/>
  <c r="Q52" i="6"/>
  <c r="Q55" i="6" s="1"/>
  <c r="N52" i="6"/>
  <c r="N55" i="6" s="1"/>
  <c r="E16" i="6"/>
  <c r="N58" i="6" s="1"/>
  <c r="D16" i="9"/>
  <c r="H8" i="6"/>
  <c r="L12" i="6"/>
  <c r="D62" i="6"/>
  <c r="S11" i="9"/>
  <c r="S61" i="9" s="1"/>
  <c r="N62" i="9"/>
  <c r="N59" i="6"/>
  <c r="M65" i="6"/>
  <c r="U43" i="9"/>
  <c r="F16" i="5"/>
  <c r="O59" i="5" s="1"/>
  <c r="P11" i="6"/>
  <c r="O70" i="9"/>
  <c r="O50" i="9"/>
  <c r="I45" i="9"/>
  <c r="J40" i="9" s="1"/>
  <c r="J45" i="9" s="1"/>
  <c r="K61" i="5"/>
  <c r="U70" i="9"/>
  <c r="V35" i="9"/>
  <c r="J44" i="9"/>
  <c r="H23" i="9"/>
  <c r="H26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O68" i="5"/>
  <c r="B62" i="5"/>
  <c r="G7" i="6"/>
  <c r="Q65" i="6"/>
  <c r="G62" i="9"/>
  <c r="S59" i="9" s="1"/>
  <c r="T68" i="9"/>
  <c r="U62" i="9"/>
  <c r="V64" i="9"/>
  <c r="J53" i="5"/>
  <c r="J56" i="5" s="1"/>
  <c r="L11" i="5"/>
  <c r="L48" i="5"/>
  <c r="N12" i="5"/>
  <c r="P59" i="6"/>
  <c r="I26" i="9"/>
  <c r="U60" i="9" s="1"/>
  <c r="M52" i="6"/>
  <c r="M55" i="6" s="1"/>
  <c r="C7" i="5"/>
  <c r="I61" i="5"/>
  <c r="D16" i="6"/>
  <c r="M56" i="6" s="1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G53" i="9"/>
  <c r="G55" i="9" s="1"/>
  <c r="Q66" i="9"/>
  <c r="Q68" i="9" s="1"/>
  <c r="O68" i="9"/>
  <c r="R66" i="9"/>
  <c r="R61" i="9"/>
  <c r="F23" i="9"/>
  <c r="F17" i="9"/>
  <c r="F19" i="9"/>
  <c r="I18" i="9"/>
  <c r="G17" i="9"/>
  <c r="D51" i="9"/>
  <c r="B19" i="9"/>
  <c r="B30" i="6"/>
  <c r="B27" i="6"/>
  <c r="P69" i="9"/>
  <c r="D7" i="6"/>
  <c r="H19" i="9"/>
  <c r="D16" i="5"/>
  <c r="M59" i="5" s="1"/>
  <c r="R63" i="9"/>
  <c r="B60" i="9"/>
  <c r="B62" i="9" s="1"/>
  <c r="I53" i="5"/>
  <c r="I56" i="5" s="1"/>
  <c r="B19" i="6"/>
  <c r="I60" i="5"/>
  <c r="L25" i="5"/>
  <c r="L66" i="5"/>
  <c r="R65" i="9"/>
  <c r="I62" i="9"/>
  <c r="U59" i="9" s="1"/>
  <c r="J9" i="9"/>
  <c r="J16" i="9" s="1"/>
  <c r="T59" i="9"/>
  <c r="V25" i="9"/>
  <c r="V49" i="9" s="1"/>
  <c r="V12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G62" i="6" s="1"/>
  <c r="C7" i="6"/>
  <c r="F60" i="9"/>
  <c r="F62" i="9" s="1"/>
  <c r="R59" i="9" s="1"/>
  <c r="U68" i="9"/>
  <c r="H48" i="9"/>
  <c r="H53" i="9" s="1"/>
  <c r="H55" i="9" s="1"/>
  <c r="D7" i="5"/>
  <c r="J6" i="9"/>
  <c r="V65" i="9" s="1"/>
  <c r="P62" i="9"/>
  <c r="U69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R54" i="11"/>
  <c r="B35" i="7" s="1"/>
  <c r="Q66" i="11"/>
  <c r="G52" i="11"/>
  <c r="B26" i="7" s="1"/>
  <c r="B25" i="7"/>
  <c r="B9" i="7"/>
  <c r="C10" i="7"/>
  <c r="R64" i="11"/>
  <c r="B47" i="7" s="1"/>
  <c r="B44" i="7"/>
  <c r="G59" i="11"/>
  <c r="R55" i="11" s="1"/>
  <c r="O62" i="11"/>
  <c r="D57" i="11"/>
  <c r="D59" i="11" s="1"/>
  <c r="O55" i="11" s="1"/>
  <c r="P63" i="11"/>
  <c r="Q11" i="11"/>
  <c r="Q57" i="11" s="1"/>
  <c r="H27" i="9"/>
  <c r="H30" i="9"/>
  <c r="T60" i="9"/>
  <c r="T69" i="9"/>
  <c r="K57" i="6"/>
  <c r="H25" i="9"/>
  <c r="C19" i="9"/>
  <c r="C23" i="9"/>
  <c r="C17" i="9"/>
  <c r="M61" i="5"/>
  <c r="D61" i="5"/>
  <c r="B19" i="5"/>
  <c r="B48" i="6"/>
  <c r="B53" i="6" s="1"/>
  <c r="M60" i="6"/>
  <c r="M47" i="6"/>
  <c r="M59" i="6"/>
  <c r="M67" i="6"/>
  <c r="N24" i="6"/>
  <c r="E61" i="6"/>
  <c r="E62" i="6" s="1"/>
  <c r="N56" i="6" s="1"/>
  <c r="Q41" i="6"/>
  <c r="Q46" i="6"/>
  <c r="Q12" i="6" s="1"/>
  <c r="O65" i="6"/>
  <c r="Q67" i="6"/>
  <c r="Q60" i="6"/>
  <c r="H60" i="6"/>
  <c r="Q59" i="6"/>
  <c r="Q47" i="6"/>
  <c r="F26" i="6"/>
  <c r="E23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F17" i="6"/>
  <c r="G25" i="9"/>
  <c r="G26" i="9"/>
  <c r="L61" i="5"/>
  <c r="H59" i="6"/>
  <c r="N60" i="6"/>
  <c r="M42" i="5"/>
  <c r="C62" i="6"/>
  <c r="J48" i="5"/>
  <c r="F7" i="5"/>
  <c r="F8" i="5"/>
  <c r="O67" i="5"/>
  <c r="E62" i="5"/>
  <c r="O24" i="6"/>
  <c r="F61" i="6"/>
  <c r="F62" i="6" s="1"/>
  <c r="O56" i="6" s="1"/>
  <c r="O47" i="6"/>
  <c r="D17" i="9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D7" i="11"/>
  <c r="R62" i="9"/>
  <c r="U11" i="9"/>
  <c r="U61" i="9" s="1"/>
  <c r="Q55" i="9"/>
  <c r="Q58" i="9" s="1"/>
  <c r="G7" i="11"/>
  <c r="R67" i="9"/>
  <c r="R68" i="9" s="1"/>
  <c r="E7" i="11"/>
  <c r="D60" i="5"/>
  <c r="D62" i="5" s="1"/>
  <c r="M57" i="5" s="1"/>
  <c r="Q58" i="11"/>
  <c r="G27" i="11"/>
  <c r="R56" i="11" s="1"/>
  <c r="O23" i="11"/>
  <c r="O45" i="11" s="1"/>
  <c r="O12" i="11" s="1"/>
  <c r="Q46" i="11"/>
  <c r="Q62" i="11"/>
  <c r="P11" i="11"/>
  <c r="P57" i="11" s="1"/>
  <c r="N46" i="11"/>
  <c r="N58" i="11"/>
  <c r="P61" i="11"/>
  <c r="C7" i="11"/>
  <c r="E24" i="11"/>
  <c r="E27" i="11" s="1"/>
  <c r="E19" i="11"/>
  <c r="O59" i="11"/>
  <c r="O51" i="11"/>
  <c r="O54" i="11" s="1"/>
  <c r="O58" i="11"/>
  <c r="P62" i="11"/>
  <c r="P58" i="11"/>
  <c r="M39" i="11"/>
  <c r="M65" i="11" s="1"/>
  <c r="M59" i="11"/>
  <c r="M46" i="11"/>
  <c r="M11" i="11"/>
  <c r="M57" i="11" s="1"/>
  <c r="Q39" i="11"/>
  <c r="D24" i="11"/>
  <c r="D27" i="11" s="1"/>
  <c r="D30" i="11" s="1"/>
  <c r="D19" i="11"/>
  <c r="Q61" i="11"/>
  <c r="F7" i="11"/>
  <c r="G47" i="11"/>
  <c r="R39" i="11"/>
  <c r="R12" i="11"/>
  <c r="Q54" i="11"/>
  <c r="N39" i="11"/>
  <c r="N65" i="11" s="1"/>
  <c r="N45" i="11"/>
  <c r="N12" i="11" s="1"/>
  <c r="F24" i="11"/>
  <c r="G17" i="11"/>
  <c r="F17" i="11"/>
  <c r="F19" i="11"/>
  <c r="N11" i="11"/>
  <c r="N57" i="11" s="1"/>
  <c r="C19" i="11"/>
  <c r="C17" i="11"/>
  <c r="N55" i="11"/>
  <c r="C24" i="11"/>
  <c r="D17" i="11"/>
  <c r="M55" i="11"/>
  <c r="B17" i="11"/>
  <c r="B24" i="11"/>
  <c r="B19" i="11"/>
  <c r="E17" i="11"/>
  <c r="E57" i="11"/>
  <c r="E59" i="11" s="1"/>
  <c r="P55" i="11" s="1"/>
  <c r="M45" i="11"/>
  <c r="M12" i="11" s="1"/>
  <c r="O46" i="11"/>
  <c r="P23" i="11"/>
  <c r="N59" i="11"/>
  <c r="F58" i="11"/>
  <c r="F59" i="11" s="1"/>
  <c r="C29" i="7" s="1"/>
  <c r="O11" i="11"/>
  <c r="O57" i="11" s="1"/>
  <c r="M58" i="11"/>
  <c r="Q59" i="11"/>
  <c r="P66" i="11"/>
  <c r="P46" i="11"/>
  <c r="P59" i="11"/>
  <c r="O61" i="11"/>
  <c r="N61" i="11"/>
  <c r="N64" i="11" s="1"/>
  <c r="M66" i="11"/>
  <c r="M61" i="11"/>
  <c r="M64" i="11" s="1"/>
  <c r="Q45" i="11"/>
  <c r="Q12" i="11" s="1"/>
  <c r="H19" i="6" l="1"/>
  <c r="B23" i="5"/>
  <c r="K59" i="5"/>
  <c r="V43" i="9"/>
  <c r="V69" i="9" s="1"/>
  <c r="N59" i="9"/>
  <c r="F25" i="6"/>
  <c r="E48" i="9"/>
  <c r="E53" i="9" s="1"/>
  <c r="E55" i="9" s="1"/>
  <c r="E26" i="9"/>
  <c r="S65" i="11"/>
  <c r="R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O64" i="11"/>
  <c r="G30" i="11"/>
  <c r="H32" i="11" s="1"/>
  <c r="B11" i="7"/>
  <c r="O39" i="11"/>
  <c r="F26" i="5"/>
  <c r="C26" i="5"/>
  <c r="C25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O56" i="11"/>
  <c r="P64" i="11"/>
  <c r="D26" i="11"/>
  <c r="E26" i="11"/>
  <c r="Q64" i="11"/>
  <c r="Q55" i="11"/>
  <c r="B26" i="11"/>
  <c r="B27" i="11"/>
  <c r="C27" i="11"/>
  <c r="C26" i="11"/>
  <c r="P39" i="11"/>
  <c r="Q65" i="11" s="1"/>
  <c r="P45" i="11"/>
  <c r="P12" i="11" s="1"/>
  <c r="E30" i="11"/>
  <c r="P56" i="11"/>
  <c r="D31" i="11"/>
  <c r="I33" i="11" s="1"/>
  <c r="F26" i="11"/>
  <c r="F27" i="11"/>
  <c r="E30" i="9" l="1"/>
  <c r="H32" i="9" s="1"/>
  <c r="Q60" i="9"/>
  <c r="E27" i="9"/>
  <c r="B30" i="9"/>
  <c r="N60" i="9"/>
  <c r="O65" i="11"/>
  <c r="P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C53" i="6"/>
  <c r="C55" i="6" s="1"/>
  <c r="R69" i="9"/>
  <c r="Q69" i="9"/>
  <c r="C25" i="6"/>
  <c r="C26" i="6"/>
  <c r="C48" i="6"/>
  <c r="L58" i="6"/>
  <c r="M57" i="6"/>
  <c r="D30" i="6"/>
  <c r="G31" i="11"/>
  <c r="B13" i="7" s="1"/>
  <c r="B36" i="7"/>
  <c r="C36" i="7"/>
  <c r="E30" i="6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F30" i="5"/>
  <c r="O58" i="5"/>
  <c r="F27" i="5"/>
  <c r="C27" i="9"/>
  <c r="O60" i="9"/>
  <c r="C30" i="9"/>
  <c r="F31" i="6"/>
  <c r="E48" i="5"/>
  <c r="E53" i="5" s="1"/>
  <c r="E55" i="5" s="1"/>
  <c r="E25" i="5"/>
  <c r="E26" i="5"/>
  <c r="E32" i="11"/>
  <c r="E31" i="11"/>
  <c r="M56" i="11"/>
  <c r="B30" i="11"/>
  <c r="Q56" i="11"/>
  <c r="F30" i="11"/>
  <c r="G32" i="11" s="1"/>
  <c r="C13" i="7"/>
  <c r="C30" i="11"/>
  <c r="N56" i="11"/>
  <c r="D30" i="9" l="1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D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G33" i="11" s="1"/>
  <c r="B12" i="7" s="1"/>
  <c r="F32" i="11"/>
  <c r="F31" i="11"/>
  <c r="D31" i="6" l="1"/>
  <c r="H31" i="6"/>
  <c r="E31" i="5"/>
  <c r="E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R6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<sst xmlns="http://schemas.openxmlformats.org/spreadsheetml/2006/main" count="860" uniqueCount="237">
  <si>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</si>
  <si>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</si>
  <si>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</si>
  <si>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</si>
  <si>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</si>
  <si>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</si>
  <si>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</si>
  <si>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</si>
  <si>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</si>
  <si>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</si>
  <si>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</si>
  <si>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</si>
  <si>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</si>
  <si>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</si>
  <si>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</si>
  <si>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</si>
  <si>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</si>
  <si>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</si>
  <si>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</si>
  <si>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</si>
  <si>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</si>
  <si>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</si>
  <si>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</si>
  <si>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</si>
  <si>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</si>
  <si>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</si>
  <si>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</si>
  <si>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</si>
  <si>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</si>
  <si>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</si>
  <si>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</si>
  <si>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</si>
  <si>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</si>
  <si>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</si>
  <si>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</si>
  <si>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</si>
  <si>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</si>
  <si>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</si>
  <si>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</si>
  <si>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</si>
  <si>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</si>
  <si>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</si>
  <si>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</si>
  <si>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</si>
  <si>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</si>
  <si>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</si>
  <si>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</si>
  <si>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</si>
  <si>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</si>
  <si>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</si>
  <si>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</si>
  <si>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</si>
  <si>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</si>
  <si>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</si>
  <si>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</si>
  <si>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</si>
  <si>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</si>
  <si>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</si>
  <si>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</si>
  <si>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</si>
  <si>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</si>
  <si>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</si>
  <si>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</si>
  <si>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</si>
  <si>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</si>
  <si>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</si>
  <si>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</si>
  <si>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</si>
  <si>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</si>
  <si>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</si>
  <si>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</si>
  <si>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</si>
  <si>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</si>
  <si>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</si>
  <si>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</si>
  <si>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</si>
  <si>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</si>
  <si>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</si>
  <si>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</si>
  <si>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</si>
  <si>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</si>
  <si>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</si>
  <si>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</si>
  <si>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</si>
  <si>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</si>
  <si>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</si>
  <si>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</si>
  <si>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</si>
  <si>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</si>
  <si>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</si>
  <si>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</si>
  <si>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</si>
  <si>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</si>
  <si>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</si>
  <si>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</si>
  <si>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</si>
  <si>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</si>
  <si>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</si>
  <si>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</si>
  <si>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</si>
  <si>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</si>
  <si>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</si>
  <si>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</si>
  <si>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</si>
  <si>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</si>
  <si>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</si>
  <si>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</si>
  <si>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</si>
  <si>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</si>
  <si>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</si>
  <si>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</si>
  <si>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</si>
  <si>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</si>
  <si>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</si>
  <si>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</si>
  <si>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</si>
  <si>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</si>
  <si>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</si>
  <si>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</si>
  <si>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</si>
  <si>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</si>
  <si>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</si>
  <si>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</si>
  <si>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</si>
  <si>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</si>
  <si>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</si>
  <si>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</si>
  <si>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</si>
  <si>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</si>
  <si>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</si>
  <si>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</si>
  <si>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</si>
  <si>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</si>
  <si>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</si>
  <si>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</si>
  <si>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</si>
  <si>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</si>
  <si>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</si>
  <si>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</si>
  <si>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</si>
  <si>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</si>
  <si>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</si>
  <si>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</si>
  <si>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</si>
  <si>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</si>
  <si>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</si>
  <si>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</si>
  <si>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</si>
  <si>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</si>
  <si>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</si>
  <si>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</si>
  <si>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</si>
  <si>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</si>
  <si>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</si>
  <si>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</si>
  <si>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</si>
  <si>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</si>
  <si>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</si>
  <si>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</si>
  <si>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</si>
  <si>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</si>
  <si>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</si>
  <si>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</si>
  <si>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</si>
  <si>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</si>
  <si>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</si>
  <si>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</si>
  <si>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</si>
  <si>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</si>
  <si>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</si>
  <si>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</si>
  <si>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</si>
  <si>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</si>
  <si>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</si>
  <si>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</si>
  <si>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</si>
  <si>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</si>
  <si>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</si>
  <si>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</si>
  <si>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</si>
  <si>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</si>
  <si>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</si>
  <si>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</si>
  <si>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</si>
  <si>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</si>
  <si>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</si>
  <si>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</si>
  <si>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</si>
  <si>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</si>
  <si>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</si>
  <si>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</si>
  <si>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</si>
  <si>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</si>
  <si>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</si>
  <si>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</si>
  <si>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</si>
  <si>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</si>
  <si>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</si>
  <si>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</si>
  <si>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</si>
  <si>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</si>
  <si>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</si>
  <si>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</si>
  <si>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</si>
  <si>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</si>
  <si>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</si>
  <si>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</si>
  <si>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</si>
  <si>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</si>
  <si>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</si>
  <si>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</si>
  <si>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</si>
  <si>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</si>
  <si>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</si>
  <si>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</si>
  <si>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</si>
  <si>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</si>
  <si>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</si>
  <si>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</si>
  <si>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</si>
  <si>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</si>
  <si>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</si>
  <si>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</si>
  <si>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</si>
  <si>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</si>
  <si>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</si>
  <si>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</si>
  <si>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t>Other Manufacturing expenses(Powwer &amp; Fuel)</t>
  </si>
  <si>
    <t>Other Finacial Assetes</t>
  </si>
  <si>
    <t>CMP(Rs) (31st March)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</si>
  <si>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</si>
  <si>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>H1-FY24</t>
  </si>
  <si>
    <t>N/A</t>
  </si>
  <si>
    <t xml:space="preserve">Total Non Current Assets </t>
  </si>
  <si>
    <t>9M-FY24</t>
  </si>
  <si>
    <t>Note:</t>
  </si>
  <si>
    <t>Balance Sheet ratios are as in H1-FY24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</si>
</sst>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#,##0.0"/>
  </numFmts>
  <fonts count="4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33" fillId="4" borderId="1" xfId="0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0" borderId="1" xfId="2" applyNumberFormat="1" applyFont="1" applyFill="1" applyBorder="1"/>
    <xf numFmtId="169" fontId="28" fillId="0" borderId="1" xfId="2" applyNumberFormat="1" applyFont="1" applyFill="1" applyBorder="1"/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9" fillId="4" borderId="1" xfId="2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33" fillId="4" borderId="1" xfId="1" applyFont="1" applyFill="1" applyBorder="1"/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43" fontId="25" fillId="4" borderId="1" xfId="0" applyNumberFormat="1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0" fontId="25" fillId="5" borderId="0" xfId="0" applyFont="1" applyFill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7" fontId="25" fillId="0" borderId="3" xfId="2" applyNumberFormat="1" applyFont="1" applyFill="1" applyBorder="1"/>
    <xf numFmtId="167" fontId="28" fillId="0" borderId="3" xfId="2" applyNumberFormat="1" applyFont="1" applyFill="1" applyBorder="1"/>
    <xf numFmtId="167" fontId="25" fillId="4" borderId="3" xfId="2" applyNumberFormat="1" applyFont="1" applyFill="1" applyBorder="1"/>
    <xf numFmtId="167" fontId="26" fillId="4" borderId="3" xfId="2" applyNumberFormat="1" applyFont="1" applyFill="1" applyBorder="1"/>
    <xf numFmtId="167" fontId="29" fillId="4" borderId="3" xfId="2" applyNumberFormat="1" applyFont="1" applyFill="1" applyBorder="1"/>
    <xf numFmtId="166" fontId="29" fillId="0" borderId="3" xfId="2" applyNumberFormat="1" applyFont="1" applyFill="1" applyBorder="1"/>
    <xf numFmtId="43" fontId="29" fillId="4" borderId="3" xfId="2" applyFont="1" applyFill="1" applyBorder="1"/>
    <xf numFmtId="43" fontId="25" fillId="4" borderId="3" xfId="2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172" fontId="26" fillId="0" borderId="1" xfId="2" applyNumberFormat="1" applyFont="1" applyFill="1" applyBorder="1"/>
    <xf numFmtId="10" fontId="28" fillId="0" borderId="1" xfId="0" applyNumberFormat="1" applyFont="1" applyBorder="1" applyAlignment="1">
      <alignment horizontal="center"/>
    </xf>
    <xf numFmtId="0" fontId="25" fillId="5" borderId="1" xfId="0" applyFont="1" applyFill="1" applyBorder="1"/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tabSelected="1" showRuler="0" zoomScaleNormal="100" zoomScaleSheetLayoutView="80" zoomScalePageLayoutView="85" workbookViewId="0">
      <selection activeCell="O70" sqref="O70"/>
    </sheetView>
  </sheetViews>
  <sheetFormatPr defaultColWidth="9.140625" defaultRowHeight="12"/>
  <cols>
    <col min="1" max="1" width="64.28515625" style="1" bestFit="1" customWidth="1"/>
    <col min="2" max="2" width="12.28515625" style="1" hidden="1" customWidth="1"/>
    <col min="3" max="3" width="18" style="1" customWidth="1"/>
    <col min="4" max="6" width="19.28515625" style="10" bestFit="1" customWidth="1"/>
    <col min="7" max="7" width="14.42578125" style="10" bestFit="1" customWidth="1"/>
    <col min="8" max="10" width="16.140625" style="10" customWidth="1"/>
    <col min="11" max="11" width="13.42578125" style="10" customWidth="1"/>
    <col min="12" max="12" width="61" style="1" customWidth="1"/>
    <col min="13" max="13" width="11.42578125" style="10" hidden="1" customWidth="1"/>
    <col min="14" max="14" width="8.85546875" style="1" hidden="1" customWidth="1"/>
    <col min="15" max="15" width="11.85546875" style="16" bestFit="1" customWidth="1"/>
    <col min="16" max="16" width="11.85546875" style="1" bestFit="1" customWidth="1"/>
    <col min="17" max="17" width="11.85546875" style="1" customWidth="1"/>
    <col min="18" max="18" width="15.42578125" style="1" customWidth="1"/>
    <col min="19" max="19" width="13.42578125" style="1" customWidth="1"/>
    <col min="20" max="21" width="13.42578125" style="1" bestFit="1" customWidth="1"/>
    <col min="22" max="22" width="15.42578125" style="1" bestFit="1" customWidth="1"/>
    <col min="23" max="16384" width="9.140625" style="1"/>
  </cols>
  <sheetData>
    <row r="1" spans="1:37" ht="15" customHeight="1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4" t="s">
        <v>176</v>
      </c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</row>
    <row r="2" spans="1:37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/>
      <c r="L2" s="258" t="s">
        <v>96</v>
      </c>
      <c r="M2" s="258"/>
      <c r="N2" s="258"/>
      <c r="O2" s="258"/>
      <c r="P2" s="258"/>
      <c r="Q2" s="258"/>
      <c r="R2" s="258"/>
      <c r="S2" s="395"/>
      <c r="T2" s="102"/>
    </row>
    <row r="3" spans="1:37" ht="15" customHeigh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234</v>
      </c>
      <c r="K3"/>
      <c r="L3" s="101" t="s">
        <v>0</v>
      </c>
      <c r="M3" s="163" t="s">
        <v>33</v>
      </c>
      <c r="N3" s="163" t="s">
        <v>34</v>
      </c>
      <c r="O3" s="164" t="s">
        <v>87</v>
      </c>
      <c r="P3" s="144" t="s">
        <v>133</v>
      </c>
      <c r="Q3" s="144" t="s">
        <v>166</v>
      </c>
      <c r="R3" s="144" t="s">
        <v>213</v>
      </c>
      <c r="S3" s="398" t="s">
        <v>224</v>
      </c>
      <c r="T3" s="163" t="s">
        <v>226</v>
      </c>
      <c r="U3" s="163" t="s">
        <v>231</v>
      </c>
    </row>
    <row r="4" spans="1:37" ht="15" customHeight="1">
      <c r="A4" s="101" t="s">
        <v>169</v>
      </c>
      <c r="B4" s="347">
        <v>1666.95</v>
      </c>
      <c r="C4" s="286">
        <v>2039.0170000000001</v>
      </c>
      <c r="D4" s="290">
        <v>2428.377</v>
      </c>
      <c r="E4" s="290">
        <v>2498.7089999999998</v>
      </c>
      <c r="F4" s="290">
        <f>3057.909+7.017</f>
        <v>3064.9259999999999</v>
      </c>
      <c r="G4" s="156">
        <v>3965.694</v>
      </c>
      <c r="H4" s="159">
        <v>6431.83</v>
      </c>
      <c r="I4" s="159">
        <v>6480.4</v>
      </c>
      <c r="J4" s="421">
        <f>4598.806+10.336</f>
        <v>4609.1419999999998</v>
      </c>
      <c r="K4"/>
      <c r="L4" s="102" t="s">
        <v>35</v>
      </c>
      <c r="M4" s="113">
        <v>137.94</v>
      </c>
      <c r="N4" s="289">
        <v>376.09800000000001</v>
      </c>
      <c r="O4" s="289">
        <v>376.09800000000001</v>
      </c>
      <c r="P4" s="289">
        <v>390.62700000000001</v>
      </c>
      <c r="Q4" s="327">
        <v>0</v>
      </c>
      <c r="R4" s="327">
        <v>130.209</v>
      </c>
      <c r="S4" s="399">
        <v>130.209</v>
      </c>
      <c r="T4" s="102">
        <v>130.209</v>
      </c>
      <c r="U4" s="102">
        <v>130.209</v>
      </c>
    </row>
    <row r="5" spans="1:37" ht="15" customHeight="1">
      <c r="A5" s="102" t="s">
        <v>6</v>
      </c>
      <c r="B5" s="102">
        <v>8.1999999999999993</v>
      </c>
      <c r="C5" s="287">
        <v>0.93400000000000005</v>
      </c>
      <c r="D5" s="289">
        <v>27.035</v>
      </c>
      <c r="E5" s="289">
        <v>43.515999999999998</v>
      </c>
      <c r="F5" s="289">
        <v>65.885999999999996</v>
      </c>
      <c r="G5" s="103">
        <v>2.8220000000000001</v>
      </c>
      <c r="H5" s="137">
        <v>3.62</v>
      </c>
      <c r="I5" s="137">
        <v>6.75</v>
      </c>
      <c r="J5" s="137">
        <v>8.5259999999999998</v>
      </c>
      <c r="K5"/>
      <c r="L5" s="102" t="s">
        <v>179</v>
      </c>
      <c r="M5" s="113">
        <v>494.613</v>
      </c>
      <c r="N5" s="289">
        <f>14.529+329.017</f>
        <v>343.54599999999999</v>
      </c>
      <c r="O5" s="289">
        <f>14.529+482.751</f>
        <v>497.28</v>
      </c>
      <c r="P5" s="289">
        <v>635.53200000000004</v>
      </c>
      <c r="Q5" s="296">
        <f>130.209+1136.998</f>
        <v>1267.2070000000001</v>
      </c>
      <c r="R5" s="296">
        <v>1557.136</v>
      </c>
      <c r="S5" s="400">
        <v>2191.2800000000002</v>
      </c>
      <c r="T5" s="102">
        <v>2462.3919999999998</v>
      </c>
      <c r="U5" s="102">
        <v>2529.1089999999999</v>
      </c>
    </row>
    <row r="6" spans="1:37" ht="15" customHeight="1">
      <c r="A6" s="105" t="s">
        <v>95</v>
      </c>
      <c r="B6" s="311">
        <f t="shared" ref="B6:I6" si="0">B4+B5</f>
        <v>1675.15</v>
      </c>
      <c r="C6" s="31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134">
        <f t="shared" si="0"/>
        <v>6435.45</v>
      </c>
      <c r="I6" s="134">
        <f t="shared" si="0"/>
        <v>6487.15</v>
      </c>
      <c r="J6" s="134">
        <f>J4+J5</f>
        <v>4617.6679999999997</v>
      </c>
      <c r="K6"/>
      <c r="L6" s="105" t="s">
        <v>37</v>
      </c>
      <c r="M6" s="106">
        <f t="shared" ref="M6:Q6" si="1">(M4+M5)</f>
        <v>632.553</v>
      </c>
      <c r="N6" s="291">
        <f t="shared" ref="N6" si="2">(N4+N5)</f>
        <v>719.64400000000001</v>
      </c>
      <c r="O6" s="291">
        <f t="shared" si="1"/>
        <v>873.37799999999993</v>
      </c>
      <c r="P6" s="291">
        <f>(P4+P5)</f>
        <v>1026.1590000000001</v>
      </c>
      <c r="Q6" s="291">
        <f t="shared" si="1"/>
        <v>1267.2070000000001</v>
      </c>
      <c r="R6" s="291">
        <f>(R4+R5)</f>
        <v>1687.345</v>
      </c>
      <c r="S6" s="291">
        <f>(S4+S5)</f>
        <v>2321.489</v>
      </c>
      <c r="T6" s="291">
        <f>(T4+T5)</f>
        <v>2592.6009999999997</v>
      </c>
      <c r="U6" s="291">
        <f>(U4+U5)</f>
        <v>2659.3179999999998</v>
      </c>
    </row>
    <row r="7" spans="1:37" ht="15" customHeight="1">
      <c r="A7" s="107" t="s">
        <v>2</v>
      </c>
      <c r="B7" s="292" t="e">
        <f t="shared" ref="B7" si="3">(B6/A6-1)</f>
        <v>#VALUE!</v>
      </c>
      <c r="C7" s="109">
        <f t="shared" ref="C7" si="4">(C6/B6-1)</f>
        <v>0.2177721398083754</v>
      </c>
      <c r="D7" s="109">
        <f t="shared" ref="D7" si="5">(D6/C6-1)</f>
        <v>0.20366224482842954</v>
      </c>
      <c r="E7" s="109">
        <f>(E6/D6-1)</f>
        <v>3.5355777360377871E-2</v>
      </c>
      <c r="F7" s="109">
        <f>(F6/E6-1)</f>
        <v>0.23152435366657165</v>
      </c>
      <c r="G7" s="109">
        <f>(G6/F6-1)</f>
        <v>0.26756764698742708</v>
      </c>
      <c r="H7" s="109">
        <f>(H6/G6-1)</f>
        <v>0.62162632077078683</v>
      </c>
      <c r="I7" s="109">
        <f>(I6/H6-1)</f>
        <v>8.0336262421432103E-3</v>
      </c>
      <c r="J7" s="109"/>
      <c r="K7"/>
      <c r="L7" s="102" t="s">
        <v>168</v>
      </c>
      <c r="M7" s="113"/>
      <c r="N7" s="289"/>
      <c r="O7" s="289"/>
      <c r="P7" s="305">
        <v>0</v>
      </c>
      <c r="Q7" s="305">
        <v>0</v>
      </c>
      <c r="R7" s="305">
        <v>0</v>
      </c>
      <c r="S7" s="293"/>
      <c r="T7" s="102"/>
      <c r="U7" s="102"/>
      <c r="W7" s="240"/>
      <c r="X7" s="240"/>
      <c r="Y7" s="240"/>
      <c r="Z7" s="240"/>
      <c r="AA7" s="240"/>
    </row>
    <row r="8" spans="1:37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0.21690630284729884</v>
      </c>
      <c r="J8" s="109"/>
      <c r="K8"/>
      <c r="L8" s="102" t="s">
        <v>39</v>
      </c>
      <c r="M8" s="113">
        <v>115.227</v>
      </c>
      <c r="N8" s="289">
        <v>187.60599999999999</v>
      </c>
      <c r="O8" s="289">
        <v>163.506</v>
      </c>
      <c r="P8" s="305">
        <v>82.914000000000001</v>
      </c>
      <c r="Q8" s="327">
        <v>163.316</v>
      </c>
      <c r="R8" s="327">
        <v>259.82</v>
      </c>
      <c r="S8" s="399">
        <v>99.87</v>
      </c>
      <c r="T8" s="102">
        <v>0</v>
      </c>
      <c r="U8" s="102">
        <v>0</v>
      </c>
      <c r="W8" s="240"/>
      <c r="X8" s="240"/>
      <c r="Y8" s="240"/>
      <c r="Z8" s="240"/>
      <c r="AA8" s="240"/>
    </row>
    <row r="9" spans="1:37" ht="15" customHeight="1">
      <c r="A9" s="105" t="s">
        <v>3</v>
      </c>
      <c r="B9" s="311">
        <f t="shared" ref="B9:J9" si="6">SUM(B10:B15)</f>
        <v>1440.462</v>
      </c>
      <c r="C9" s="311">
        <f t="shared" si="6"/>
        <v>1802.3679999999999</v>
      </c>
      <c r="D9" s="291">
        <f t="shared" si="6"/>
        <v>2090.165</v>
      </c>
      <c r="E9" s="291">
        <f t="shared" si="6"/>
        <v>2138.2159999999999</v>
      </c>
      <c r="F9" s="291">
        <f t="shared" si="6"/>
        <v>2581.2489999999998</v>
      </c>
      <c r="G9" s="291">
        <f t="shared" si="6"/>
        <v>3278.9720000000002</v>
      </c>
      <c r="H9" s="134">
        <f t="shared" si="6"/>
        <v>5383.1900000000014</v>
      </c>
      <c r="I9" s="134">
        <f t="shared" si="6"/>
        <v>5756.99</v>
      </c>
      <c r="J9" s="134">
        <f t="shared" si="6"/>
        <v>4126.9549999999999</v>
      </c>
      <c r="K9" s="351"/>
      <c r="L9" s="102" t="s">
        <v>40</v>
      </c>
      <c r="M9" s="113">
        <v>169.977</v>
      </c>
      <c r="N9" s="289">
        <v>315.267</v>
      </c>
      <c r="O9" s="289">
        <v>387.74700000000001</v>
      </c>
      <c r="P9" s="305">
        <v>404.9</v>
      </c>
      <c r="Q9" s="327">
        <v>443.73700000000002</v>
      </c>
      <c r="R9" s="327">
        <v>222.33199999999999</v>
      </c>
      <c r="S9" s="399">
        <v>520.42999999999995</v>
      </c>
      <c r="T9" s="102">
        <v>501.67599999999999</v>
      </c>
      <c r="U9" s="102">
        <v>341.608</v>
      </c>
      <c r="W9" s="240"/>
      <c r="X9" s="240"/>
      <c r="Y9" s="240"/>
      <c r="Z9" s="240"/>
      <c r="AA9" s="240"/>
    </row>
    <row r="10" spans="1:37" ht="15" customHeight="1">
      <c r="A10" s="102" t="s">
        <v>111</v>
      </c>
      <c r="B10" s="348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103">
        <v>2776.625</v>
      </c>
      <c r="H10" s="137">
        <v>4709.0200000000004</v>
      </c>
      <c r="I10" s="137">
        <v>5013.3</v>
      </c>
      <c r="J10" s="137">
        <v>3326.636</v>
      </c>
      <c r="K10" s="224"/>
      <c r="L10" s="105" t="s">
        <v>41</v>
      </c>
      <c r="M10" s="106">
        <f t="shared" ref="M10:O10" si="7">(M8+M9)</f>
        <v>285.20400000000001</v>
      </c>
      <c r="N10" s="291">
        <f t="shared" ref="N10" si="8">(N8+N9)</f>
        <v>502.87299999999999</v>
      </c>
      <c r="O10" s="291">
        <f t="shared" si="7"/>
        <v>551.25300000000004</v>
      </c>
      <c r="P10" s="291">
        <f t="shared" ref="P10:U10" si="9">(P8+P9)</f>
        <v>487.81399999999996</v>
      </c>
      <c r="Q10" s="291">
        <f t="shared" si="9"/>
        <v>607.053</v>
      </c>
      <c r="R10" s="291">
        <f t="shared" si="9"/>
        <v>482.15199999999999</v>
      </c>
      <c r="S10" s="291">
        <f t="shared" si="9"/>
        <v>620.29999999999995</v>
      </c>
      <c r="T10" s="291">
        <f t="shared" si="9"/>
        <v>501.67599999999999</v>
      </c>
      <c r="U10" s="291">
        <f t="shared" si="9"/>
        <v>341.608</v>
      </c>
      <c r="W10" s="88"/>
      <c r="X10" s="88"/>
      <c r="Y10" s="88"/>
      <c r="Z10" s="88"/>
      <c r="AA10" s="88"/>
    </row>
    <row r="11" spans="1:37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103">
        <v>-108.68300000000001</v>
      </c>
      <c r="H11" s="137">
        <v>-122.03</v>
      </c>
      <c r="I11" s="137">
        <v>-106.25</v>
      </c>
      <c r="J11" s="137">
        <v>149.91300000000001</v>
      </c>
      <c r="K11" s="224"/>
      <c r="L11" s="105" t="s">
        <v>42</v>
      </c>
      <c r="M11" s="106">
        <f t="shared" ref="M11:T11" si="10">(M6+M8+M7+SUM(M40:M43))</f>
        <v>828.23099999999999</v>
      </c>
      <c r="N11" s="291">
        <f t="shared" si="10"/>
        <v>1011.058</v>
      </c>
      <c r="O11" s="291">
        <f t="shared" si="10"/>
        <v>1147.181</v>
      </c>
      <c r="P11" s="291">
        <f t="shared" si="10"/>
        <v>1239.6010000000001</v>
      </c>
      <c r="Q11" s="291">
        <f t="shared" si="10"/>
        <v>1558.2460000000001</v>
      </c>
      <c r="R11" s="291">
        <f t="shared" si="10"/>
        <v>2078.3939999999998</v>
      </c>
      <c r="S11" s="291">
        <f t="shared" si="10"/>
        <v>2566.913</v>
      </c>
      <c r="T11" s="291">
        <f t="shared" si="10"/>
        <v>2756.3299999999995</v>
      </c>
      <c r="U11" s="291">
        <f t="shared" ref="U11" si="11">(U6+U8+U7+SUM(U40:U43))</f>
        <v>2830.3269999999998</v>
      </c>
    </row>
    <row r="12" spans="1:37" ht="15.6" customHeight="1">
      <c r="A12" s="149" t="s">
        <v>174</v>
      </c>
      <c r="B12" s="349">
        <v>149.74199999999999</v>
      </c>
      <c r="C12" s="288">
        <v>184.71100000000001</v>
      </c>
      <c r="D12" s="289">
        <v>65.087000000000003</v>
      </c>
      <c r="E12" s="289"/>
      <c r="F12" s="289"/>
      <c r="G12" s="103"/>
      <c r="H12" s="137"/>
      <c r="I12" s="137"/>
      <c r="J12" s="137"/>
      <c r="K12" s="224"/>
      <c r="L12" s="105" t="s">
        <v>42</v>
      </c>
      <c r="M12" s="111">
        <f t="shared" ref="M12:T12" si="12">M45-M31-M9</f>
        <v>828.23100000000011</v>
      </c>
      <c r="N12" s="295">
        <f t="shared" si="12"/>
        <v>1011.0579999999998</v>
      </c>
      <c r="O12" s="295">
        <f t="shared" si="12"/>
        <v>1147.1809999999996</v>
      </c>
      <c r="P12" s="295">
        <f t="shared" si="12"/>
        <v>1239.6009999999997</v>
      </c>
      <c r="Q12" s="295">
        <f t="shared" si="12"/>
        <v>1558.2459999999999</v>
      </c>
      <c r="R12" s="295">
        <f t="shared" si="12"/>
        <v>2077.2740000000003</v>
      </c>
      <c r="S12" s="295">
        <f t="shared" si="12"/>
        <v>2566.949000000001</v>
      </c>
      <c r="T12" s="295">
        <f t="shared" si="12"/>
        <v>2756.3300000000008</v>
      </c>
      <c r="U12" s="295">
        <f t="shared" ref="U12" si="13">U45-U31-U9</f>
        <v>2830.3270000000002</v>
      </c>
      <c r="W12" s="240"/>
      <c r="X12" s="240"/>
      <c r="Y12" s="240"/>
      <c r="Z12" s="240"/>
      <c r="AA12" s="240"/>
    </row>
    <row r="13" spans="1:37" ht="15" customHeight="1">
      <c r="A13" s="149" t="s">
        <v>227</v>
      </c>
      <c r="B13" s="149"/>
      <c r="C13" s="288"/>
      <c r="D13" s="289"/>
      <c r="E13" s="289"/>
      <c r="F13" s="289"/>
      <c r="G13" s="103">
        <v>213.73500000000001</v>
      </c>
      <c r="H13" s="137">
        <v>364.05</v>
      </c>
      <c r="I13" s="137">
        <v>368.21</v>
      </c>
      <c r="J13" s="137">
        <v>266.75599999999997</v>
      </c>
      <c r="K13" s="224"/>
      <c r="L13" s="105" t="s">
        <v>91</v>
      </c>
      <c r="M13" s="106"/>
      <c r="N13" s="295"/>
      <c r="O13" s="295"/>
      <c r="P13" s="295"/>
      <c r="Q13" s="295"/>
      <c r="R13" s="295"/>
      <c r="S13" s="295">
        <v>1694.4690000000001</v>
      </c>
      <c r="T13" s="295">
        <v>1922.4480000000001</v>
      </c>
      <c r="U13" s="295">
        <v>1922.4480000000001</v>
      </c>
      <c r="W13" s="88"/>
      <c r="X13" s="88"/>
      <c r="Y13" s="88"/>
      <c r="Z13" s="88"/>
      <c r="AA13" s="88"/>
    </row>
    <row r="14" spans="1:37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103">
        <v>160.78800000000001</v>
      </c>
      <c r="H14" s="137">
        <v>177.47</v>
      </c>
      <c r="I14" s="137">
        <v>196.16</v>
      </c>
      <c r="J14" s="137">
        <v>157.251</v>
      </c>
      <c r="K14" s="224"/>
      <c r="L14" s="401" t="s">
        <v>233</v>
      </c>
      <c r="M14" s="402"/>
      <c r="N14" s="403"/>
      <c r="O14" s="423">
        <f t="shared" ref="O14:T14" si="14">SUM(O15:O22)</f>
        <v>1083.3899999999999</v>
      </c>
      <c r="P14" s="423">
        <f t="shared" si="14"/>
        <v>1181.4669999999999</v>
      </c>
      <c r="Q14" s="423">
        <f t="shared" si="14"/>
        <v>1440.0739999999998</v>
      </c>
      <c r="R14" s="423">
        <f t="shared" si="14"/>
        <v>1605.9350000000002</v>
      </c>
      <c r="S14" s="423">
        <f t="shared" si="14"/>
        <v>1868.2350000000001</v>
      </c>
      <c r="T14" s="423">
        <f t="shared" si="14"/>
        <v>1938.3530000000005</v>
      </c>
      <c r="U14" s="423">
        <f>SUM(U15:U22)</f>
        <v>2009.4820000000002</v>
      </c>
    </row>
    <row r="15" spans="1:37" ht="15" customHeight="1">
      <c r="A15" s="102" t="s">
        <v>70</v>
      </c>
      <c r="B15" s="348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103">
        <v>236.50700000000001</v>
      </c>
      <c r="H15" s="137">
        <v>254.68</v>
      </c>
      <c r="I15" s="137">
        <v>285.57</v>
      </c>
      <c r="J15" s="137">
        <v>226.399</v>
      </c>
      <c r="K15" s="224"/>
      <c r="L15" s="102" t="s">
        <v>100</v>
      </c>
      <c r="M15" s="113">
        <v>734.09199999999998</v>
      </c>
      <c r="N15" s="328">
        <v>935.08699999999999</v>
      </c>
      <c r="O15" s="328">
        <v>1015.468</v>
      </c>
      <c r="P15" s="329">
        <v>1152.425</v>
      </c>
      <c r="Q15" s="327">
        <v>1219.223</v>
      </c>
      <c r="R15" s="327">
        <v>1219.9159999999999</v>
      </c>
      <c r="S15" s="399">
        <v>1363.31</v>
      </c>
      <c r="T15" s="102">
        <v>1514.5450000000001</v>
      </c>
      <c r="U15" s="102">
        <v>1486.0719999999999</v>
      </c>
      <c r="W15" s="11"/>
      <c r="X15" s="11"/>
      <c r="Y15" s="11"/>
      <c r="Z15" s="11"/>
      <c r="AA15" s="11"/>
    </row>
    <row r="16" spans="1:37" ht="15" customHeight="1">
      <c r="A16" s="105" t="s">
        <v>171</v>
      </c>
      <c r="B16" s="311">
        <f t="shared" ref="B16:I16" si="15">(B4-B9)</f>
        <v>226.48800000000006</v>
      </c>
      <c r="C16" s="311">
        <f t="shared" si="15"/>
        <v>236.64900000000011</v>
      </c>
      <c r="D16" s="291">
        <f t="shared" si="15"/>
        <v>338.21199999999999</v>
      </c>
      <c r="E16" s="291">
        <f t="shared" si="15"/>
        <v>360.49299999999994</v>
      </c>
      <c r="F16" s="291">
        <f t="shared" si="15"/>
        <v>483.67700000000013</v>
      </c>
      <c r="G16" s="291">
        <f t="shared" si="15"/>
        <v>686.72199999999975</v>
      </c>
      <c r="H16" s="134">
        <f t="shared" si="15"/>
        <v>1048.6399999999985</v>
      </c>
      <c r="I16" s="134">
        <f t="shared" si="15"/>
        <v>723.40999999999985</v>
      </c>
      <c r="J16" s="134">
        <f>J4-J9</f>
        <v>482.1869999999999</v>
      </c>
      <c r="K16"/>
      <c r="L16" s="102" t="s">
        <v>101</v>
      </c>
      <c r="M16" s="113">
        <v>52.639000000000003</v>
      </c>
      <c r="N16" s="328">
        <v>32.067999999999998</v>
      </c>
      <c r="O16" s="328">
        <v>33.813000000000002</v>
      </c>
      <c r="P16" s="329">
        <v>8.7910000000000004</v>
      </c>
      <c r="Q16" s="327">
        <v>94.284999999999997</v>
      </c>
      <c r="R16" s="327">
        <v>294.529</v>
      </c>
      <c r="S16" s="399">
        <v>419.98</v>
      </c>
      <c r="T16" s="102">
        <v>348.697</v>
      </c>
      <c r="U16" s="102">
        <v>391.22399999999999</v>
      </c>
    </row>
    <row r="17" spans="1:21" ht="15" customHeight="1">
      <c r="A17" s="107" t="s">
        <v>2</v>
      </c>
      <c r="B17" s="292" t="e">
        <f t="shared" ref="B17:C17" si="16">(B16/A16-1)</f>
        <v>#VALUE!</v>
      </c>
      <c r="C17" s="109">
        <f t="shared" si="16"/>
        <v>4.4863304016107053E-2</v>
      </c>
      <c r="D17" s="109">
        <f t="shared" ref="D17:I17" si="17">(D16/C16-1)</f>
        <v>0.42917147336350392</v>
      </c>
      <c r="E17" s="109">
        <f t="shared" si="17"/>
        <v>6.5878797913734521E-2</v>
      </c>
      <c r="F17" s="109">
        <f t="shared" si="17"/>
        <v>0.34170982515610637</v>
      </c>
      <c r="G17" s="109">
        <f t="shared" si="17"/>
        <v>0.41979461500133253</v>
      </c>
      <c r="H17" s="109">
        <f t="shared" si="17"/>
        <v>0.52702257973386457</v>
      </c>
      <c r="I17" s="109">
        <f t="shared" si="17"/>
        <v>-0.31014456820262348</v>
      </c>
      <c r="J17" s="109"/>
      <c r="K17"/>
      <c r="L17" s="102" t="s">
        <v>108</v>
      </c>
      <c r="M17" s="113"/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293"/>
      <c r="T17" s="102"/>
      <c r="U17" s="102"/>
    </row>
    <row r="18" spans="1:21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0.1642308391251579</v>
      </c>
      <c r="J18" s="109"/>
      <c r="K18"/>
      <c r="L18" s="102" t="s">
        <v>225</v>
      </c>
      <c r="M18" s="113"/>
      <c r="N18" s="305">
        <v>0</v>
      </c>
      <c r="O18" s="305">
        <v>0</v>
      </c>
      <c r="P18" s="305">
        <v>0</v>
      </c>
      <c r="Q18" s="305">
        <v>43.442999999999998</v>
      </c>
      <c r="R18" s="305">
        <v>42.796999999999997</v>
      </c>
      <c r="S18" s="293">
        <v>42.15</v>
      </c>
      <c r="T18" s="102">
        <v>41.505000000000003</v>
      </c>
      <c r="U18" s="102">
        <v>41.182000000000002</v>
      </c>
    </row>
    <row r="19" spans="1:21" ht="15" customHeight="1">
      <c r="A19" s="105" t="s">
        <v>172</v>
      </c>
      <c r="B19" s="115">
        <f t="shared" ref="B19:J19" si="18">(B16/B4)</f>
        <v>0.13586970215063443</v>
      </c>
      <c r="C19" s="115">
        <f t="shared" si="18"/>
        <v>0.11606033691724989</v>
      </c>
      <c r="D19" s="115">
        <f t="shared" si="18"/>
        <v>0.13927491489171573</v>
      </c>
      <c r="E19" s="115">
        <f t="shared" si="18"/>
        <v>0.1442717019068647</v>
      </c>
      <c r="F19" s="115">
        <f t="shared" si="18"/>
        <v>0.15781033538819539</v>
      </c>
      <c r="G19" s="115">
        <f t="shared" si="18"/>
        <v>0.17316565524218452</v>
      </c>
      <c r="H19" s="116">
        <f t="shared" si="18"/>
        <v>0.16303913505176576</v>
      </c>
      <c r="I19" s="116">
        <f t="shared" si="18"/>
        <v>0.11163045491019072</v>
      </c>
      <c r="J19" s="116">
        <f t="shared" si="18"/>
        <v>0.10461534923419585</v>
      </c>
      <c r="K19"/>
      <c r="L19" s="102" t="s">
        <v>102</v>
      </c>
      <c r="M19" s="113"/>
      <c r="N19" s="328"/>
      <c r="O19" s="328"/>
      <c r="P19" s="329"/>
      <c r="Q19" s="327">
        <v>0.746</v>
      </c>
      <c r="R19" s="327">
        <v>0.47699999999999998</v>
      </c>
      <c r="S19" s="399">
        <v>2.5</v>
      </c>
      <c r="T19" s="102">
        <v>5.173</v>
      </c>
      <c r="U19" s="102">
        <v>4.2069999999999999</v>
      </c>
    </row>
    <row r="20" spans="1:21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103">
        <v>65.733000000000004</v>
      </c>
      <c r="H20" s="137">
        <v>71.31</v>
      </c>
      <c r="I20" s="137">
        <v>81.510000000000005</v>
      </c>
      <c r="J20" s="137">
        <v>67.283000000000001</v>
      </c>
      <c r="K20"/>
      <c r="L20" s="267" t="s">
        <v>228</v>
      </c>
      <c r="M20" s="113">
        <v>14.179</v>
      </c>
      <c r="N20" s="328">
        <f>0.1+1.875</f>
        <v>1.9750000000000001</v>
      </c>
      <c r="O20" s="328">
        <f>0.1+2.185+1.314</f>
        <v>3.5990000000000002</v>
      </c>
      <c r="P20" s="329">
        <f>0.2+0.151+1.378</f>
        <v>1.7289999999999999</v>
      </c>
      <c r="Q20" s="327">
        <f>2.769+0.053</f>
        <v>2.8220000000000001</v>
      </c>
      <c r="R20" s="327">
        <v>3.5999999999999997E-2</v>
      </c>
      <c r="S20" s="399">
        <v>1.784</v>
      </c>
      <c r="T20" s="102">
        <v>2.0529999999999999</v>
      </c>
      <c r="U20" s="102">
        <v>2.093</v>
      </c>
    </row>
    <row r="21" spans="1:21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103">
        <v>68.203000000000003</v>
      </c>
      <c r="H21" s="137">
        <v>68.56</v>
      </c>
      <c r="I21" s="137">
        <v>62.62</v>
      </c>
      <c r="J21" s="137">
        <v>36.219000000000001</v>
      </c>
      <c r="K21"/>
      <c r="L21" s="102" t="s">
        <v>103</v>
      </c>
      <c r="M21" s="113">
        <v>0.90300000000000002</v>
      </c>
      <c r="N21" s="328">
        <v>5.367</v>
      </c>
      <c r="O21" s="328">
        <v>14.787000000000001</v>
      </c>
      <c r="P21" s="329">
        <v>12.567</v>
      </c>
      <c r="Q21" s="327">
        <v>65.388000000000005</v>
      </c>
      <c r="R21" s="327">
        <v>29.876000000000001</v>
      </c>
      <c r="S21" s="399">
        <v>19.565999999999999</v>
      </c>
      <c r="T21" s="102">
        <v>8.15</v>
      </c>
      <c r="U21" s="102">
        <v>50.198999999999998</v>
      </c>
    </row>
    <row r="22" spans="1:21" ht="15" customHeight="1">
      <c r="A22" s="102" t="s">
        <v>117</v>
      </c>
      <c r="B22" s="102"/>
      <c r="C22" s="287"/>
      <c r="D22" s="289">
        <v>0</v>
      </c>
      <c r="E22" s="289">
        <v>0</v>
      </c>
      <c r="F22" s="289">
        <v>0</v>
      </c>
      <c r="G22" s="103"/>
      <c r="H22" s="137"/>
      <c r="I22" s="137"/>
      <c r="J22" s="137"/>
      <c r="K22"/>
      <c r="L22" s="114" t="s">
        <v>177</v>
      </c>
      <c r="M22" s="113"/>
      <c r="N22" s="328">
        <v>15.723000000000001</v>
      </c>
      <c r="O22" s="328">
        <v>15.723000000000001</v>
      </c>
      <c r="P22" s="329">
        <v>5.9550000000000001</v>
      </c>
      <c r="Q22" s="327">
        <v>14.167</v>
      </c>
      <c r="R22" s="327">
        <v>18.303999999999998</v>
      </c>
      <c r="S22" s="399">
        <v>18.945</v>
      </c>
      <c r="T22" s="102">
        <v>18.23</v>
      </c>
      <c r="U22" s="102">
        <v>34.505000000000003</v>
      </c>
    </row>
    <row r="23" spans="1:21" ht="15" customHeight="1">
      <c r="A23" s="102" t="s">
        <v>167</v>
      </c>
      <c r="B23" s="102"/>
      <c r="C23" s="287"/>
      <c r="D23" s="289">
        <v>0</v>
      </c>
      <c r="E23" s="289">
        <v>0</v>
      </c>
      <c r="F23" s="289">
        <v>0</v>
      </c>
      <c r="G23" s="103"/>
      <c r="H23" s="137"/>
      <c r="I23" s="137"/>
      <c r="J23" s="137"/>
      <c r="K23"/>
      <c r="L23" s="105" t="s">
        <v>43</v>
      </c>
      <c r="M23" s="106">
        <f t="shared" ref="M23:T23" si="19">SUM(M24:M30)</f>
        <v>342.89700000000005</v>
      </c>
      <c r="N23" s="291">
        <f t="shared" si="19"/>
        <v>547.59199999999998</v>
      </c>
      <c r="O23" s="291">
        <f t="shared" si="19"/>
        <v>681.17299999999989</v>
      </c>
      <c r="P23" s="330">
        <f t="shared" si="19"/>
        <v>695.83899999999994</v>
      </c>
      <c r="Q23" s="330">
        <f t="shared" si="19"/>
        <v>748.53899999999999</v>
      </c>
      <c r="R23" s="330">
        <f t="shared" si="19"/>
        <v>978.97100000000012</v>
      </c>
      <c r="S23" s="291">
        <f t="shared" si="19"/>
        <v>1372.5450000000003</v>
      </c>
      <c r="T23" s="291">
        <f t="shared" si="19"/>
        <v>1485.7270000000001</v>
      </c>
      <c r="U23" s="291">
        <f t="shared" ref="U23" si="20">SUM(U24:U30)</f>
        <v>1300.0009999999997</v>
      </c>
    </row>
    <row r="24" spans="1:21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05">
        <f>H16-H20-H21+H5</f>
        <v>912.38999999999862</v>
      </c>
      <c r="I24" s="205">
        <f>I16-I20-I21+I5</f>
        <v>586.02999999999986</v>
      </c>
      <c r="J24" s="205">
        <f>J16-J20-J21+J5</f>
        <v>387.2109999999999</v>
      </c>
      <c r="K24"/>
      <c r="L24" s="102" t="s">
        <v>44</v>
      </c>
      <c r="M24" s="113">
        <v>134.161</v>
      </c>
      <c r="N24" s="328">
        <v>231.51599999999999</v>
      </c>
      <c r="O24" s="328">
        <v>304.27199999999999</v>
      </c>
      <c r="P24" s="329">
        <v>340.06200000000001</v>
      </c>
      <c r="Q24" s="327">
        <v>352.46100000000001</v>
      </c>
      <c r="R24" s="327">
        <v>452.94900000000001</v>
      </c>
      <c r="S24" s="399">
        <v>700.25599999999997</v>
      </c>
      <c r="T24" s="102">
        <v>799.56899999999996</v>
      </c>
      <c r="U24" s="102">
        <v>677.3</v>
      </c>
    </row>
    <row r="25" spans="1:21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99.820999999999998</v>
      </c>
      <c r="K25"/>
      <c r="L25" s="102" t="s">
        <v>45</v>
      </c>
      <c r="M25" s="113">
        <v>172.26599999999999</v>
      </c>
      <c r="N25" s="328">
        <v>253.93600000000001</v>
      </c>
      <c r="O25" s="328">
        <v>320.26299999999998</v>
      </c>
      <c r="P25" s="329">
        <v>321.31299999999999</v>
      </c>
      <c r="Q25" s="327">
        <v>378.79</v>
      </c>
      <c r="R25" s="327">
        <v>467.673</v>
      </c>
      <c r="S25" s="399">
        <v>622.21500000000003</v>
      </c>
      <c r="T25" s="102">
        <v>625.79100000000005</v>
      </c>
      <c r="U25" s="102">
        <v>553.70299999999997</v>
      </c>
    </row>
    <row r="26" spans="1:21" ht="15" customHeight="1">
      <c r="A26" s="107" t="s">
        <v>10</v>
      </c>
      <c r="B26" s="109">
        <f t="shared" ref="B26:C26" si="21">(B25/B24)</f>
        <v>0.35969819253817892</v>
      </c>
      <c r="C26" s="109">
        <f t="shared" si="21"/>
        <v>0.38977924186388008</v>
      </c>
      <c r="D26" s="109">
        <f t="shared" ref="D26:E26" si="22">(D25/D24)</f>
        <v>0.24876161410385014</v>
      </c>
      <c r="E26" s="109">
        <f t="shared" si="22"/>
        <v>0.26360279396716652</v>
      </c>
      <c r="F26" s="109">
        <f>(F25/F24)</f>
        <v>0.18185054387544847</v>
      </c>
      <c r="G26" s="109">
        <f>(G25/G24)</f>
        <v>0.23534758318814711</v>
      </c>
      <c r="H26" s="397">
        <f t="shared" ref="H26:J26" si="23">(H25/H24)</f>
        <v>0.25575685836100831</v>
      </c>
      <c r="I26" s="397">
        <f t="shared" si="23"/>
        <v>0.25751241404023689</v>
      </c>
      <c r="J26" s="397">
        <f t="shared" si="23"/>
        <v>0.25779484570428018</v>
      </c>
      <c r="K26"/>
      <c r="L26" s="102" t="s">
        <v>46</v>
      </c>
      <c r="M26" s="113">
        <v>1.512</v>
      </c>
      <c r="N26" s="328">
        <f>3.373+1.356</f>
        <v>4.7290000000000001</v>
      </c>
      <c r="O26" s="328">
        <f>0.201+3.8</f>
        <v>4.0009999999999994</v>
      </c>
      <c r="P26" s="328">
        <f>0.164+1.653</f>
        <v>1.8169999999999999</v>
      </c>
      <c r="Q26" s="327">
        <f>0.308+1.787</f>
        <v>2.0949999999999998</v>
      </c>
      <c r="R26" s="327">
        <v>2.7</v>
      </c>
      <c r="S26" s="399">
        <v>1.681</v>
      </c>
      <c r="T26" s="102">
        <v>0.67600000000000005</v>
      </c>
      <c r="U26" s="102">
        <v>0.68700000000000006</v>
      </c>
    </row>
    <row r="27" spans="1:21" ht="15" customHeight="1">
      <c r="A27" s="105" t="s">
        <v>11</v>
      </c>
      <c r="B27" s="314">
        <f t="shared" ref="B27:C27" si="24">(B24-B25)</f>
        <v>105.99300000000002</v>
      </c>
      <c r="C27" s="314">
        <f t="shared" si="24"/>
        <v>90.583000000000126</v>
      </c>
      <c r="D27" s="295">
        <f t="shared" ref="D27:E27" si="25">(D24-D25)</f>
        <v>193.96899999999999</v>
      </c>
      <c r="E27" s="295">
        <f t="shared" si="25"/>
        <v>215.17599999999996</v>
      </c>
      <c r="F27" s="295">
        <f>(F24-F25)</f>
        <v>347.04100000000011</v>
      </c>
      <c r="G27" s="295">
        <f>(G24-G25)</f>
        <v>424.84699999999987</v>
      </c>
      <c r="H27" s="205">
        <f>(H24-H25)</f>
        <v>679.0399999999986</v>
      </c>
      <c r="I27" s="205">
        <f>(I24-I25)</f>
        <v>435.11999999999989</v>
      </c>
      <c r="J27" s="205">
        <f>(J24-J25)</f>
        <v>287.38999999999987</v>
      </c>
      <c r="K27"/>
      <c r="L27" s="102" t="s">
        <v>175</v>
      </c>
      <c r="M27" s="113">
        <v>25.437000000000001</v>
      </c>
      <c r="N27" s="328">
        <v>1.7000000000000001E-2</v>
      </c>
      <c r="O27" s="328">
        <v>4.7E-2</v>
      </c>
      <c r="P27" s="329">
        <v>7.3999999999999996E-2</v>
      </c>
      <c r="Q27" s="327">
        <v>0.122</v>
      </c>
      <c r="R27" s="327">
        <v>1.7000000000000001E-2</v>
      </c>
      <c r="S27" s="399">
        <v>0.13</v>
      </c>
      <c r="T27" s="102">
        <v>0.13600000000000001</v>
      </c>
      <c r="U27" s="102">
        <v>0.26800000000000002</v>
      </c>
    </row>
    <row r="28" spans="1:21" ht="15" customHeight="1">
      <c r="A28" s="102" t="s">
        <v>12</v>
      </c>
      <c r="B28" s="102"/>
      <c r="C28" s="287"/>
      <c r="D28" s="289">
        <v>0</v>
      </c>
      <c r="E28" s="289">
        <v>0</v>
      </c>
      <c r="F28" s="289">
        <v>0</v>
      </c>
      <c r="G28" s="137"/>
      <c r="H28" s="137"/>
      <c r="I28" s="109"/>
      <c r="J28" s="109"/>
      <c r="K28"/>
      <c r="L28" s="102" t="s">
        <v>178</v>
      </c>
      <c r="M28" s="113"/>
      <c r="N28" s="328">
        <v>19.873000000000001</v>
      </c>
      <c r="O28" s="328">
        <v>28.506</v>
      </c>
      <c r="P28" s="329">
        <v>0.124</v>
      </c>
      <c r="Q28" s="327">
        <v>0.124</v>
      </c>
      <c r="R28" s="327">
        <v>0.05</v>
      </c>
      <c r="S28" s="399">
        <v>7.4999999999999997E-2</v>
      </c>
      <c r="T28" s="102">
        <v>0.16200000000000001</v>
      </c>
      <c r="U28" s="102">
        <v>0.19500000000000001</v>
      </c>
    </row>
    <row r="29" spans="1:21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117">
        <v>-4.7089999999999996</v>
      </c>
      <c r="H29" s="355">
        <v>0.7</v>
      </c>
      <c r="I29" s="355">
        <v>5.36</v>
      </c>
      <c r="J29" s="355">
        <v>0.438</v>
      </c>
      <c r="K29"/>
      <c r="L29" s="102" t="s">
        <v>68</v>
      </c>
      <c r="M29" s="113">
        <v>9.5210000000000008</v>
      </c>
      <c r="N29" s="328">
        <v>37.521000000000001</v>
      </c>
      <c r="O29" s="328">
        <v>24.084</v>
      </c>
      <c r="P29" s="329">
        <v>32.448999999999998</v>
      </c>
      <c r="Q29" s="327">
        <v>14.946999999999999</v>
      </c>
      <c r="R29" s="327">
        <v>55.582000000000001</v>
      </c>
      <c r="S29" s="399">
        <v>48.188000000000002</v>
      </c>
      <c r="T29" s="102">
        <v>59.393000000000001</v>
      </c>
      <c r="U29" s="102">
        <v>67.847999999999999</v>
      </c>
    </row>
    <row r="30" spans="1:21" ht="15" customHeight="1">
      <c r="A30" s="105" t="s">
        <v>13</v>
      </c>
      <c r="B30" s="313">
        <f t="shared" ref="B30:G30" si="26">B27-B28+B29</f>
        <v>105.99300000000002</v>
      </c>
      <c r="C30" s="313">
        <f t="shared" si="26"/>
        <v>87.092000000000127</v>
      </c>
      <c r="D30" s="294">
        <f t="shared" si="26"/>
        <v>193.911</v>
      </c>
      <c r="E30" s="294">
        <f t="shared" si="26"/>
        <v>213.08399999999995</v>
      </c>
      <c r="F30" s="294">
        <f t="shared" si="26"/>
        <v>346.07600000000014</v>
      </c>
      <c r="G30" s="294">
        <f t="shared" si="26"/>
        <v>420.13799999999986</v>
      </c>
      <c r="H30" s="396">
        <f t="shared" ref="H30:J30" si="27">H27-H28+H29</f>
        <v>679.73999999999864</v>
      </c>
      <c r="I30" s="396">
        <f t="shared" si="27"/>
        <v>440.4799999999999</v>
      </c>
      <c r="J30" s="396">
        <f t="shared" si="27"/>
        <v>287.82799999999986</v>
      </c>
      <c r="K30"/>
      <c r="L30" s="102"/>
      <c r="M30" s="113"/>
      <c r="N30" s="328"/>
      <c r="O30" s="328"/>
      <c r="P30" s="329"/>
      <c r="Q30" s="305"/>
      <c r="R30" s="305"/>
      <c r="S30" s="293"/>
      <c r="T30" s="102"/>
      <c r="U30" s="102"/>
    </row>
    <row r="31" spans="1:21" ht="15" customHeight="1">
      <c r="A31" s="105" t="s">
        <v>81</v>
      </c>
      <c r="B31" s="115">
        <f t="shared" ref="B31:J31" si="28">B30/B4</f>
        <v>6.3584990551606241E-2</v>
      </c>
      <c r="C31" s="115">
        <f t="shared" si="28"/>
        <v>4.271273854018879E-2</v>
      </c>
      <c r="D31" s="115">
        <f t="shared" si="28"/>
        <v>7.9852098747435013E-2</v>
      </c>
      <c r="E31" s="115">
        <f t="shared" si="28"/>
        <v>8.5277637371938858E-2</v>
      </c>
      <c r="F31" s="115">
        <f t="shared" si="28"/>
        <v>0.1129149610789951</v>
      </c>
      <c r="G31" s="115">
        <f t="shared" si="28"/>
        <v>0.10594312117878986</v>
      </c>
      <c r="H31" s="116">
        <f t="shared" si="28"/>
        <v>0.10568376340792568</v>
      </c>
      <c r="I31" s="116">
        <f t="shared" si="28"/>
        <v>6.7971112894265773E-2</v>
      </c>
      <c r="J31" s="116">
        <f t="shared" si="28"/>
        <v>6.2447197330869793E-2</v>
      </c>
      <c r="K31"/>
      <c r="L31" s="105" t="s">
        <v>47</v>
      </c>
      <c r="M31" s="106">
        <f t="shared" ref="M31:P31" si="29">SUM(M32:M38)</f>
        <v>146.50199999999998</v>
      </c>
      <c r="N31" s="291">
        <f t="shared" ref="N31" si="30">SUM(N32:N38)</f>
        <v>211.48699999999999</v>
      </c>
      <c r="O31" s="291">
        <f t="shared" si="29"/>
        <v>229.63500000000002</v>
      </c>
      <c r="P31" s="330">
        <f t="shared" si="29"/>
        <v>232.80500000000001</v>
      </c>
      <c r="Q31" s="291">
        <f>SUM(Q32:Q38)</f>
        <v>186.62999999999997</v>
      </c>
      <c r="R31" s="291">
        <f>SUM(R32:R38)</f>
        <v>285.3</v>
      </c>
      <c r="S31" s="291">
        <f>SUM(S32:S38)</f>
        <v>153.40100000000001</v>
      </c>
      <c r="T31" s="291">
        <f>SUM(T32:T38)</f>
        <v>166.07399999999998</v>
      </c>
      <c r="U31" s="291">
        <f>SUM(U32:U38)</f>
        <v>137.548</v>
      </c>
    </row>
    <row r="32" spans="1:21" ht="15" customHeight="1">
      <c r="A32" s="107" t="s">
        <v>2</v>
      </c>
      <c r="B32" s="297" t="e">
        <f t="shared" ref="B32:C32" si="31">B30/A30-1</f>
        <v>#VALUE!</v>
      </c>
      <c r="C32" s="297">
        <f t="shared" si="31"/>
        <v>-0.17832309680827874</v>
      </c>
      <c r="D32" s="297">
        <f t="shared" ref="D32:I32" si="32">D30/C30-1</f>
        <v>1.2265076011573934</v>
      </c>
      <c r="E32" s="297">
        <f t="shared" si="32"/>
        <v>9.8875257205625067E-2</v>
      </c>
      <c r="F32" s="297">
        <f t="shared" si="32"/>
        <v>0.62412945129620345</v>
      </c>
      <c r="G32" s="389">
        <f t="shared" si="32"/>
        <v>0.21400501623920665</v>
      </c>
      <c r="H32" s="389">
        <f t="shared" si="32"/>
        <v>0.61789697670765054</v>
      </c>
      <c r="I32" s="389">
        <f t="shared" si="32"/>
        <v>-0.35198752464177363</v>
      </c>
      <c r="J32" s="389"/>
      <c r="K32"/>
      <c r="L32" s="102" t="s">
        <v>83</v>
      </c>
      <c r="M32" s="113">
        <v>28.163</v>
      </c>
      <c r="N32" s="328">
        <v>60.302999999999997</v>
      </c>
      <c r="O32" s="328">
        <f>3.711+70.283</f>
        <v>73.994</v>
      </c>
      <c r="P32" s="328">
        <f>5.774+94.223</f>
        <v>99.997</v>
      </c>
      <c r="Q32" s="327">
        <f>4.129+59.986</f>
        <v>64.114999999999995</v>
      </c>
      <c r="R32" s="327">
        <f>(63.34+1028.13)/10</f>
        <v>109.14700000000001</v>
      </c>
      <c r="S32" s="399">
        <f>(101.46+803.84)/10</f>
        <v>90.53</v>
      </c>
      <c r="T32" s="102">
        <v>105.69499999999999</v>
      </c>
      <c r="U32" s="102">
        <v>81.491</v>
      </c>
    </row>
    <row r="33" spans="1:21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-3.1705178759937169E-2</v>
      </c>
      <c r="J33" s="109"/>
      <c r="K33"/>
      <c r="L33" s="102" t="s">
        <v>84</v>
      </c>
      <c r="M33" s="113"/>
      <c r="N33" s="328">
        <v>128.31700000000001</v>
      </c>
      <c r="O33" s="328">
        <v>141.90299999999999</v>
      </c>
      <c r="P33" s="329">
        <v>112.38</v>
      </c>
      <c r="Q33" s="327">
        <v>80.575999999999993</v>
      </c>
      <c r="R33" s="327">
        <v>106.605</v>
      </c>
      <c r="S33" s="399">
        <v>7.5940000000000003</v>
      </c>
      <c r="T33" s="102">
        <v>10.656000000000001</v>
      </c>
      <c r="U33" s="102">
        <v>6.5659999999999998</v>
      </c>
    </row>
    <row r="34" spans="1:21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159">
        <v>32.630000000000003</v>
      </c>
      <c r="H34" s="159">
        <v>52.15</v>
      </c>
      <c r="I34" s="159">
        <v>33.409999999999997</v>
      </c>
      <c r="J34" s="159">
        <v>22.07</v>
      </c>
      <c r="K34"/>
      <c r="L34" s="102" t="s">
        <v>79</v>
      </c>
      <c r="M34" s="113">
        <v>76.212999999999994</v>
      </c>
      <c r="N34" s="328">
        <v>20.088000000000001</v>
      </c>
      <c r="O34" s="328">
        <v>7.3540000000000001</v>
      </c>
      <c r="P34" s="329">
        <v>8.3190000000000008</v>
      </c>
      <c r="Q34" s="327">
        <v>28.785</v>
      </c>
      <c r="R34" s="327">
        <v>45.981000000000002</v>
      </c>
      <c r="S34" s="399">
        <v>35.905999999999999</v>
      </c>
      <c r="T34" s="102">
        <v>35.854999999999997</v>
      </c>
      <c r="U34" s="102">
        <v>38.478999999999999</v>
      </c>
    </row>
    <row r="35" spans="1:21" ht="15.75">
      <c r="A35" s="122" t="s">
        <v>2</v>
      </c>
      <c r="B35" s="122"/>
      <c r="C35" s="315"/>
      <c r="D35" s="297">
        <f t="shared" ref="D35:I35" si="33">D34/C34-1</f>
        <v>0.67905405405405395</v>
      </c>
      <c r="E35" s="297">
        <f t="shared" si="33"/>
        <v>0.10865191146881292</v>
      </c>
      <c r="F35" s="297">
        <f t="shared" si="33"/>
        <v>3.8366606170598914</v>
      </c>
      <c r="G35" s="389">
        <f t="shared" si="33"/>
        <v>0.22439024390243922</v>
      </c>
      <c r="H35" s="389">
        <f t="shared" si="33"/>
        <v>0.59822249463683708</v>
      </c>
      <c r="I35" s="389">
        <f t="shared" si="33"/>
        <v>-0.35934803451581976</v>
      </c>
      <c r="J35" s="389"/>
      <c r="K35"/>
      <c r="L35" s="102" t="s">
        <v>164</v>
      </c>
      <c r="M35" s="113"/>
      <c r="N35" s="328"/>
      <c r="O35" s="328"/>
      <c r="P35" s="329"/>
      <c r="Q35" s="327"/>
      <c r="R35" s="327"/>
      <c r="S35" s="399"/>
      <c r="T35" s="102"/>
      <c r="U35" s="102"/>
    </row>
    <row r="36" spans="1:21" ht="15.75">
      <c r="A36" s="122" t="s">
        <v>230</v>
      </c>
      <c r="B36" s="122"/>
      <c r="C36" s="316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/>
      <c r="K36"/>
      <c r="L36" s="102" t="s">
        <v>98</v>
      </c>
      <c r="M36" s="113">
        <v>42.125999999999998</v>
      </c>
      <c r="N36" s="328">
        <v>2.7789999999999999</v>
      </c>
      <c r="O36" s="328">
        <v>2.5259999999999998</v>
      </c>
      <c r="P36" s="329">
        <v>5.75</v>
      </c>
      <c r="Q36" s="327">
        <v>3.3759999999999999</v>
      </c>
      <c r="R36" s="327">
        <v>10.209</v>
      </c>
      <c r="S36" s="399">
        <v>9.8889999999999993</v>
      </c>
      <c r="T36" s="102">
        <v>8.9849999999999994</v>
      </c>
      <c r="U36" s="102">
        <v>10.256</v>
      </c>
    </row>
    <row r="37" spans="1:21" ht="15.75">
      <c r="C37" s="317"/>
      <c r="D37" s="299"/>
      <c r="E37" s="299"/>
      <c r="F37" s="299"/>
      <c r="I37" s="420">
        <f>(I4-I10)/I4</f>
        <v>0.22639034627492122</v>
      </c>
      <c r="J37" s="420">
        <f>(J4-J10)/J4</f>
        <v>0.27825265526642484</v>
      </c>
      <c r="K37"/>
      <c r="L37" s="102" t="s">
        <v>99</v>
      </c>
      <c r="M37" s="113"/>
      <c r="N37" s="331" t="s">
        <v>128</v>
      </c>
      <c r="O37" s="328">
        <v>3.8580000000000001</v>
      </c>
      <c r="P37" s="329">
        <v>6.359</v>
      </c>
      <c r="Q37" s="327">
        <v>9.7780000000000005</v>
      </c>
      <c r="R37" s="327">
        <v>13.358000000000001</v>
      </c>
      <c r="S37" s="399">
        <v>9.4819999999999993</v>
      </c>
      <c r="T37" s="102">
        <v>4.883</v>
      </c>
      <c r="U37" s="102">
        <v>0.75600000000000001</v>
      </c>
    </row>
    <row r="38" spans="1:21" ht="15.75">
      <c r="A38" s="114"/>
      <c r="B38" s="114"/>
      <c r="C38" s="318"/>
      <c r="D38" s="300"/>
      <c r="E38" s="300"/>
      <c r="F38" s="300"/>
      <c r="G38" s="249"/>
      <c r="H38" s="249"/>
      <c r="I38" s="419"/>
      <c r="J38" s="419"/>
      <c r="K38"/>
      <c r="L38" s="102"/>
      <c r="M38" s="113"/>
      <c r="N38" s="328"/>
      <c r="O38" s="328"/>
      <c r="P38" s="329"/>
      <c r="Q38" s="327"/>
      <c r="R38" s="327"/>
      <c r="S38" s="399"/>
      <c r="T38" s="102"/>
      <c r="U38" s="102"/>
    </row>
    <row r="39" spans="1:21" ht="15.75">
      <c r="A39" s="114"/>
      <c r="B39" s="114"/>
      <c r="C39" s="318"/>
      <c r="D39" s="301"/>
      <c r="E39" s="301"/>
      <c r="F39" s="301"/>
      <c r="G39" s="241"/>
      <c r="H39" s="241"/>
      <c r="I39" s="241"/>
      <c r="J39" s="241"/>
      <c r="K39"/>
      <c r="L39" s="105" t="s">
        <v>48</v>
      </c>
      <c r="M39" s="106">
        <f t="shared" ref="M39:T39" si="34">(M23-M31-M9)</f>
        <v>26.418000000000063</v>
      </c>
      <c r="N39" s="291">
        <f t="shared" si="34"/>
        <v>20.838000000000022</v>
      </c>
      <c r="O39" s="291">
        <f t="shared" si="34"/>
        <v>63.790999999999883</v>
      </c>
      <c r="P39" s="330">
        <f t="shared" si="34"/>
        <v>58.133999999999958</v>
      </c>
      <c r="Q39" s="291">
        <f t="shared" si="34"/>
        <v>118.17199999999997</v>
      </c>
      <c r="R39" s="291">
        <f t="shared" si="34"/>
        <v>471.33900000000006</v>
      </c>
      <c r="S39" s="291">
        <f t="shared" si="34"/>
        <v>698.71400000000028</v>
      </c>
      <c r="T39" s="291">
        <f t="shared" si="34"/>
        <v>817.97700000000009</v>
      </c>
      <c r="U39" s="291">
        <f t="shared" ref="U39" si="35">(U23-U31-U9)</f>
        <v>820.8449999999998</v>
      </c>
    </row>
    <row r="40" spans="1:21" ht="15.75">
      <c r="A40" s="127" t="s">
        <v>15</v>
      </c>
      <c r="B40" s="127"/>
      <c r="C40" s="319"/>
      <c r="D40" s="302"/>
      <c r="E40" s="302"/>
      <c r="F40" s="302"/>
      <c r="G40" s="242"/>
      <c r="H40" s="242"/>
      <c r="I40" s="242"/>
      <c r="J40" s="242"/>
      <c r="K40"/>
      <c r="L40" s="102" t="s">
        <v>49</v>
      </c>
      <c r="M40" s="113">
        <v>77.230999999999995</v>
      </c>
      <c r="N40" s="328">
        <v>97.225999999999999</v>
      </c>
      <c r="O40" s="328">
        <v>104.102</v>
      </c>
      <c r="P40" s="329">
        <v>121.574</v>
      </c>
      <c r="Q40" s="327">
        <v>116.29</v>
      </c>
      <c r="R40" s="327">
        <v>113.509</v>
      </c>
      <c r="S40" s="399">
        <v>128.05600000000001</v>
      </c>
      <c r="T40" s="102">
        <v>145.80500000000001</v>
      </c>
      <c r="U40" s="102">
        <v>151.529</v>
      </c>
    </row>
    <row r="41" spans="1:21" ht="15.75">
      <c r="A41" s="101" t="s">
        <v>0</v>
      </c>
      <c r="B41" s="101"/>
      <c r="C41" s="320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7" t="s">
        <v>224</v>
      </c>
      <c r="I41" s="130" t="s">
        <v>226</v>
      </c>
      <c r="J41" s="130" t="s">
        <v>231</v>
      </c>
      <c r="K41"/>
      <c r="L41" s="102" t="s">
        <v>86</v>
      </c>
      <c r="M41" s="113"/>
      <c r="N41" s="328"/>
      <c r="O41" s="328"/>
      <c r="P41" s="329"/>
      <c r="Q41" s="327"/>
      <c r="R41" s="327"/>
      <c r="S41" s="399"/>
      <c r="T41" s="102"/>
      <c r="U41" s="102"/>
    </row>
    <row r="42" spans="1:21" ht="15.75">
      <c r="A42" s="101" t="s">
        <v>16</v>
      </c>
      <c r="B42" s="101"/>
      <c r="C42" s="321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121">
        <f>F47</f>
        <v>0.30799999999997707</v>
      </c>
      <c r="H42" s="165">
        <v>0.3</v>
      </c>
      <c r="I42" s="121">
        <v>8.3000000000000004E-2</v>
      </c>
      <c r="J42" s="121">
        <f>I47</f>
        <v>7.7999999999947708E-2</v>
      </c>
      <c r="K42"/>
      <c r="L42" s="102" t="s">
        <v>164</v>
      </c>
      <c r="M42" s="113"/>
      <c r="N42" s="328"/>
      <c r="O42" s="328"/>
      <c r="P42" s="329"/>
      <c r="Q42" s="327"/>
      <c r="R42" s="327"/>
      <c r="S42" s="399"/>
      <c r="T42" s="102"/>
      <c r="U42" s="102"/>
    </row>
    <row r="43" spans="1:21" ht="15.75">
      <c r="A43" s="101" t="s">
        <v>17</v>
      </c>
      <c r="B43" s="101"/>
      <c r="C43" s="321">
        <v>38.253</v>
      </c>
      <c r="D43" s="304">
        <v>154.66999999999999</v>
      </c>
      <c r="E43" s="304">
        <v>342.00200000000001</v>
      </c>
      <c r="F43" s="304">
        <v>311.76</v>
      </c>
      <c r="G43" s="128">
        <v>394.25900000000001</v>
      </c>
      <c r="H43" s="408">
        <v>404.85</v>
      </c>
      <c r="I43" s="128">
        <v>496.15</v>
      </c>
      <c r="J43" s="128">
        <v>386.12900000000002</v>
      </c>
      <c r="K43"/>
      <c r="L43" s="102" t="s">
        <v>72</v>
      </c>
      <c r="M43" s="113">
        <v>3.22</v>
      </c>
      <c r="N43" s="328">
        <v>6.5819999999999999</v>
      </c>
      <c r="O43" s="328">
        <v>6.1950000000000003</v>
      </c>
      <c r="P43" s="329">
        <v>8.9540000000000006</v>
      </c>
      <c r="Q43" s="327">
        <v>11.433</v>
      </c>
      <c r="R43" s="327">
        <v>17.72</v>
      </c>
      <c r="S43" s="399">
        <v>17.498000000000001</v>
      </c>
      <c r="T43" s="102">
        <v>17.923999999999999</v>
      </c>
      <c r="U43" s="102">
        <v>19.48</v>
      </c>
    </row>
    <row r="44" spans="1:21" ht="15.75">
      <c r="A44" s="102" t="s">
        <v>80</v>
      </c>
      <c r="B44" s="102"/>
      <c r="C44" s="322">
        <v>-201.476</v>
      </c>
      <c r="D44" s="305">
        <v>-125.806</v>
      </c>
      <c r="E44" s="305">
        <v>-136.774</v>
      </c>
      <c r="F44" s="305">
        <v>-239.03200000000001</v>
      </c>
      <c r="G44" s="113">
        <v>-228</v>
      </c>
      <c r="H44" s="409">
        <v>-341.84</v>
      </c>
      <c r="I44" s="113">
        <v>-144.91800000000001</v>
      </c>
      <c r="J44" s="113">
        <v>-101.834</v>
      </c>
      <c r="K44"/>
      <c r="L44" s="265"/>
      <c r="M44" s="156"/>
      <c r="N44" s="332"/>
      <c r="O44" s="332"/>
      <c r="P44" s="332"/>
      <c r="Q44" s="296"/>
      <c r="R44" s="296"/>
      <c r="S44" s="400"/>
      <c r="T44" s="102"/>
      <c r="U44" s="102"/>
    </row>
    <row r="45" spans="1:21" ht="15.75">
      <c r="A45" s="102" t="s">
        <v>18</v>
      </c>
      <c r="B45" s="102"/>
      <c r="C45" s="322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113">
        <v>-166</v>
      </c>
      <c r="H45" s="409">
        <v>-63.189</v>
      </c>
      <c r="I45" s="113">
        <v>-351.23700000000002</v>
      </c>
      <c r="J45" s="113">
        <v>-284.28399999999999</v>
      </c>
      <c r="K45"/>
      <c r="L45" s="105" t="s">
        <v>93</v>
      </c>
      <c r="M45" s="111">
        <f t="shared" ref="M45:T45" si="36">SUM(M15:M22)+M23</f>
        <v>1144.71</v>
      </c>
      <c r="N45" s="295">
        <f t="shared" si="36"/>
        <v>1537.8119999999999</v>
      </c>
      <c r="O45" s="295">
        <f t="shared" si="36"/>
        <v>1764.5629999999996</v>
      </c>
      <c r="P45" s="333">
        <f t="shared" si="36"/>
        <v>1877.3059999999998</v>
      </c>
      <c r="Q45" s="333">
        <f t="shared" si="36"/>
        <v>2188.6129999999998</v>
      </c>
      <c r="R45" s="333">
        <f t="shared" si="36"/>
        <v>2584.9060000000004</v>
      </c>
      <c r="S45" s="295">
        <f t="shared" si="36"/>
        <v>3240.7800000000007</v>
      </c>
      <c r="T45" s="295">
        <f t="shared" si="36"/>
        <v>3424.0800000000008</v>
      </c>
      <c r="U45" s="295">
        <f t="shared" ref="U45" si="37">SUM(U15:U22)+U23</f>
        <v>3309.4830000000002</v>
      </c>
    </row>
    <row r="46" spans="1:21" ht="15.75">
      <c r="A46" s="101" t="s">
        <v>19</v>
      </c>
      <c r="B46" s="101"/>
      <c r="C46" s="311">
        <f t="shared" ref="C46:D46" si="38">+C43+C44+C45</f>
        <v>2.8319999999999936</v>
      </c>
      <c r="D46" s="291">
        <f t="shared" si="38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30">
        <f>H43+H44+H45</f>
        <v>-0.17899999999995231</v>
      </c>
      <c r="I46" s="106">
        <f>I43+I44+I45</f>
        <v>-5.0000000000522959E-3</v>
      </c>
      <c r="J46" s="106">
        <f>J43+J44+J45</f>
        <v>1.1000000000024102E-2</v>
      </c>
      <c r="K46"/>
      <c r="L46" s="105" t="s">
        <v>94</v>
      </c>
      <c r="M46" s="111">
        <f>M43+M31+M10+M6+M40+M41+M44+M7</f>
        <v>1144.71</v>
      </c>
      <c r="N46" s="295">
        <f>N43+N31+N10+N6+N40+N41+N44+N7</f>
        <v>1537.8119999999999</v>
      </c>
      <c r="O46" s="295">
        <f>O43+O31+O10+O6+O40+O41+O44+O7</f>
        <v>1764.5630000000001</v>
      </c>
      <c r="P46" s="333">
        <f>P43+P31+P10+P6+P40+P41+P44+P7</f>
        <v>1877.306</v>
      </c>
      <c r="Q46" s="333">
        <f>Q43+Q31+Q10+Q6+Q40+Q41+Q44+Q7+Q42</f>
        <v>2188.6130000000003</v>
      </c>
      <c r="R46" s="333">
        <f>R43+R31+R10+R6+R40+R41+R44+R7+R42</f>
        <v>2586.0259999999998</v>
      </c>
      <c r="S46" s="295">
        <f>S43+S31+S10+S6+S40+S41+S44+S7+S42</f>
        <v>3240.7440000000001</v>
      </c>
      <c r="T46" s="295">
        <f>T43+T31+T10+T6+T40+T41+T44+T7+T42</f>
        <v>3424.0799999999995</v>
      </c>
      <c r="U46" s="295">
        <f>U43+U31+U10+U6+U40+U41+U44+U7+U42</f>
        <v>3309.4829999999997</v>
      </c>
    </row>
    <row r="47" spans="1:21" ht="15.75">
      <c r="A47" s="101" t="s">
        <v>73</v>
      </c>
      <c r="B47" s="101"/>
      <c r="C47" s="311">
        <f t="shared" ref="C47:J47" si="39">C46+C42</f>
        <v>3.3729999999999936</v>
      </c>
      <c r="D47" s="291">
        <f t="shared" si="39"/>
        <v>0.20099999999998897</v>
      </c>
      <c r="E47" s="291">
        <f t="shared" si="39"/>
        <v>0.16400000000002229</v>
      </c>
      <c r="F47" s="291">
        <f t="shared" si="39"/>
        <v>0.30799999999997707</v>
      </c>
      <c r="G47" s="106">
        <f t="shared" si="39"/>
        <v>0.56699999999999162</v>
      </c>
      <c r="H47" s="410">
        <f t="shared" si="39"/>
        <v>0.12100000000004768</v>
      </c>
      <c r="I47" s="106">
        <f t="shared" si="39"/>
        <v>7.7999999999947708E-2</v>
      </c>
      <c r="J47" s="106">
        <f t="shared" si="39"/>
        <v>8.899999999997181E-2</v>
      </c>
      <c r="K47"/>
      <c r="L47" s="127" t="s">
        <v>50</v>
      </c>
      <c r="M47" s="104"/>
      <c r="N47" s="250"/>
      <c r="O47" s="250"/>
      <c r="P47" s="114"/>
      <c r="Q47" s="251"/>
      <c r="R47" s="251"/>
      <c r="S47" s="155"/>
      <c r="T47" s="102"/>
      <c r="U47" s="102"/>
    </row>
    <row r="48" spans="1:21" ht="15.75">
      <c r="A48" s="114"/>
      <c r="B48" s="114"/>
      <c r="C48" s="318"/>
      <c r="D48" s="306"/>
      <c r="E48" s="306"/>
      <c r="F48" s="306"/>
      <c r="G48" s="104"/>
      <c r="H48" s="104"/>
      <c r="I48" s="172"/>
      <c r="J48" s="172"/>
      <c r="K48"/>
      <c r="L48" s="101" t="s">
        <v>51</v>
      </c>
      <c r="M48" s="163" t="s">
        <v>33</v>
      </c>
      <c r="N48" s="144" t="s">
        <v>34</v>
      </c>
      <c r="O48" s="144" t="s">
        <v>87</v>
      </c>
      <c r="P48" s="252" t="s">
        <v>133</v>
      </c>
      <c r="Q48" s="253" t="s">
        <v>166</v>
      </c>
      <c r="R48" s="253" t="s">
        <v>213</v>
      </c>
      <c r="S48" s="392" t="s">
        <v>224</v>
      </c>
      <c r="T48" s="253" t="s">
        <v>226</v>
      </c>
      <c r="U48" s="253" t="s">
        <v>234</v>
      </c>
    </row>
    <row r="49" spans="1:23" ht="15.75">
      <c r="A49" s="129" t="s">
        <v>20</v>
      </c>
      <c r="B49" s="129"/>
      <c r="C49" s="323"/>
      <c r="D49" s="307" t="s">
        <v>87</v>
      </c>
      <c r="E49" s="307" t="s">
        <v>133</v>
      </c>
      <c r="F49" s="307" t="s">
        <v>166</v>
      </c>
      <c r="G49" s="130" t="s">
        <v>213</v>
      </c>
      <c r="H49" s="407" t="s">
        <v>224</v>
      </c>
      <c r="I49" s="130" t="s">
        <v>226</v>
      </c>
      <c r="J49" s="130" t="s">
        <v>231</v>
      </c>
      <c r="K49"/>
      <c r="L49" s="158" t="s">
        <v>229</v>
      </c>
      <c r="M49" s="121"/>
      <c r="N49" s="159"/>
      <c r="O49" s="159"/>
      <c r="P49" s="165"/>
      <c r="Q49" s="121"/>
      <c r="R49" s="121">
        <v>748.6</v>
      </c>
      <c r="S49" s="393">
        <v>1504.8</v>
      </c>
      <c r="T49" s="163">
        <v>914.1</v>
      </c>
      <c r="U49" s="163">
        <v>1258.9000000000001</v>
      </c>
    </row>
    <row r="50" spans="1:23" ht="15.75">
      <c r="A50" s="101" t="s">
        <v>26</v>
      </c>
      <c r="B50" s="101"/>
      <c r="C50" s="286"/>
      <c r="D50" s="295">
        <f t="shared" ref="D50:I50" si="40">D43</f>
        <v>154.66999999999999</v>
      </c>
      <c r="E50" s="295">
        <f t="shared" si="40"/>
        <v>342.00200000000001</v>
      </c>
      <c r="F50" s="295">
        <f t="shared" si="40"/>
        <v>311.76</v>
      </c>
      <c r="G50" s="111">
        <f t="shared" si="40"/>
        <v>394.25900000000001</v>
      </c>
      <c r="H50" s="411">
        <f t="shared" si="40"/>
        <v>404.85</v>
      </c>
      <c r="I50" s="111">
        <f t="shared" si="40"/>
        <v>496.15</v>
      </c>
      <c r="J50" s="111">
        <f t="shared" ref="J50" si="41">J43</f>
        <v>386.12900000000002</v>
      </c>
      <c r="K50"/>
      <c r="L50" s="118" t="s">
        <v>53</v>
      </c>
      <c r="M50" s="134" t="e">
        <f>#REF!</f>
        <v>#REF!</v>
      </c>
      <c r="N50" s="334">
        <f>C34</f>
        <v>2.96</v>
      </c>
      <c r="O50" s="334">
        <f>D34</f>
        <v>4.97</v>
      </c>
      <c r="P50" s="335">
        <f>E34</f>
        <v>5.51</v>
      </c>
      <c r="Q50" s="334">
        <f>F34</f>
        <v>26.65</v>
      </c>
      <c r="R50" s="334">
        <v>32.630000000000003</v>
      </c>
      <c r="S50" s="334">
        <v>52.15</v>
      </c>
      <c r="T50" s="404">
        <f>I34</f>
        <v>33.409999999999997</v>
      </c>
      <c r="U50" s="404">
        <f>J34+9.11</f>
        <v>31.18</v>
      </c>
    </row>
    <row r="51" spans="1:23" ht="15.75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133">
        <v>-231.22800000000001</v>
      </c>
      <c r="H51" s="412">
        <v>-345</v>
      </c>
      <c r="I51" s="133">
        <v>-147.25899999999999</v>
      </c>
      <c r="J51" s="133">
        <v>-102</v>
      </c>
      <c r="K51"/>
      <c r="L51" s="266" t="s">
        <v>54</v>
      </c>
      <c r="M51" s="336" t="e">
        <f>(M6*1000000)/B55</f>
        <v>#DIV/0!</v>
      </c>
      <c r="N51" s="336" t="s">
        <v>128</v>
      </c>
      <c r="O51" s="336">
        <f t="shared" ref="O51:U51" si="42">(O6*1000000)/D55</f>
        <v>36.085791979133667</v>
      </c>
      <c r="P51" s="337">
        <f t="shared" si="42"/>
        <v>42.398320328100588</v>
      </c>
      <c r="Q51" s="336">
        <f t="shared" si="42"/>
        <v>52.357820092219001</v>
      </c>
      <c r="R51" s="336">
        <f t="shared" si="42"/>
        <v>129.58741260782088</v>
      </c>
      <c r="S51" s="336">
        <f t="shared" si="42"/>
        <v>178.28941497294119</v>
      </c>
      <c r="T51" s="405">
        <f t="shared" si="42"/>
        <v>199.11070676977675</v>
      </c>
      <c r="U51" s="405">
        <f t="shared" si="42"/>
        <v>204.2345453487016</v>
      </c>
    </row>
    <row r="52" spans="1:23" ht="15.75">
      <c r="A52" s="105" t="s">
        <v>28</v>
      </c>
      <c r="B52" s="105"/>
      <c r="C52" s="313"/>
      <c r="D52" s="295">
        <f t="shared" ref="D52" si="43">SUM(D50:D51)</f>
        <v>3.3699999999999761</v>
      </c>
      <c r="E52" s="295">
        <f t="shared" ref="E52:J52" si="44">SUM(E50:E51)</f>
        <v>165.50200000000001</v>
      </c>
      <c r="F52" s="295">
        <f t="shared" si="44"/>
        <v>8.4669999999999845</v>
      </c>
      <c r="G52" s="111">
        <f t="shared" si="44"/>
        <v>163.03100000000001</v>
      </c>
      <c r="H52" s="411">
        <f t="shared" si="44"/>
        <v>59.850000000000023</v>
      </c>
      <c r="I52" s="111">
        <f t="shared" si="44"/>
        <v>348.89099999999996</v>
      </c>
      <c r="J52" s="111">
        <f t="shared" si="44"/>
        <v>284.12900000000002</v>
      </c>
      <c r="K52"/>
      <c r="L52" s="157" t="s">
        <v>55</v>
      </c>
      <c r="M52" s="338"/>
      <c r="N52" s="338"/>
      <c r="O52" s="338"/>
      <c r="P52" s="339"/>
      <c r="Q52" s="338"/>
      <c r="R52" s="338"/>
      <c r="S52" s="394">
        <v>13</v>
      </c>
      <c r="T52" s="406">
        <v>7.5</v>
      </c>
      <c r="U52" s="406"/>
      <c r="V52" s="145"/>
      <c r="W52" s="145"/>
    </row>
    <row r="53" spans="1:23" ht="15.75">
      <c r="A53" s="259"/>
      <c r="B53" s="260"/>
      <c r="C53" s="324"/>
      <c r="D53" s="308"/>
      <c r="E53" s="308"/>
      <c r="F53" s="308"/>
      <c r="G53" s="261"/>
      <c r="H53" s="260"/>
      <c r="I53" s="416"/>
      <c r="J53" s="416"/>
      <c r="K53"/>
      <c r="L53" s="157" t="s">
        <v>56</v>
      </c>
      <c r="M53" s="336" t="e">
        <f t="shared" ref="M53:N53" si="45">(M49/M50)</f>
        <v>#REF!</v>
      </c>
      <c r="N53" s="336">
        <f t="shared" si="45"/>
        <v>0</v>
      </c>
      <c r="O53" s="336">
        <f t="shared" ref="O53" si="46">(O49/O50)</f>
        <v>0</v>
      </c>
      <c r="P53" s="337">
        <f t="shared" ref="P53:U53" si="47">(P49/P50)</f>
        <v>0</v>
      </c>
      <c r="Q53" s="336">
        <f t="shared" si="47"/>
        <v>0</v>
      </c>
      <c r="R53" s="336">
        <f t="shared" si="47"/>
        <v>22.942077842476248</v>
      </c>
      <c r="S53" s="336">
        <f t="shared" si="47"/>
        <v>28.855225311601149</v>
      </c>
      <c r="T53" s="405">
        <f t="shared" si="47"/>
        <v>27.360071834780008</v>
      </c>
      <c r="U53" s="405">
        <f t="shared" si="47"/>
        <v>40.375240538806928</v>
      </c>
    </row>
    <row r="54" spans="1:23" ht="15.75">
      <c r="A54" s="262"/>
      <c r="B54" s="263"/>
      <c r="C54" s="325"/>
      <c r="D54" s="309"/>
      <c r="E54" s="309"/>
      <c r="F54" s="309"/>
      <c r="G54" s="264"/>
      <c r="H54" s="350"/>
      <c r="I54" s="138"/>
      <c r="J54" s="138"/>
      <c r="K54"/>
      <c r="L54" s="157" t="s">
        <v>57</v>
      </c>
      <c r="M54" s="336" t="e">
        <f t="shared" ref="M54" si="48">(M49/M51)</f>
        <v>#DIV/0!</v>
      </c>
      <c r="N54" s="336" t="s">
        <v>128</v>
      </c>
      <c r="O54" s="336">
        <f t="shared" ref="O54:P54" si="49">(O49/O51)</f>
        <v>0</v>
      </c>
      <c r="P54" s="337">
        <f t="shared" si="49"/>
        <v>0</v>
      </c>
      <c r="Q54" s="336">
        <f>(Q49/Q51)</f>
        <v>0</v>
      </c>
      <c r="R54" s="336">
        <f>(R49/R51)</f>
        <v>5.7767956388290473</v>
      </c>
      <c r="S54" s="336">
        <f>(S49/S51)</f>
        <v>8.4402094214532148</v>
      </c>
      <c r="T54" s="405">
        <f>(T49/T51)</f>
        <v>4.5909133407724525</v>
      </c>
      <c r="U54" s="405">
        <f>(U49/U51)</f>
        <v>6.1639914924804051</v>
      </c>
    </row>
    <row r="55" spans="1:23" ht="15.75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13">
        <v>13020902</v>
      </c>
      <c r="I55" s="138">
        <v>13020902</v>
      </c>
      <c r="J55" s="138">
        <v>13020902</v>
      </c>
      <c r="K55"/>
      <c r="L55" s="157" t="s">
        <v>58</v>
      </c>
      <c r="M55" s="336">
        <f t="shared" ref="M55:U55" si="50">B59/B16</f>
        <v>0</v>
      </c>
      <c r="N55" s="336">
        <f t="shared" si="50"/>
        <v>0</v>
      </c>
      <c r="O55" s="336">
        <f t="shared" si="50"/>
        <v>1.6180738708265825</v>
      </c>
      <c r="P55" s="337">
        <f t="shared" si="50"/>
        <v>1.3481454563611499</v>
      </c>
      <c r="Q55" s="336">
        <f t="shared" si="50"/>
        <v>1.2507479164814532</v>
      </c>
      <c r="R55" s="336">
        <f t="shared" si="50"/>
        <v>14.892342515894354</v>
      </c>
      <c r="S55" s="336">
        <f t="shared" si="50"/>
        <v>19.274939282880709</v>
      </c>
      <c r="T55" s="405">
        <f t="shared" si="50"/>
        <v>17.145749323620084</v>
      </c>
      <c r="U55" s="405">
        <f t="shared" si="50"/>
        <v>34.702168510971894</v>
      </c>
    </row>
    <row r="56" spans="1:23" ht="15.75">
      <c r="A56" s="102" t="s">
        <v>75</v>
      </c>
      <c r="B56" s="102"/>
      <c r="C56" s="287"/>
      <c r="D56" s="352">
        <f t="shared" ref="D56:J56" si="51">D55*O49/1000000</f>
        <v>0</v>
      </c>
      <c r="E56" s="352">
        <f t="shared" si="51"/>
        <v>0</v>
      </c>
      <c r="F56" s="352">
        <f t="shared" si="51"/>
        <v>0</v>
      </c>
      <c r="G56" s="352">
        <f t="shared" si="51"/>
        <v>9747.4472372</v>
      </c>
      <c r="H56" s="414">
        <f t="shared" si="51"/>
        <v>19593.853329599999</v>
      </c>
      <c r="I56" s="352">
        <f t="shared" si="51"/>
        <v>11902.406518200001</v>
      </c>
      <c r="J56" s="352">
        <f t="shared" si="51"/>
        <v>16392.013527800002</v>
      </c>
      <c r="K56"/>
      <c r="L56" s="161" t="s">
        <v>59</v>
      </c>
      <c r="M56" s="160">
        <f t="shared" ref="M56:T56" si="52">(B27/M6)</f>
        <v>0.16756382469136977</v>
      </c>
      <c r="N56" s="160">
        <f t="shared" si="52"/>
        <v>0.12587195891301828</v>
      </c>
      <c r="O56" s="160">
        <f t="shared" si="52"/>
        <v>0.22209054956731222</v>
      </c>
      <c r="P56" s="160">
        <f t="shared" si="52"/>
        <v>0.20969070095375078</v>
      </c>
      <c r="Q56" s="160">
        <f t="shared" si="52"/>
        <v>0.27386291268908719</v>
      </c>
      <c r="R56" s="160">
        <f t="shared" si="52"/>
        <v>0.25178431204051327</v>
      </c>
      <c r="S56" s="160">
        <f t="shared" si="52"/>
        <v>0.29250192441144396</v>
      </c>
      <c r="T56" s="160">
        <f t="shared" si="52"/>
        <v>0.16783145574656491</v>
      </c>
      <c r="U56" s="422" t="s">
        <v>232</v>
      </c>
    </row>
    <row r="57" spans="1:23" ht="15.75">
      <c r="A57" s="155" t="s">
        <v>78</v>
      </c>
      <c r="B57" s="155"/>
      <c r="C57" s="326"/>
      <c r="D57" s="352">
        <f t="shared" ref="D57:J57" si="53">O10</f>
        <v>551.25300000000004</v>
      </c>
      <c r="E57" s="352">
        <f t="shared" si="53"/>
        <v>487.81399999999996</v>
      </c>
      <c r="F57" s="352">
        <f t="shared" si="53"/>
        <v>607.053</v>
      </c>
      <c r="G57" s="352">
        <f t="shared" si="53"/>
        <v>482.15199999999999</v>
      </c>
      <c r="H57" s="414">
        <f t="shared" si="53"/>
        <v>620.29999999999995</v>
      </c>
      <c r="I57" s="352">
        <f t="shared" si="53"/>
        <v>501.67599999999999</v>
      </c>
      <c r="J57" s="352">
        <f t="shared" si="53"/>
        <v>341.608</v>
      </c>
      <c r="K57"/>
      <c r="L57" s="161" t="s">
        <v>60</v>
      </c>
      <c r="M57" s="160">
        <f t="shared" ref="M57:T57" si="54">(B16-B20+B5)/M11</f>
        <v>0.24720760270987205</v>
      </c>
      <c r="N57" s="160">
        <f t="shared" si="54"/>
        <v>0.19323718322786637</v>
      </c>
      <c r="O57" s="160">
        <f t="shared" si="54"/>
        <v>0.27524514440179887</v>
      </c>
      <c r="P57" s="160">
        <f t="shared" si="54"/>
        <v>0.28198589707494581</v>
      </c>
      <c r="Q57" s="160">
        <f t="shared" si="54"/>
        <v>0.31443558975925501</v>
      </c>
      <c r="R57" s="160">
        <f t="shared" si="54"/>
        <v>0.30014087800484407</v>
      </c>
      <c r="S57" s="160">
        <f t="shared" si="54"/>
        <v>0.3821516350573621</v>
      </c>
      <c r="T57" s="160">
        <f t="shared" si="54"/>
        <v>0.23533103801068811</v>
      </c>
      <c r="U57" s="422" t="s">
        <v>232</v>
      </c>
    </row>
    <row r="58" spans="1:23" ht="15.75">
      <c r="A58" s="155" t="s">
        <v>76</v>
      </c>
      <c r="B58" s="155"/>
      <c r="C58" s="326"/>
      <c r="D58" s="352">
        <f t="shared" ref="D58:J58" si="55">O26</f>
        <v>4.0009999999999994</v>
      </c>
      <c r="E58" s="352">
        <f t="shared" si="55"/>
        <v>1.8169999999999999</v>
      </c>
      <c r="F58" s="352">
        <f t="shared" si="55"/>
        <v>2.0949999999999998</v>
      </c>
      <c r="G58" s="352">
        <f t="shared" si="55"/>
        <v>2.7</v>
      </c>
      <c r="H58" s="414">
        <f t="shared" si="55"/>
        <v>1.681</v>
      </c>
      <c r="I58" s="352">
        <f t="shared" si="55"/>
        <v>0.67600000000000005</v>
      </c>
      <c r="J58" s="352">
        <f t="shared" si="55"/>
        <v>0.68700000000000006</v>
      </c>
      <c r="K58"/>
      <c r="L58" s="157" t="s">
        <v>61</v>
      </c>
      <c r="M58" s="340">
        <f t="shared" ref="M58:T58" si="56">(M10/M6)</f>
        <v>0.45087763396901132</v>
      </c>
      <c r="N58" s="353">
        <f t="shared" si="56"/>
        <v>0.69878023022494451</v>
      </c>
      <c r="O58" s="353">
        <f t="shared" si="56"/>
        <v>0.63117344380096596</v>
      </c>
      <c r="P58" s="354">
        <f t="shared" si="56"/>
        <v>0.47537857193670757</v>
      </c>
      <c r="Q58" s="353">
        <f t="shared" si="56"/>
        <v>0.47904801662238289</v>
      </c>
      <c r="R58" s="353">
        <f t="shared" si="56"/>
        <v>0.28574594999837022</v>
      </c>
      <c r="S58" s="353">
        <f t="shared" si="56"/>
        <v>0.26719919844548046</v>
      </c>
      <c r="T58" s="406">
        <f t="shared" si="56"/>
        <v>0.19350297249750351</v>
      </c>
      <c r="U58" s="406">
        <f t="shared" ref="U58" si="57">(U10/U6)</f>
        <v>0.12845699536497704</v>
      </c>
    </row>
    <row r="59" spans="1:23" ht="15.75">
      <c r="A59" s="102" t="s">
        <v>77</v>
      </c>
      <c r="B59" s="102"/>
      <c r="C59" s="287"/>
      <c r="D59" s="134">
        <f t="shared" ref="D59:E59" si="58">D56+D57-D58</f>
        <v>547.25200000000007</v>
      </c>
      <c r="E59" s="134">
        <f t="shared" si="58"/>
        <v>485.99699999999996</v>
      </c>
      <c r="F59" s="134">
        <f>F56+F57-F58</f>
        <v>604.95799999999997</v>
      </c>
      <c r="G59" s="134">
        <f>G56+G57-G58</f>
        <v>10226.899237199999</v>
      </c>
      <c r="H59" s="415">
        <f t="shared" ref="H59:I59" si="59">H56+H57-H58</f>
        <v>20212.472329599997</v>
      </c>
      <c r="I59" s="134">
        <f t="shared" si="59"/>
        <v>12403.406518200001</v>
      </c>
      <c r="J59" s="134">
        <f>J56+J57-J58</f>
        <v>16732.9345278</v>
      </c>
      <c r="K59"/>
      <c r="L59" s="157" t="s">
        <v>62</v>
      </c>
      <c r="M59" s="340">
        <f t="shared" ref="M59:T59" si="60">(M10-M26)/M6</f>
        <v>0.44848732043006673</v>
      </c>
      <c r="N59" s="353">
        <f t="shared" si="60"/>
        <v>0.69220892552428703</v>
      </c>
      <c r="O59" s="353">
        <f t="shared" si="60"/>
        <v>0.62659238038970544</v>
      </c>
      <c r="P59" s="354">
        <f t="shared" si="60"/>
        <v>0.47360789117475938</v>
      </c>
      <c r="Q59" s="353">
        <f t="shared" si="60"/>
        <v>0.47739477449224943</v>
      </c>
      <c r="R59" s="353">
        <f t="shared" si="60"/>
        <v>0.28414580302190717</v>
      </c>
      <c r="S59" s="353">
        <f t="shared" si="60"/>
        <v>0.26647509421754739</v>
      </c>
      <c r="T59" s="406">
        <f t="shared" si="60"/>
        <v>0.19324223048590974</v>
      </c>
      <c r="U59" s="406">
        <f t="shared" ref="U59" si="61">(U10-U26)/U6</f>
        <v>0.12819865845303194</v>
      </c>
    </row>
    <row r="60" spans="1:23" ht="15.75">
      <c r="K60"/>
      <c r="L60" s="157" t="s">
        <v>63</v>
      </c>
      <c r="M60" s="341" t="e">
        <f t="shared" ref="M60" si="62">(M52/M49)</f>
        <v>#DIV/0!</v>
      </c>
      <c r="N60" s="341" t="s">
        <v>128</v>
      </c>
      <c r="O60" s="341" t="s">
        <v>128</v>
      </c>
      <c r="P60" s="342" t="s">
        <v>128</v>
      </c>
      <c r="Q60" s="341" t="s">
        <v>128</v>
      </c>
      <c r="R60" s="341">
        <f t="shared" ref="R60:T60" si="63">(R52/R49)</f>
        <v>0</v>
      </c>
      <c r="S60" s="418">
        <f t="shared" si="63"/>
        <v>8.6390217969165347E-3</v>
      </c>
      <c r="T60" s="417">
        <f t="shared" si="63"/>
        <v>8.2047915982934039E-3</v>
      </c>
      <c r="U60" s="422" t="s">
        <v>232</v>
      </c>
    </row>
    <row r="61" spans="1:23" ht="15.75">
      <c r="K61"/>
      <c r="L61" s="157" t="s">
        <v>64</v>
      </c>
      <c r="M61" s="340">
        <f>(AVERAGE(M25)/B6*365)</f>
        <v>37.535199832850786</v>
      </c>
      <c r="N61" s="353">
        <f>(AVERAGE(N25)/C6*365)</f>
        <v>45.435718799128018</v>
      </c>
      <c r="O61" s="353">
        <f>(AVERAGE(O25)/D6*365)</f>
        <v>47.607487053089251</v>
      </c>
      <c r="P61" s="354">
        <f>(AVERAGE(O25:P25)/E6*365)</f>
        <v>46.057142857142857</v>
      </c>
      <c r="Q61" s="353">
        <f>(AVERAGE(P25:Q25)/F6*365)</f>
        <v>40.810114915874863</v>
      </c>
      <c r="R61" s="353">
        <f>(AVERAGE(Q25,R25)/G6*365)</f>
        <v>38.926262991002176</v>
      </c>
      <c r="S61" s="353">
        <f>(AVERAGE(R25,S25)/H6*365)</f>
        <v>30.907638160501595</v>
      </c>
      <c r="T61" s="353">
        <f>(AVERAGE(S25,T25)/I6*365)</f>
        <v>35.109577395312279</v>
      </c>
      <c r="U61" s="422" t="s">
        <v>232</v>
      </c>
    </row>
    <row r="62" spans="1:23" ht="15.75">
      <c r="K62"/>
      <c r="L62" s="157" t="s">
        <v>65</v>
      </c>
      <c r="M62" s="340">
        <f>AVERAGE(L32:M32)/(B10)*365</f>
        <v>10.257134446905745</v>
      </c>
      <c r="N62" s="353">
        <f>AVERAGE(M32:N32)/(C10)*365</f>
        <v>12.960370836557695</v>
      </c>
      <c r="O62" s="353">
        <f>AVERAGE(N32:O32)/(D10)*365</f>
        <v>15.456256613739932</v>
      </c>
      <c r="P62" s="353">
        <f>AVERAGE(O32:P32)/(E10)*365</f>
        <v>18.268510948728732</v>
      </c>
      <c r="Q62" s="353">
        <f>AVERAGE(P32:Q32)/(F10)*365</f>
        <v>13.631861402190442</v>
      </c>
      <c r="R62" s="353">
        <f>AVERAGE(Q32,R32)/(G10)*365</f>
        <v>11.388039436366093</v>
      </c>
      <c r="S62" s="353">
        <f>AVERAGE(R32,S32)/(H10)*365</f>
        <v>7.7385639687238541</v>
      </c>
      <c r="T62" s="353">
        <f>AVERAGE(S32,T32)/(I10)*365</f>
        <v>7.1432115572576951</v>
      </c>
      <c r="U62" s="422" t="s">
        <v>232</v>
      </c>
    </row>
    <row r="63" spans="1:23" ht="15.75">
      <c r="K63" s="90"/>
      <c r="L63" s="157" t="s">
        <v>66</v>
      </c>
      <c r="M63" s="343">
        <f>(AVERAGE(L24:M24)/(B10+B13+B11)*365)</f>
        <v>49.2114265442899</v>
      </c>
      <c r="N63" s="355">
        <f>(AVERAGE(M24:N24)/(C10+C13+C11)*365)</f>
        <v>53.910349153572007</v>
      </c>
      <c r="O63" s="355">
        <f>(AVERAGE(N24:O24)/(D10+D13+D11)*365)</f>
        <v>61.636924422973166</v>
      </c>
      <c r="P63" s="355">
        <f>(AVERAGE(O24:P24)/(E10+E13+E11)*365)</f>
        <v>71.148104719188424</v>
      </c>
      <c r="Q63" s="355">
        <f>(AVERAGE(P24:Q24)/(F10+F13+F11)*365)</f>
        <v>55.930906534623858</v>
      </c>
      <c r="R63" s="355">
        <f>(AVERAGE(Q24,R24)/(G10+G13+G11)*365)</f>
        <v>51.007564345344747</v>
      </c>
      <c r="S63" s="355">
        <f>(AVERAGE(R24,S24)/(H10+H13+H11)*365)</f>
        <v>42.508223019809968</v>
      </c>
      <c r="T63" s="355">
        <f>(AVERAGE(S24,T24)/(I10+I13+I11)*365)</f>
        <v>51.887122625235527</v>
      </c>
      <c r="U63" s="422" t="s">
        <v>232</v>
      </c>
    </row>
    <row r="64" spans="1:23" ht="15.75">
      <c r="K64"/>
      <c r="L64" s="157" t="s">
        <v>82</v>
      </c>
      <c r="M64" s="343">
        <f t="shared" ref="M64" si="64">(M63+M61-M62)</f>
        <v>76.489491930234948</v>
      </c>
      <c r="N64" s="355">
        <f t="shared" ref="N64" si="65">(N63+N61-N62)</f>
        <v>86.385697116142325</v>
      </c>
      <c r="O64" s="355">
        <f>(O63+O61-O62)</f>
        <v>93.7881548623225</v>
      </c>
      <c r="P64" s="356">
        <f t="shared" ref="P64:Q64" si="66">(P63+P61-P62)</f>
        <v>98.936736627602556</v>
      </c>
      <c r="Q64" s="355">
        <f t="shared" si="66"/>
        <v>83.109160048308283</v>
      </c>
      <c r="R64" s="355">
        <f t="shared" ref="R64:S64" si="67">(R63+R61-R62)</f>
        <v>78.545787899980837</v>
      </c>
      <c r="S64" s="355">
        <f t="shared" si="67"/>
        <v>65.677297211587714</v>
      </c>
      <c r="T64" s="355">
        <f t="shared" ref="T64" si="68">(T63+T61-T62)</f>
        <v>79.853488463290105</v>
      </c>
      <c r="U64" s="422" t="s">
        <v>232</v>
      </c>
    </row>
    <row r="65" spans="1:21" ht="1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57" t="s">
        <v>67</v>
      </c>
      <c r="M65" s="344">
        <f>AVERAGE(M39)/B6*365</f>
        <v>5.7562427245321439</v>
      </c>
      <c r="N65" s="357">
        <f>AVERAGE(N39)/C6*365</f>
        <v>3.7284572031387064</v>
      </c>
      <c r="O65" s="357">
        <f>AVERAGE(O39)/D6*365</f>
        <v>9.4826102503367906</v>
      </c>
      <c r="P65" s="357">
        <f t="shared" ref="P65:T65" si="69">AVERAGE(O39:P39)/E6*365</f>
        <v>8.7526920315864931</v>
      </c>
      <c r="Q65" s="357">
        <f t="shared" si="69"/>
        <v>10.277156533193303</v>
      </c>
      <c r="R65" s="357">
        <f t="shared" si="69"/>
        <v>27.109820774314628</v>
      </c>
      <c r="S65" s="357">
        <f t="shared" si="69"/>
        <v>33.181000940105207</v>
      </c>
      <c r="T65" s="357">
        <f t="shared" si="69"/>
        <v>42.66836862104315</v>
      </c>
      <c r="U65" s="422" t="s">
        <v>232</v>
      </c>
    </row>
    <row r="66" spans="1:21" ht="1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71" t="s">
        <v>88</v>
      </c>
      <c r="M66" s="345">
        <f t="shared" ref="M66:T66" si="70">B21/M10</f>
        <v>0.13747703398269309</v>
      </c>
      <c r="N66" s="358">
        <f t="shared" si="70"/>
        <v>9.3325750239125982E-2</v>
      </c>
      <c r="O66" s="358">
        <f t="shared" si="70"/>
        <v>0.10441122315887623</v>
      </c>
      <c r="P66" s="359">
        <f t="shared" si="70"/>
        <v>0.1175632515671957</v>
      </c>
      <c r="Q66" s="358">
        <f t="shared" si="70"/>
        <v>0.10837603965386879</v>
      </c>
      <c r="R66" s="358">
        <f t="shared" si="70"/>
        <v>0.1414553916607211</v>
      </c>
      <c r="S66" s="358">
        <f t="shared" si="70"/>
        <v>0.11052716427535064</v>
      </c>
      <c r="T66" s="358">
        <f t="shared" si="70"/>
        <v>0.1248215980034923</v>
      </c>
      <c r="U66" s="422" t="s">
        <v>232</v>
      </c>
    </row>
    <row r="67" spans="1:21" ht="1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2" t="s">
        <v>131</v>
      </c>
      <c r="M67" s="346">
        <f>B4/AVERAGE(L15:M15)</f>
        <v>2.2707644273469811</v>
      </c>
      <c r="N67" s="360">
        <f>C4/AVERAGE(M15:N15)</f>
        <v>2.4431376143601136</v>
      </c>
      <c r="O67" s="360">
        <f>D4/AVERAGE(N15:O15)</f>
        <v>2.4899344032852189</v>
      </c>
      <c r="P67" s="360">
        <f>E4/AVERAGE(O15:P15)</f>
        <v>2.305195874519637</v>
      </c>
      <c r="Q67" s="360">
        <f>F4/AVERAGE(P15:Q15)</f>
        <v>2.5846381925142348</v>
      </c>
      <c r="R67" s="360">
        <f>G4/AVERAGE(Q15,R15)</f>
        <v>3.2517162818519156</v>
      </c>
      <c r="S67" s="360">
        <f>H4/AVERAGE(R15,S15)</f>
        <v>4.979688188335051</v>
      </c>
      <c r="T67" s="360">
        <f>I4/AVERAGE(S15,T15)</f>
        <v>4.5036320453949203</v>
      </c>
      <c r="U67" s="360">
        <f>J4/AVERAGE(T15,U15)</f>
        <v>3.0721294986997671</v>
      </c>
    </row>
    <row r="68" spans="1:21" ht="15.75">
      <c r="A68" s="114"/>
      <c r="B68" s="114"/>
      <c r="C68" s="114"/>
      <c r="E68" s="104"/>
      <c r="F68" s="254"/>
      <c r="G68" s="255"/>
      <c r="H68" s="255"/>
      <c r="I68" s="255"/>
      <c r="J68" s="255"/>
      <c r="K68" s="254"/>
      <c r="L68"/>
      <c r="M68"/>
      <c r="O68" s="114"/>
      <c r="P68" s="114"/>
      <c r="R68" s="114"/>
      <c r="S68" s="114"/>
      <c r="T68" s="114"/>
    </row>
    <row r="69" spans="1:21" ht="1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445" t="s">
        <v>235</v>
      </c>
      <c r="L69" s="16" t="s">
        <v>236</v>
      </c>
      <c r="M69" s="15"/>
      <c r="R69" s="114"/>
      <c r="S69" s="114"/>
      <c r="T69" s="114"/>
    </row>
    <row r="70" spans="1:21" ht="1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R70" s="114"/>
      <c r="S70" s="114"/>
      <c r="T70" s="114"/>
    </row>
    <row r="71" spans="1:21" ht="1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M71" s="10">
        <v>48.75</v>
      </c>
      <c r="Q71" s="88"/>
      <c r="R71" s="114"/>
      <c r="S71" s="114"/>
      <c r="T71" s="114"/>
    </row>
    <row r="72" spans="1:21" ht="1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M72" s="10">
        <v>0.56999999999999995</v>
      </c>
      <c r="R72" s="114"/>
      <c r="S72" s="114"/>
      <c r="T72" s="114"/>
    </row>
    <row r="73" spans="1:21" ht="1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M73" s="10">
        <v>0.12</v>
      </c>
      <c r="R73" s="114"/>
      <c r="S73" s="114"/>
      <c r="T73" s="114"/>
    </row>
    <row r="74" spans="1:21" ht="1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R74" s="114"/>
      <c r="S74" s="114"/>
      <c r="T74" s="114"/>
    </row>
    <row r="75" spans="1:21" ht="1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</row>
    <row r="76" spans="1:21">
      <c r="G76" s="256"/>
      <c r="H76" s="256"/>
      <c r="I76" s="256"/>
      <c r="J76" s="256"/>
      <c r="K76" s="256"/>
    </row>
    <row r="77" spans="1:21">
      <c r="M77" s="10">
        <v>1.5</v>
      </c>
    </row>
    <row r="78" spans="1:21">
      <c r="M78" s="10">
        <v>2.5</v>
      </c>
    </row>
    <row r="79" spans="1:21">
      <c r="M79" s="10">
        <v>1.5</v>
      </c>
    </row>
    <row r="80" spans="1:21">
      <c r="M80" s="10">
        <v>1</v>
      </c>
    </row>
  </sheetData>
  <mergeCells count="2">
    <mergeCell ref="A1:R1"/>
    <mergeCell ref="S1:AK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19" workbookViewId="0">
      <selection activeCell="E43" sqref="E43"/>
    </sheetView>
  </sheetViews>
  <sheetFormatPr defaultColWidth="8.85546875" defaultRowHeight="15"/>
  <sheetData>
    <row r="1" spans="1:6" ht="15.75">
      <c r="A1" s="257" t="s">
        <v>97</v>
      </c>
      <c r="E1" t="s">
        <v>213</v>
      </c>
      <c r="F1" t="s">
        <v>215</v>
      </c>
    </row>
    <row r="2" spans="1:6" ht="15.75">
      <c r="A2" s="101" t="s">
        <v>0</v>
      </c>
    </row>
    <row r="3" spans="1:6" ht="15.75">
      <c r="A3" s="101" t="s">
        <v>169</v>
      </c>
      <c r="E3">
        <v>396</v>
      </c>
      <c r="F3">
        <v>307</v>
      </c>
    </row>
    <row r="4" spans="1:6" ht="15.75">
      <c r="A4" s="102" t="s">
        <v>6</v>
      </c>
      <c r="E4">
        <v>2.8</v>
      </c>
      <c r="F4">
        <v>2.4</v>
      </c>
    </row>
    <row r="5" spans="1:6" ht="15.75">
      <c r="A5" s="105" t="s">
        <v>95</v>
      </c>
      <c r="E5">
        <v>397</v>
      </c>
      <c r="F5">
        <v>307.3</v>
      </c>
    </row>
    <row r="6" spans="1:6" ht="15.75">
      <c r="A6" s="107" t="s">
        <v>2</v>
      </c>
      <c r="E6" s="390">
        <v>0.26</v>
      </c>
      <c r="F6" s="284"/>
    </row>
    <row r="7" spans="1:6" ht="15.75">
      <c r="A7" s="107" t="s">
        <v>214</v>
      </c>
      <c r="E7" s="390">
        <v>0.19</v>
      </c>
      <c r="F7" s="284"/>
    </row>
    <row r="8" spans="1:6" ht="15.75">
      <c r="A8" s="105" t="s">
        <v>3</v>
      </c>
      <c r="E8">
        <v>327</v>
      </c>
      <c r="F8">
        <v>242</v>
      </c>
    </row>
    <row r="9" spans="1:6" ht="15.75">
      <c r="A9" s="102" t="s">
        <v>111</v>
      </c>
      <c r="E9">
        <v>277</v>
      </c>
      <c r="F9">
        <v>201</v>
      </c>
    </row>
    <row r="10" spans="1:6" ht="195.75">
      <c r="A10" s="149" t="s">
        <v>114</v>
      </c>
      <c r="E10">
        <v>-10.8</v>
      </c>
      <c r="F10">
        <v>3.8</v>
      </c>
    </row>
    <row r="11" spans="1:6" ht="30.75">
      <c r="A11" s="149" t="s">
        <v>174</v>
      </c>
    </row>
    <row r="12" spans="1:6" ht="75.75">
      <c r="A12" s="149" t="s">
        <v>173</v>
      </c>
    </row>
    <row r="13" spans="1:6" ht="15.75">
      <c r="A13" s="102" t="s">
        <v>115</v>
      </c>
      <c r="E13">
        <v>16</v>
      </c>
      <c r="F13">
        <v>8</v>
      </c>
    </row>
    <row r="14" spans="1:6" ht="15.75">
      <c r="A14" s="102" t="s">
        <v>70</v>
      </c>
      <c r="E14">
        <v>24</v>
      </c>
      <c r="F14">
        <v>13</v>
      </c>
    </row>
    <row r="15" spans="1:6" ht="15.75">
      <c r="A15" s="105" t="s">
        <v>171</v>
      </c>
      <c r="E15">
        <v>68.599999999999994</v>
      </c>
      <c r="F15">
        <v>64.8</v>
      </c>
    </row>
    <row r="16" spans="1:6" ht="15.75">
      <c r="A16" s="107" t="s">
        <v>2</v>
      </c>
      <c r="E16" s="390">
        <v>0.42</v>
      </c>
      <c r="F16" s="390"/>
    </row>
    <row r="17" spans="1:6" ht="15.75">
      <c r="A17" s="107" t="s">
        <v>214</v>
      </c>
      <c r="E17" s="390">
        <v>0.25</v>
      </c>
      <c r="F17" s="390">
        <v>0.13</v>
      </c>
    </row>
    <row r="18" spans="1:6" ht="15.75">
      <c r="A18" s="105" t="s">
        <v>172</v>
      </c>
      <c r="E18" s="284">
        <v>0.17319999999999999</v>
      </c>
      <c r="F18" s="284">
        <v>0.21110000000000001</v>
      </c>
    </row>
    <row r="19" spans="1:6" ht="15.75">
      <c r="A19" s="102" t="s">
        <v>7</v>
      </c>
      <c r="E19">
        <v>6</v>
      </c>
      <c r="F19">
        <v>6</v>
      </c>
    </row>
    <row r="20" spans="1:6" ht="15.75">
      <c r="A20" s="102" t="s">
        <v>116</v>
      </c>
      <c r="E20">
        <v>6</v>
      </c>
      <c r="F20">
        <v>6</v>
      </c>
    </row>
    <row r="21" spans="1:6" ht="15.75">
      <c r="A21" s="102" t="s">
        <v>117</v>
      </c>
    </row>
    <row r="22" spans="1:6" ht="15.75">
      <c r="A22" s="102" t="s">
        <v>167</v>
      </c>
    </row>
    <row r="23" spans="1:6" ht="15.75">
      <c r="A23" s="105" t="s">
        <v>8</v>
      </c>
      <c r="E23">
        <v>555</v>
      </c>
      <c r="F23">
        <v>579</v>
      </c>
    </row>
    <row r="24" spans="1:6" ht="15.75">
      <c r="A24" s="102" t="s">
        <v>9</v>
      </c>
      <c r="E24">
        <v>13</v>
      </c>
      <c r="F24">
        <v>14</v>
      </c>
    </row>
    <row r="25" spans="1:6" ht="15.75">
      <c r="A25" s="107" t="s">
        <v>10</v>
      </c>
      <c r="E25">
        <v>24</v>
      </c>
      <c r="F25" s="390">
        <v>0.25</v>
      </c>
    </row>
    <row r="26" spans="1:6" ht="15.75">
      <c r="A26" s="105" t="s">
        <v>11</v>
      </c>
      <c r="E26">
        <f>E23-E24</f>
        <v>542</v>
      </c>
      <c r="F26">
        <f>F23-F24</f>
        <v>565</v>
      </c>
    </row>
    <row r="27" spans="1:6" ht="15.75">
      <c r="A27" s="102" t="s">
        <v>12</v>
      </c>
    </row>
    <row r="28" spans="1:6" ht="15.75">
      <c r="A28" s="102" t="s">
        <v>71</v>
      </c>
    </row>
    <row r="29" spans="1:6" ht="15.75">
      <c r="A29" s="105" t="s">
        <v>13</v>
      </c>
      <c r="E29">
        <v>54</v>
      </c>
      <c r="F29">
        <v>56</v>
      </c>
    </row>
    <row r="30" spans="1:6" ht="15.75">
      <c r="A30" s="105" t="s">
        <v>81</v>
      </c>
      <c r="E30" s="390">
        <v>0.11</v>
      </c>
      <c r="F30" s="390">
        <v>0.14000000000000001</v>
      </c>
    </row>
    <row r="31" spans="1:6" ht="15.75">
      <c r="A31" s="107" t="s">
        <v>2</v>
      </c>
      <c r="E31" s="390">
        <v>0.21</v>
      </c>
    </row>
    <row r="32" spans="1:6" ht="15.75">
      <c r="A32" s="107" t="s">
        <v>123</v>
      </c>
      <c r="E32" s="390">
        <v>0.11</v>
      </c>
    </row>
    <row r="33" spans="1:6" ht="15.75">
      <c r="A33" s="101" t="s">
        <v>14</v>
      </c>
      <c r="E33" s="390">
        <v>0.32</v>
      </c>
      <c r="F33">
        <v>33</v>
      </c>
    </row>
    <row r="34" spans="1:6" ht="15.75">
      <c r="A34" s="122" t="s">
        <v>2</v>
      </c>
      <c r="E34" s="390">
        <v>0.22</v>
      </c>
    </row>
    <row r="35" spans="1:6" ht="15.75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32"/>
  <sheetViews>
    <sheetView zoomScaleNormal="150" zoomScaleSheetLayoutView="100" workbookViewId="0">
      <selection activeCell="R7" sqref="R7"/>
    </sheetView>
  </sheetViews>
  <sheetFormatPr defaultColWidth="8.85546875" defaultRowHeight="15"/>
  <cols>
    <col min="1" max="1" width="27.42578125" bestFit="1" customWidth="1"/>
    <col min="10" max="10" width="34.42578125" bestFit="1" customWidth="1"/>
    <col min="15" max="15" width="34.42578125" bestFit="1" customWidth="1"/>
    <col min="18" max="18" width="34.425781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 ht="26.25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 ht="26.25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 ht="29.25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 ht="29.25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9.25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9.25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5546875" defaultRowHeight="15"/>
  <cols>
    <col min="1" max="1" width="22.7109375" customWidth="1"/>
    <col min="2" max="4" width="0" hidden="1" customWidth="1"/>
    <col min="5" max="8" width="11.140625" bestFit="1" customWidth="1"/>
    <col min="10" max="10" width="35" bestFit="1" customWidth="1"/>
    <col min="11" max="13" width="0" hidden="1" customWidth="1"/>
    <col min="15" max="17" width="9.7109375" bestFit="1" customWidth="1"/>
  </cols>
  <sheetData>
    <row r="1" spans="1:17">
      <c r="A1" s="426" t="s">
        <v>159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17">
      <c r="A2" s="428" t="s">
        <v>97</v>
      </c>
      <c r="B2" s="429"/>
      <c r="C2" s="429"/>
      <c r="D2" s="429"/>
      <c r="E2" s="429"/>
      <c r="F2" s="429"/>
      <c r="G2" s="429"/>
      <c r="H2" s="430"/>
      <c r="I2" s="2"/>
      <c r="J2" s="431" t="s">
        <v>96</v>
      </c>
      <c r="K2" s="432"/>
      <c r="L2" s="432"/>
      <c r="M2" s="432"/>
      <c r="N2" s="432"/>
      <c r="O2" s="432"/>
      <c r="P2" s="432"/>
      <c r="Q2" s="432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5546875" defaultRowHeight="15"/>
  <cols>
    <col min="1" max="1" width="82.85546875" bestFit="1" customWidth="1"/>
    <col min="2" max="4" width="9" hidden="1" customWidth="1"/>
    <col min="5" max="7" width="15.42578125" bestFit="1" customWidth="1"/>
    <col min="8" max="9" width="14.140625" bestFit="1" customWidth="1"/>
    <col min="10" max="10" width="12.85546875" bestFit="1" customWidth="1"/>
    <col min="11" max="11" width="14.14062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2578125" bestFit="1" customWidth="1"/>
    <col min="20" max="20" width="10" bestFit="1" customWidth="1"/>
    <col min="21" max="21" width="11.7109375" bestFit="1" customWidth="1"/>
    <col min="22" max="22" width="9.85546875" bestFit="1" customWidth="1"/>
  </cols>
  <sheetData>
    <row r="1" spans="1:22" ht="15.75">
      <c r="A1" s="438" t="s">
        <v>159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173"/>
    </row>
    <row r="2" spans="1:22" ht="15.75">
      <c r="A2" s="433" t="s">
        <v>97</v>
      </c>
      <c r="B2" s="434"/>
      <c r="C2" s="434"/>
      <c r="D2" s="434"/>
      <c r="E2" s="434"/>
      <c r="F2" s="434"/>
      <c r="G2" s="434"/>
      <c r="H2" s="435"/>
      <c r="I2" s="174"/>
      <c r="J2" s="174"/>
      <c r="K2" s="175"/>
      <c r="L2" s="99"/>
      <c r="M2" s="436" t="s">
        <v>96</v>
      </c>
      <c r="N2" s="437"/>
      <c r="O2" s="437"/>
      <c r="P2" s="437"/>
      <c r="Q2" s="437"/>
      <c r="R2" s="437"/>
      <c r="S2" s="437"/>
      <c r="T2" s="437"/>
      <c r="U2" s="176"/>
    </row>
    <row r="3" spans="1:22" ht="15.75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75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75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75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75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75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75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75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75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75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75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75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75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75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75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75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75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75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75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75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75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75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75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75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75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75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75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75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75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75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75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75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75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75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75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75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75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75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75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75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75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75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75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75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75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75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75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75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75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75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75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75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75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75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75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75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75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75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75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75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75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75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75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75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75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7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7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75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3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40625" defaultRowHeight="12"/>
  <cols>
    <col min="1" max="1" width="39.28515625" style="1" customWidth="1"/>
    <col min="2" max="3" width="11.140625" style="10" customWidth="1"/>
    <col min="4" max="4" width="13.28515625" style="1" bestFit="1" customWidth="1"/>
    <col min="5" max="5" width="12.42578125" style="10" bestFit="1" customWidth="1"/>
    <col min="6" max="6" width="11.42578125" style="10" customWidth="1"/>
    <col min="7" max="7" width="3.85546875" style="1" customWidth="1"/>
    <col min="8" max="8" width="40.7109375" style="1" customWidth="1"/>
    <col min="9" max="9" width="10.85546875" style="10" hidden="1" customWidth="1"/>
    <col min="10" max="10" width="13.85546875" style="10" hidden="1" customWidth="1"/>
    <col min="11" max="11" width="13.42578125" style="10" bestFit="1" customWidth="1"/>
    <col min="12" max="12" width="13.85546875" style="10" customWidth="1"/>
    <col min="13" max="13" width="10.85546875" style="1" bestFit="1" customWidth="1"/>
    <col min="14" max="14" width="10.42578125" style="16" bestFit="1" customWidth="1"/>
    <col min="15" max="15" width="10.28515625" style="1" bestFit="1" customWidth="1"/>
    <col min="16" max="16384" width="9.140625" style="1"/>
  </cols>
  <sheetData>
    <row r="1" spans="1:18" ht="15" customHeight="1">
      <c r="A1" s="426" t="s">
        <v>160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8" ht="15" customHeight="1">
      <c r="A2" s="428" t="s">
        <v>97</v>
      </c>
      <c r="B2" s="429"/>
      <c r="C2" s="429"/>
      <c r="D2" s="429"/>
      <c r="E2" s="429"/>
      <c r="F2" s="430"/>
      <c r="G2" s="2"/>
      <c r="H2" s="431" t="s">
        <v>96</v>
      </c>
      <c r="I2" s="432"/>
      <c r="J2" s="432"/>
      <c r="K2" s="432"/>
      <c r="L2" s="432"/>
      <c r="M2" s="432"/>
      <c r="N2" s="432"/>
      <c r="O2" s="432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>
      <c r="H46" s="3"/>
      <c r="I46" s="55"/>
      <c r="J46" s="55"/>
      <c r="K46" s="55"/>
      <c r="L46" s="55"/>
      <c r="M46" s="55"/>
      <c r="N46" s="66"/>
      <c r="O46" s="43"/>
    </row>
    <row r="47" spans="1:15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5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2.75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5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5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5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5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4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3"/>
  <sheetViews>
    <sheetView zoomScale="85" zoomScaleNormal="85" zoomScaleSheetLayoutView="85" workbookViewId="0">
      <selection activeCell="B53" sqref="B53"/>
    </sheetView>
  </sheetViews>
  <sheetFormatPr defaultColWidth="23.7109375" defaultRowHeight="18.75"/>
  <cols>
    <col min="1" max="1" width="34.7109375" style="146" bestFit="1" customWidth="1"/>
    <col min="2" max="2" width="18.28515625" style="146" customWidth="1"/>
    <col min="3" max="10" width="17.85546875" style="146" customWidth="1"/>
    <col min="11" max="11" width="23.7109375" style="146"/>
    <col min="12" max="16" width="17.85546875" style="146" customWidth="1"/>
    <col min="17" max="16384" width="23.7109375" style="146"/>
  </cols>
  <sheetData>
    <row r="1" spans="1:17">
      <c r="A1" s="442" t="s">
        <v>216</v>
      </c>
      <c r="B1" s="442"/>
      <c r="C1" s="442"/>
      <c r="D1" s="442"/>
      <c r="E1" s="442"/>
      <c r="F1" s="442"/>
      <c r="G1" s="442"/>
      <c r="H1" s="442"/>
      <c r="I1" s="442"/>
      <c r="J1" s="442"/>
      <c r="K1" s="239"/>
      <c r="L1" s="440"/>
      <c r="M1" s="440"/>
      <c r="N1" s="440"/>
      <c r="O1" s="440"/>
      <c r="P1" s="440"/>
      <c r="Q1" s="361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61"/>
      <c r="M2" s="361"/>
      <c r="N2" s="361"/>
      <c r="O2" s="361"/>
      <c r="P2" s="361"/>
      <c r="Q2" s="227"/>
    </row>
    <row r="3" spans="1:17">
      <c r="A3" s="443" t="s">
        <v>222</v>
      </c>
      <c r="B3" s="443"/>
      <c r="C3" s="443"/>
      <c r="D3" s="443"/>
      <c r="E3" s="443"/>
      <c r="F3" s="443"/>
      <c r="G3" s="443"/>
      <c r="H3" s="443"/>
      <c r="I3" s="443"/>
      <c r="J3" s="443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44" t="s">
        <v>217</v>
      </c>
      <c r="C4" s="444"/>
      <c r="D4" s="444" t="s">
        <v>218</v>
      </c>
      <c r="E4" s="444"/>
      <c r="F4" s="444" t="s">
        <v>219</v>
      </c>
      <c r="G4" s="444"/>
      <c r="H4" s="444" t="s">
        <v>220</v>
      </c>
      <c r="I4" s="444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9" t="s">
        <v>169</v>
      </c>
      <c r="B6" s="369">
        <f>'Fairchem Organics Ltd.'!G4</f>
        <v>3965.694</v>
      </c>
      <c r="C6" s="370">
        <v>3071</v>
      </c>
      <c r="D6" s="380">
        <v>93221</v>
      </c>
      <c r="E6" s="369">
        <v>61707</v>
      </c>
      <c r="F6" s="381">
        <v>5410</v>
      </c>
      <c r="G6" s="369">
        <v>3606.6759999999999</v>
      </c>
      <c r="H6" s="380">
        <v>5652</v>
      </c>
      <c r="I6" s="369">
        <v>2962</v>
      </c>
      <c r="J6" s="369">
        <v>2095</v>
      </c>
      <c r="K6" s="228"/>
      <c r="L6" s="227"/>
      <c r="M6" s="362"/>
      <c r="N6" s="362"/>
      <c r="O6" s="362"/>
      <c r="P6" s="362"/>
      <c r="Q6" s="227"/>
    </row>
    <row r="7" spans="1:17">
      <c r="A7" s="369" t="s">
        <v>134</v>
      </c>
      <c r="B7" s="371">
        <f>'Fairchem Organics Ltd.'!G8</f>
        <v>0.18926688279073844</v>
      </c>
      <c r="C7" s="372">
        <f>'Fairchem Organics Ltd.'!G8</f>
        <v>0.18926688279073844</v>
      </c>
      <c r="D7" s="387">
        <v>0.01</v>
      </c>
      <c r="E7" s="371"/>
      <c r="F7" s="383">
        <v>0.15</v>
      </c>
      <c r="G7" s="371"/>
      <c r="H7" s="384"/>
      <c r="I7" s="371"/>
      <c r="J7" s="373">
        <v>0.08</v>
      </c>
      <c r="K7" s="229"/>
      <c r="L7" s="227"/>
      <c r="M7" s="227"/>
      <c r="N7" s="227"/>
      <c r="O7" s="227"/>
      <c r="P7" s="227"/>
      <c r="Q7" s="227"/>
    </row>
    <row r="8" spans="1:17">
      <c r="A8" s="369" t="s">
        <v>4</v>
      </c>
      <c r="B8" s="369">
        <f>'Fairchem Organics Ltd.'!G16</f>
        <v>686.72199999999975</v>
      </c>
      <c r="C8" s="374">
        <v>648</v>
      </c>
      <c r="D8" s="385">
        <v>12214</v>
      </c>
      <c r="E8" s="369">
        <v>3107</v>
      </c>
      <c r="F8" s="382">
        <v>680</v>
      </c>
      <c r="G8" s="369">
        <v>400</v>
      </c>
      <c r="H8" s="382">
        <v>217</v>
      </c>
      <c r="I8" s="369">
        <v>142</v>
      </c>
      <c r="J8" s="369">
        <v>415</v>
      </c>
      <c r="K8" s="230"/>
      <c r="L8" s="361"/>
      <c r="M8" s="363"/>
      <c r="N8" s="363"/>
      <c r="O8" s="363"/>
      <c r="P8" s="363"/>
      <c r="Q8" s="227"/>
    </row>
    <row r="9" spans="1:17">
      <c r="A9" s="369" t="s">
        <v>134</v>
      </c>
      <c r="B9" s="371">
        <f>'Fairchem Organics Ltd.'!G18</f>
        <v>0.2483810074696573</v>
      </c>
      <c r="C9" s="375">
        <f>'Fairchem Organics Ltd.'!F18</f>
        <v>0</v>
      </c>
      <c r="D9" s="382" t="s">
        <v>92</v>
      </c>
      <c r="E9" s="371"/>
      <c r="F9" s="383">
        <v>0.312</v>
      </c>
      <c r="G9" s="371"/>
      <c r="H9" s="384"/>
      <c r="I9" s="371"/>
      <c r="J9" s="373">
        <v>0.05</v>
      </c>
      <c r="K9" s="229"/>
      <c r="L9" s="227"/>
      <c r="M9" s="227"/>
      <c r="N9" s="227"/>
      <c r="O9" s="227"/>
      <c r="P9" s="227"/>
      <c r="Q9" s="227"/>
    </row>
    <row r="10" spans="1:17">
      <c r="A10" s="369" t="s">
        <v>135</v>
      </c>
      <c r="B10" s="371">
        <f>'Fairchem Organics Ltd.'!G19</f>
        <v>0.17316565524218452</v>
      </c>
      <c r="C10" s="376">
        <f>'Fairchem Organics Ltd.'!G18</f>
        <v>0.2483810074696573</v>
      </c>
      <c r="D10" s="383">
        <v>0.17460000000000001</v>
      </c>
      <c r="E10" s="371">
        <v>5.04E-2</v>
      </c>
      <c r="F10" s="383">
        <f>F8/F6</f>
        <v>0.1256931608133087</v>
      </c>
      <c r="G10" s="371">
        <v>0.1109</v>
      </c>
      <c r="H10" s="383">
        <f>H8/H6</f>
        <v>3.8393489030431709E-2</v>
      </c>
      <c r="I10" s="371">
        <v>4.7800000000000002E-2</v>
      </c>
      <c r="J10" s="371">
        <v>0.19800000000000001</v>
      </c>
      <c r="K10" s="231"/>
      <c r="L10" s="364"/>
      <c r="M10" s="364"/>
      <c r="N10" s="364"/>
      <c r="O10" s="364"/>
      <c r="P10" s="364"/>
      <c r="Q10" s="227"/>
    </row>
    <row r="11" spans="1:17">
      <c r="A11" s="369" t="s">
        <v>11</v>
      </c>
      <c r="B11" s="369">
        <f>'Fairchem Organics Ltd.'!G27</f>
        <v>424.84699999999987</v>
      </c>
      <c r="C11" s="374">
        <v>432</v>
      </c>
      <c r="D11" s="385">
        <v>3346</v>
      </c>
      <c r="E11" s="369">
        <v>3869</v>
      </c>
      <c r="F11" s="382">
        <v>376</v>
      </c>
      <c r="G11" s="369">
        <v>110.68600000000001</v>
      </c>
      <c r="H11" s="382">
        <v>136</v>
      </c>
      <c r="I11" s="369">
        <v>80</v>
      </c>
      <c r="J11" s="369">
        <v>158</v>
      </c>
      <c r="K11" s="230"/>
      <c r="L11" s="361"/>
      <c r="M11" s="363"/>
      <c r="N11" s="363"/>
      <c r="O11" s="363"/>
      <c r="P11" s="363"/>
      <c r="Q11" s="227"/>
    </row>
    <row r="12" spans="1:17">
      <c r="A12" s="369" t="s">
        <v>134</v>
      </c>
      <c r="B12" s="371">
        <f>'Fairchem Organics Ltd.'!G33</f>
        <v>0.10749973373001143</v>
      </c>
      <c r="C12" s="370" t="e">
        <f>'Fairchem Organics Ltd.'!#REF!</f>
        <v>#REF!</v>
      </c>
      <c r="D12" s="387">
        <v>0.12</v>
      </c>
      <c r="E12" s="373"/>
      <c r="F12" s="383">
        <v>0.33</v>
      </c>
      <c r="G12" s="371"/>
      <c r="H12" s="384"/>
      <c r="I12" s="371"/>
      <c r="J12" s="373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9" t="s">
        <v>136</v>
      </c>
      <c r="B13" s="371">
        <f>'Fairchem Organics Ltd.'!G31</f>
        <v>0.10594312117878986</v>
      </c>
      <c r="C13" s="376">
        <f>C11/C6</f>
        <v>0.14067079127320092</v>
      </c>
      <c r="D13" s="383">
        <v>3.5900000000000001E-2</v>
      </c>
      <c r="E13" s="371">
        <v>6.2700000000000006E-2</v>
      </c>
      <c r="F13" s="383">
        <f>F11/F6</f>
        <v>6.9500924214417739E-2</v>
      </c>
      <c r="G13" s="371">
        <v>3.0700000000000002E-2</v>
      </c>
      <c r="H13" s="383">
        <f>H11/H6</f>
        <v>2.4062278839348902E-2</v>
      </c>
      <c r="I13" s="371">
        <v>2.69E-2</v>
      </c>
      <c r="J13" s="371">
        <v>7.5499999999999998E-2</v>
      </c>
      <c r="K13" s="231"/>
      <c r="L13" s="364"/>
      <c r="M13" s="364"/>
      <c r="N13" s="364"/>
      <c r="O13" s="364"/>
      <c r="P13" s="364"/>
      <c r="Q13" s="227"/>
    </row>
    <row r="14" spans="1:17">
      <c r="A14" s="369" t="s">
        <v>14</v>
      </c>
      <c r="B14" s="369">
        <f>'Fairchem Organics Ltd.'!G34</f>
        <v>32.630000000000003</v>
      </c>
      <c r="C14" s="374">
        <v>33.18</v>
      </c>
      <c r="D14" s="382">
        <v>9.94</v>
      </c>
      <c r="E14" s="369">
        <v>8.3800000000000008</v>
      </c>
      <c r="F14" s="382">
        <f>10.69</f>
        <v>10.69</v>
      </c>
      <c r="G14" s="369">
        <v>3.11</v>
      </c>
      <c r="H14" s="382">
        <v>9</v>
      </c>
      <c r="I14" s="369">
        <v>8.98</v>
      </c>
      <c r="J14" s="369">
        <v>5.47</v>
      </c>
      <c r="L14" s="362"/>
      <c r="M14" s="362"/>
      <c r="N14" s="362"/>
      <c r="O14" s="362"/>
      <c r="P14" s="362"/>
      <c r="Q14" s="227"/>
    </row>
    <row r="15" spans="1:17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L15" s="227"/>
      <c r="M15" s="227"/>
      <c r="N15" s="227"/>
      <c r="O15" s="227"/>
      <c r="P15" s="227"/>
      <c r="Q15" s="227"/>
    </row>
    <row r="16" spans="1:17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L16" s="227"/>
      <c r="M16" s="227"/>
      <c r="N16" s="227"/>
      <c r="O16" s="227"/>
      <c r="P16" s="227"/>
      <c r="Q16" s="227"/>
    </row>
    <row r="17" spans="1:17" hidden="1">
      <c r="A17" s="441" t="s">
        <v>137</v>
      </c>
      <c r="B17" s="441"/>
      <c r="C17" s="441"/>
      <c r="D17" s="441"/>
      <c r="E17" s="441"/>
      <c r="F17" s="441"/>
      <c r="G17" s="441"/>
      <c r="H17" s="441"/>
      <c r="I17" s="441"/>
      <c r="J17" s="441"/>
      <c r="K17" s="232"/>
      <c r="L17" s="227"/>
      <c r="M17" s="227"/>
      <c r="N17" s="227"/>
      <c r="O17" s="227"/>
      <c r="P17" s="227"/>
      <c r="Q17" s="227"/>
    </row>
    <row r="18" spans="1:17" hidden="1">
      <c r="A18" s="369" t="s">
        <v>138</v>
      </c>
      <c r="B18" s="369"/>
      <c r="C18" s="375">
        <f>'Fairchem Organics Ltd.'!S6</f>
        <v>2321.489</v>
      </c>
      <c r="D18" s="375"/>
      <c r="E18" s="375">
        <v>19959.2</v>
      </c>
      <c r="F18" s="375"/>
      <c r="G18" s="375"/>
      <c r="H18" s="375"/>
      <c r="I18" s="375"/>
      <c r="J18" s="375"/>
      <c r="K18" s="228"/>
      <c r="L18" s="365"/>
      <c r="M18" s="365"/>
      <c r="N18" s="365"/>
      <c r="O18" s="365"/>
      <c r="P18" s="365"/>
      <c r="Q18" s="227"/>
    </row>
    <row r="19" spans="1:17" hidden="1">
      <c r="A19" s="369" t="s">
        <v>78</v>
      </c>
      <c r="B19" s="369"/>
      <c r="C19" s="375">
        <f>'Fairchem Organics Ltd.'!S10</f>
        <v>620.29999999999995</v>
      </c>
      <c r="D19" s="375"/>
      <c r="E19" s="375">
        <f>SUM(E20:E21)</f>
        <v>15442.7</v>
      </c>
      <c r="F19" s="375"/>
      <c r="G19" s="375"/>
      <c r="H19" s="375"/>
      <c r="I19" s="375"/>
      <c r="J19" s="375"/>
      <c r="L19" s="366"/>
      <c r="M19" s="366"/>
      <c r="N19" s="366"/>
      <c r="O19" s="366"/>
      <c r="P19" s="366"/>
      <c r="Q19" s="227"/>
    </row>
    <row r="20" spans="1:17" hidden="1">
      <c r="A20" s="369" t="s">
        <v>139</v>
      </c>
      <c r="B20" s="369"/>
      <c r="C20" s="375">
        <f>'Fairchem Organics Ltd.'!S8</f>
        <v>99.87</v>
      </c>
      <c r="D20" s="375"/>
      <c r="E20" s="375">
        <v>4821.5</v>
      </c>
      <c r="F20" s="375"/>
      <c r="G20" s="375"/>
      <c r="H20" s="375"/>
      <c r="I20" s="375"/>
      <c r="J20" s="375"/>
      <c r="K20" s="233"/>
      <c r="L20" s="365"/>
      <c r="M20" s="365"/>
      <c r="N20" s="365"/>
      <c r="O20" s="365"/>
      <c r="P20" s="365"/>
      <c r="Q20" s="227"/>
    </row>
    <row r="21" spans="1:17" hidden="1">
      <c r="A21" s="369" t="s">
        <v>140</v>
      </c>
      <c r="B21" s="369"/>
      <c r="C21" s="375">
        <f>'Fairchem Organics Ltd.'!S9</f>
        <v>520.42999999999995</v>
      </c>
      <c r="D21" s="375"/>
      <c r="E21" s="375">
        <v>10621.2</v>
      </c>
      <c r="F21" s="375"/>
      <c r="G21" s="375"/>
      <c r="H21" s="375"/>
      <c r="I21" s="375"/>
      <c r="J21" s="375"/>
      <c r="L21" s="365"/>
      <c r="M21" s="365"/>
      <c r="N21" s="365"/>
      <c r="O21" s="365"/>
      <c r="P21" s="365"/>
      <c r="Q21" s="227"/>
    </row>
    <row r="22" spans="1:17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L22" s="227"/>
      <c r="M22" s="227"/>
      <c r="N22" s="227"/>
      <c r="O22" s="227"/>
      <c r="P22" s="227"/>
      <c r="Q22" s="227"/>
    </row>
    <row r="23" spans="1:17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L23" s="227"/>
      <c r="M23" s="227"/>
      <c r="N23" s="227"/>
      <c r="O23" s="227"/>
      <c r="P23" s="227"/>
      <c r="Q23" s="227"/>
    </row>
    <row r="24" spans="1:17">
      <c r="A24" s="441" t="s">
        <v>15</v>
      </c>
      <c r="B24" s="441"/>
      <c r="C24" s="441"/>
      <c r="D24" s="441"/>
      <c r="E24" s="441"/>
      <c r="F24" s="441"/>
      <c r="G24" s="441"/>
      <c r="H24" s="441"/>
      <c r="I24" s="441"/>
      <c r="J24" s="441"/>
      <c r="K24" s="232"/>
      <c r="L24" s="227"/>
      <c r="M24" s="227"/>
      <c r="N24" s="227"/>
      <c r="O24" s="227"/>
      <c r="P24" s="227"/>
      <c r="Q24" s="227"/>
    </row>
    <row r="25" spans="1:17">
      <c r="A25" s="369" t="s">
        <v>141</v>
      </c>
      <c r="B25" s="369">
        <f>'Fairchem Organics Ltd.'!G50</f>
        <v>394.25900000000001</v>
      </c>
      <c r="C25" s="374" t="e">
        <f>'Fairchem Organics Ltd.'!#REF!</f>
        <v>#REF!</v>
      </c>
      <c r="D25" s="369">
        <v>-6636</v>
      </c>
      <c r="F25" s="369">
        <v>562</v>
      </c>
      <c r="H25" s="382">
        <v>142</v>
      </c>
      <c r="I25" s="369"/>
      <c r="J25" s="369">
        <v>626</v>
      </c>
      <c r="K25" s="228"/>
      <c r="L25" s="227"/>
      <c r="M25" s="362"/>
      <c r="N25" s="362"/>
      <c r="O25" s="362"/>
      <c r="P25" s="362"/>
      <c r="Q25" s="227"/>
    </row>
    <row r="26" spans="1:17">
      <c r="A26" s="369" t="s">
        <v>28</v>
      </c>
      <c r="B26" s="369">
        <f>'Fairchem Organics Ltd.'!G52</f>
        <v>163.03100000000001</v>
      </c>
      <c r="C26" s="375"/>
      <c r="D26" s="369">
        <v>-14091</v>
      </c>
      <c r="F26" s="369">
        <v>58</v>
      </c>
      <c r="H26" s="382">
        <v>66</v>
      </c>
      <c r="I26" s="369"/>
      <c r="J26" s="369">
        <v>73</v>
      </c>
      <c r="K26" s="230"/>
      <c r="L26" s="361"/>
      <c r="M26" s="363"/>
      <c r="N26" s="363"/>
      <c r="O26" s="363"/>
      <c r="P26" s="363"/>
      <c r="Q26" s="227"/>
    </row>
    <row r="27" spans="1:17">
      <c r="A27" s="369"/>
      <c r="B27" s="369"/>
      <c r="C27" s="375"/>
      <c r="D27" s="375"/>
      <c r="E27" s="369"/>
      <c r="F27" s="369"/>
      <c r="G27" s="369"/>
      <c r="H27" s="369"/>
      <c r="I27" s="369"/>
      <c r="J27" s="369"/>
      <c r="L27" s="227"/>
      <c r="M27" s="227"/>
      <c r="N27" s="227"/>
      <c r="O27" s="227"/>
      <c r="P27" s="227"/>
      <c r="Q27" s="227"/>
    </row>
    <row r="28" spans="1:17">
      <c r="A28" s="369" t="s">
        <v>75</v>
      </c>
      <c r="B28" s="369">
        <f>'Fairchem Organics Ltd.'!G56</f>
        <v>9747.4472372</v>
      </c>
      <c r="C28" s="375">
        <v>23848.400000000001</v>
      </c>
      <c r="D28" s="369">
        <v>148897</v>
      </c>
      <c r="E28" s="146">
        <v>203397.9</v>
      </c>
      <c r="F28" s="146">
        <v>5689</v>
      </c>
      <c r="G28" s="369">
        <v>7730</v>
      </c>
      <c r="H28" s="380">
        <v>1760</v>
      </c>
      <c r="I28" s="369">
        <v>1850</v>
      </c>
      <c r="J28" s="369">
        <v>8090</v>
      </c>
      <c r="K28" s="230"/>
      <c r="L28" s="367"/>
      <c r="M28" s="361"/>
      <c r="N28" s="361"/>
      <c r="O28" s="361"/>
      <c r="P28" s="361"/>
      <c r="Q28" s="227"/>
    </row>
    <row r="29" spans="1:17">
      <c r="A29" s="369" t="s">
        <v>142</v>
      </c>
      <c r="B29" s="369">
        <f>'Fairchem Organics Ltd.'!G59</f>
        <v>10226.899237199999</v>
      </c>
      <c r="C29" s="375">
        <f>'Fairchem Organics Ltd.'!F59</f>
        <v>604.95799999999997</v>
      </c>
      <c r="D29" s="369">
        <v>157286.70000000001</v>
      </c>
      <c r="F29" s="380">
        <v>6785</v>
      </c>
      <c r="G29" s="369"/>
      <c r="H29" s="380">
        <v>1870</v>
      </c>
      <c r="I29" s="369"/>
      <c r="J29" s="369"/>
      <c r="K29" s="228"/>
      <c r="L29" s="368"/>
      <c r="M29" s="227"/>
      <c r="N29" s="227"/>
      <c r="O29" s="227"/>
      <c r="P29" s="227"/>
      <c r="Q29" s="227"/>
    </row>
    <row r="30" spans="1:17">
      <c r="A30" s="369"/>
      <c r="B30" s="369"/>
      <c r="C30" s="369"/>
      <c r="D30" s="369"/>
      <c r="E30" s="369"/>
      <c r="F30" s="369"/>
      <c r="G30" s="369"/>
      <c r="H30" s="369"/>
      <c r="I30" s="441"/>
      <c r="J30" s="441"/>
      <c r="K30" s="234"/>
      <c r="L30" s="227"/>
      <c r="M30" s="227"/>
      <c r="N30" s="227"/>
      <c r="O30" s="227"/>
      <c r="P30" s="227"/>
      <c r="Q30" s="227"/>
    </row>
    <row r="31" spans="1:17">
      <c r="A31" s="369"/>
      <c r="B31" s="369"/>
      <c r="C31" s="369"/>
      <c r="D31" s="369"/>
      <c r="E31" s="369"/>
      <c r="F31" s="369"/>
      <c r="G31" s="369"/>
      <c r="H31" s="369"/>
      <c r="I31" s="441"/>
      <c r="J31" s="441"/>
      <c r="K31" s="234"/>
      <c r="L31" s="227"/>
      <c r="M31" s="227"/>
      <c r="N31" s="227"/>
      <c r="O31" s="227"/>
      <c r="P31" s="227"/>
      <c r="Q31" s="227"/>
    </row>
    <row r="32" spans="1:17">
      <c r="A32" s="441" t="s">
        <v>143</v>
      </c>
      <c r="B32" s="441"/>
      <c r="C32" s="441"/>
      <c r="D32" s="441"/>
      <c r="E32" s="441"/>
      <c r="F32" s="441"/>
      <c r="G32" s="441"/>
      <c r="H32" s="441"/>
      <c r="I32" s="441"/>
      <c r="J32" s="441"/>
      <c r="K32" s="232"/>
      <c r="L32" s="227"/>
      <c r="M32" s="227"/>
      <c r="N32" s="227"/>
      <c r="O32" s="227"/>
      <c r="P32" s="227"/>
      <c r="Q32" s="227"/>
    </row>
    <row r="33" spans="1:17">
      <c r="A33" s="369" t="s">
        <v>144</v>
      </c>
      <c r="B33" s="369">
        <f>'Fairchem Organics Ltd.'!R53</f>
        <v>22.942077842476248</v>
      </c>
      <c r="C33" s="374">
        <f>'Fairchem Organics Ltd.'!R53</f>
        <v>22.942077842476248</v>
      </c>
      <c r="D33" s="382">
        <v>51.1</v>
      </c>
      <c r="E33" s="369">
        <v>54.55</v>
      </c>
      <c r="F33" s="369">
        <v>19.600000000000001</v>
      </c>
      <c r="G33" s="146">
        <v>20.29</v>
      </c>
      <c r="H33" s="146">
        <v>15</v>
      </c>
      <c r="I33" s="369">
        <v>17.8</v>
      </c>
      <c r="J33" s="369">
        <v>24.5</v>
      </c>
      <c r="K33" s="228"/>
      <c r="L33" s="365"/>
      <c r="M33" s="365"/>
      <c r="N33" s="365"/>
      <c r="O33" s="365"/>
      <c r="P33" s="365"/>
      <c r="Q33" s="227"/>
    </row>
    <row r="34" spans="1:17">
      <c r="A34" s="369" t="s">
        <v>63</v>
      </c>
      <c r="B34" s="369"/>
      <c r="C34" s="371">
        <f>'Fairchem Organics Ltd.'!R60</f>
        <v>0</v>
      </c>
      <c r="D34" s="383">
        <v>0</v>
      </c>
      <c r="E34" s="371">
        <v>5.8999999999999999E-3</v>
      </c>
      <c r="F34" s="371">
        <v>5.0000000000000001E-3</v>
      </c>
      <c r="G34" s="146">
        <v>0</v>
      </c>
      <c r="H34" s="247">
        <v>5.0000000000000001E-3</v>
      </c>
      <c r="I34" s="371">
        <v>1.44E-2</v>
      </c>
      <c r="J34" s="371">
        <v>9.1000000000000004E-3</v>
      </c>
      <c r="K34" s="229"/>
      <c r="L34" s="365"/>
      <c r="M34" s="365"/>
      <c r="N34" s="365"/>
      <c r="O34" s="365"/>
      <c r="P34" s="365"/>
      <c r="Q34" s="227"/>
    </row>
    <row r="35" spans="1:17">
      <c r="A35" s="369" t="s">
        <v>145</v>
      </c>
      <c r="B35" s="369">
        <f>'Fairchem Organics Ltd.'!R54</f>
        <v>5.7767956388290473</v>
      </c>
      <c r="C35" s="370">
        <f>'Fairchem Organics Ltd.'!R54</f>
        <v>5.7767956388290473</v>
      </c>
      <c r="D35" s="382">
        <v>3</v>
      </c>
      <c r="E35" s="369">
        <v>6.7</v>
      </c>
      <c r="F35" s="369">
        <v>4.43</v>
      </c>
      <c r="G35" s="146">
        <v>4.18</v>
      </c>
      <c r="H35" s="146">
        <v>0.5</v>
      </c>
      <c r="I35" s="369">
        <v>0.89</v>
      </c>
      <c r="J35" s="369">
        <v>2.16</v>
      </c>
      <c r="K35" s="228"/>
      <c r="L35" s="365"/>
      <c r="M35" s="365"/>
      <c r="N35" s="365"/>
      <c r="O35" s="365"/>
      <c r="P35" s="365"/>
      <c r="Q35" s="227"/>
    </row>
    <row r="36" spans="1:17">
      <c r="A36" s="369" t="s">
        <v>146</v>
      </c>
      <c r="B36" s="369">
        <f>'Fairchem Organics Ltd.'!R55</f>
        <v>14.892342515894354</v>
      </c>
      <c r="C36" s="370">
        <f>'Fairchem Organics Ltd.'!R55</f>
        <v>14.892342515894354</v>
      </c>
      <c r="D36" s="382">
        <v>12.31</v>
      </c>
      <c r="E36" s="369">
        <v>11.16</v>
      </c>
      <c r="F36" s="382">
        <f>F29/F8</f>
        <v>9.9779411764705888</v>
      </c>
      <c r="G36" s="369"/>
      <c r="H36" s="146">
        <v>9.5</v>
      </c>
      <c r="I36" s="382">
        <v>7.99</v>
      </c>
      <c r="J36" s="369"/>
      <c r="K36" s="228"/>
      <c r="L36" s="227"/>
      <c r="M36" s="227"/>
      <c r="N36" s="227"/>
      <c r="O36" s="227"/>
      <c r="P36" s="227"/>
      <c r="Q36" s="227"/>
    </row>
    <row r="37" spans="1:17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L37" s="227"/>
      <c r="M37" s="227"/>
      <c r="N37" s="227"/>
      <c r="O37" s="227"/>
      <c r="P37" s="227"/>
      <c r="Q37" s="227"/>
    </row>
    <row r="38" spans="1:17">
      <c r="A38" s="441" t="s">
        <v>147</v>
      </c>
      <c r="B38" s="441"/>
      <c r="C38" s="441"/>
      <c r="D38" s="441"/>
      <c r="E38" s="441"/>
      <c r="F38" s="441"/>
      <c r="G38" s="441"/>
      <c r="H38" s="441"/>
      <c r="I38" s="441"/>
      <c r="J38" s="441"/>
      <c r="K38" s="232"/>
      <c r="L38" s="227"/>
      <c r="M38" s="227"/>
      <c r="N38" s="227"/>
      <c r="O38" s="227"/>
      <c r="P38" s="227"/>
      <c r="Q38" s="227"/>
    </row>
    <row r="39" spans="1:17">
      <c r="A39" s="369" t="s">
        <v>223</v>
      </c>
      <c r="B39" s="369"/>
      <c r="C39" s="377">
        <f>'Fairchem Organics Ltd.'!R49</f>
        <v>748.6</v>
      </c>
      <c r="D39" s="384"/>
      <c r="E39" s="369">
        <v>619</v>
      </c>
      <c r="F39" s="384"/>
      <c r="G39" s="369">
        <v>219</v>
      </c>
      <c r="H39" s="384"/>
      <c r="I39" s="369">
        <v>208</v>
      </c>
      <c r="J39" s="369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9" t="s">
        <v>162</v>
      </c>
      <c r="B40" s="369">
        <v>89</v>
      </c>
      <c r="C40" s="370">
        <f>'Fairchem Organics Ltd.'!R51</f>
        <v>129.58741260782088</v>
      </c>
      <c r="D40" s="382">
        <v>180.35</v>
      </c>
      <c r="E40" s="369">
        <v>199.48</v>
      </c>
      <c r="F40" s="382">
        <v>39.57</v>
      </c>
      <c r="G40" s="369">
        <v>49.4</v>
      </c>
      <c r="H40" s="382">
        <v>180</v>
      </c>
      <c r="I40" s="369">
        <v>210</v>
      </c>
      <c r="J40" s="369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9" t="s">
        <v>148</v>
      </c>
      <c r="B41" s="391">
        <v>0.25178431204051327</v>
      </c>
      <c r="C41" s="386"/>
      <c r="D41" s="383">
        <v>4.7100000000000003E-2</v>
      </c>
      <c r="E41" s="371"/>
      <c r="F41" s="383">
        <v>0.25259999999999999</v>
      </c>
      <c r="G41" s="371"/>
      <c r="H41" s="371">
        <v>7.2300000000000003E-2</v>
      </c>
      <c r="J41" s="371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9" t="s">
        <v>149</v>
      </c>
      <c r="B42" s="391">
        <v>0.30014087800484407</v>
      </c>
      <c r="C42" s="386"/>
      <c r="D42" s="383">
        <v>6.8500000000000005E-2</v>
      </c>
      <c r="E42" s="371"/>
      <c r="F42" s="383">
        <v>0.14330000000000001</v>
      </c>
      <c r="G42" s="371"/>
      <c r="H42" s="371">
        <v>6.9199999999999998E-2</v>
      </c>
      <c r="J42" s="371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9" t="s">
        <v>150</v>
      </c>
      <c r="B43" s="369">
        <v>2.8</v>
      </c>
      <c r="C43" s="370">
        <f>'Fairchem Organics Ltd.'!R67</f>
        <v>3.2517162818519156</v>
      </c>
      <c r="D43" s="382">
        <v>2.58</v>
      </c>
      <c r="E43" s="369">
        <v>0.38</v>
      </c>
      <c r="F43" s="369">
        <v>3.93</v>
      </c>
      <c r="G43" s="146">
        <v>3.5</v>
      </c>
      <c r="H43" s="369">
        <v>10.7</v>
      </c>
      <c r="I43" s="146">
        <v>9.5</v>
      </c>
      <c r="J43" s="369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9" t="s">
        <v>151</v>
      </c>
      <c r="B44" s="374">
        <f>'Fairchem Organics Ltd.'!R61</f>
        <v>38.926262991002176</v>
      </c>
      <c r="C44" s="102"/>
      <c r="D44" s="382">
        <v>54.71</v>
      </c>
      <c r="E44" s="369"/>
      <c r="F44" s="369">
        <v>76.680000000000007</v>
      </c>
      <c r="H44" s="369">
        <v>53.67</v>
      </c>
      <c r="J44" s="369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9" t="s">
        <v>66</v>
      </c>
      <c r="B45" s="374">
        <f>'Fairchem Organics Ltd.'!R63</f>
        <v>51.007564345344747</v>
      </c>
      <c r="C45" s="102"/>
      <c r="D45" s="382">
        <v>262.3</v>
      </c>
      <c r="E45" s="369"/>
      <c r="F45" s="369">
        <v>87.25</v>
      </c>
      <c r="H45" s="369">
        <v>58.01</v>
      </c>
      <c r="J45" s="369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9" t="s">
        <v>152</v>
      </c>
      <c r="B46" s="374">
        <f>'Fairchem Organics Ltd.'!R62</f>
        <v>11.388039436366093</v>
      </c>
      <c r="C46" s="171"/>
      <c r="D46" s="382">
        <v>145.29</v>
      </c>
      <c r="E46" s="369"/>
      <c r="F46" s="369">
        <v>88.56</v>
      </c>
      <c r="H46" s="369">
        <v>25.88</v>
      </c>
      <c r="J46" s="369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9" t="s">
        <v>153</v>
      </c>
      <c r="B47" s="374">
        <f>'Fairchem Organics Ltd.'!R64</f>
        <v>78.545787899980837</v>
      </c>
      <c r="C47" s="171"/>
      <c r="D47" s="382">
        <v>169.71</v>
      </c>
      <c r="E47" s="369"/>
      <c r="F47" s="369">
        <v>75.37</v>
      </c>
      <c r="H47" s="369">
        <v>85.8</v>
      </c>
      <c r="J47" s="369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9" t="s">
        <v>67</v>
      </c>
      <c r="B48" s="369"/>
      <c r="C48" s="375">
        <f>'Fairchem Organics Ltd.'!R65</f>
        <v>27.109820774314628</v>
      </c>
      <c r="D48" s="382">
        <v>152.66</v>
      </c>
      <c r="E48" s="378"/>
      <c r="F48" s="382">
        <v>61</v>
      </c>
      <c r="G48" s="369"/>
      <c r="H48" s="382">
        <v>116</v>
      </c>
      <c r="I48" s="369"/>
      <c r="J48" s="369"/>
      <c r="K48" s="237"/>
      <c r="L48" s="227"/>
      <c r="M48" s="227"/>
      <c r="N48" s="227"/>
      <c r="O48" s="227"/>
      <c r="P48" s="227"/>
      <c r="Q48" s="227"/>
    </row>
    <row r="49" spans="1:17">
      <c r="A49" s="369" t="s">
        <v>154</v>
      </c>
      <c r="B49" s="369"/>
      <c r="C49" s="374">
        <f>'Fairchem Organics Ltd.'!R58</f>
        <v>0.28574594999837022</v>
      </c>
      <c r="D49" s="382">
        <v>0.42</v>
      </c>
      <c r="E49" s="378">
        <v>0.7</v>
      </c>
      <c r="F49" s="382">
        <v>0.5</v>
      </c>
      <c r="G49" s="369">
        <v>0.4</v>
      </c>
      <c r="H49" s="382">
        <v>0.01</v>
      </c>
      <c r="I49" s="369">
        <v>0</v>
      </c>
      <c r="J49" s="369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9" t="s">
        <v>155</v>
      </c>
      <c r="B50" s="369"/>
      <c r="C50" s="374">
        <f>'Fairchem Organics Ltd.'!R59</f>
        <v>0.28414580302190717</v>
      </c>
      <c r="D50" s="382">
        <v>0.3</v>
      </c>
      <c r="E50" s="369">
        <v>0.1</v>
      </c>
      <c r="F50" s="382">
        <v>0.2</v>
      </c>
      <c r="G50" s="369">
        <v>0.33</v>
      </c>
      <c r="H50" s="382">
        <v>0</v>
      </c>
      <c r="I50" s="146">
        <v>0</v>
      </c>
      <c r="J50" s="369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9" t="s">
        <v>156</v>
      </c>
      <c r="B51" s="369"/>
      <c r="C51" s="379">
        <v>5.2</v>
      </c>
      <c r="D51" s="388">
        <v>2.7</v>
      </c>
      <c r="E51" s="369">
        <v>2.7</v>
      </c>
      <c r="F51" s="382">
        <v>8.3000000000000007</v>
      </c>
      <c r="G51" s="369">
        <v>7.28</v>
      </c>
      <c r="H51" s="382">
        <v>24.34</v>
      </c>
      <c r="I51" s="369">
        <v>26.2</v>
      </c>
      <c r="J51" s="369">
        <v>4.29</v>
      </c>
      <c r="K51" s="238"/>
      <c r="L51" s="365"/>
      <c r="M51" s="362"/>
      <c r="N51" s="362"/>
      <c r="O51" s="362"/>
      <c r="P51" s="362"/>
      <c r="Q51" s="227"/>
    </row>
    <row r="52" spans="1:17">
      <c r="A52" s="146" t="s">
        <v>157</v>
      </c>
      <c r="C52" s="247">
        <f>'Fairchem Organics Ltd.'!R66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Data valorem</cp:lastModifiedBy>
  <cp:lastPrinted>2022-02-17T18:25:26Z</cp:lastPrinted>
  <dcterms:created xsi:type="dcterms:W3CDTF">2017-09-19T08:05:47Z</dcterms:created>
  <dcterms:modified xsi:type="dcterms:W3CDTF">2024-02-27T09:44:32Z</dcterms:modified>
</cp:coreProperties>
</file>