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Valiant Organics forum updated (new2)\Summary Sheet\"/>
    </mc:Choice>
  </mc:AlternateContent>
  <bookViews>
    <workbookView xWindow="0" yWindow="0" windowWidth="19200" windowHeight="6930"/>
  </bookViews>
  <sheets>
    <sheet name="Summary Sheet" sheetId="3" r:id="rId1"/>
  </sheets>
  <definedNames>
    <definedName name="_xlnm.Print_Area" localSheetId="0">'Summary Sheet'!$A$1:$T$73</definedName>
  </definedNames>
  <calcPr calcId="162913"/>
</workbook>
</file>

<file path=xl/calcChain.xml><?xml version="1.0" encoding="utf-8"?>
<calcChain xmlns="http://schemas.openxmlformats.org/spreadsheetml/2006/main">
  <c r="V55" i="3" l="1"/>
  <c r="V58" i="3" l="1"/>
  <c r="J30" i="3"/>
  <c r="V65" i="3" l="1"/>
  <c r="V35" i="3"/>
  <c r="V26" i="3"/>
  <c r="V49" i="3" s="1"/>
  <c r="V17" i="3"/>
  <c r="V13" i="3"/>
  <c r="J57" i="3" s="1"/>
  <c r="U43" i="3"/>
  <c r="V43" i="3"/>
  <c r="V10" i="3"/>
  <c r="J58" i="3"/>
  <c r="J49" i="3"/>
  <c r="J51" i="3" s="1"/>
  <c r="J46" i="3"/>
  <c r="J56" i="3"/>
  <c r="J7" i="3"/>
  <c r="U68" i="3"/>
  <c r="U30" i="3"/>
  <c r="I36" i="3"/>
  <c r="I35" i="3"/>
  <c r="I6" i="3"/>
  <c r="I5" i="3"/>
  <c r="U67" i="3"/>
  <c r="U66" i="3"/>
  <c r="U65" i="3"/>
  <c r="J13" i="3" l="1"/>
  <c r="V72" i="3" s="1"/>
  <c r="J22" i="3"/>
  <c r="V50" i="3"/>
  <c r="V15" i="3" s="1"/>
  <c r="V64" i="3"/>
  <c r="J59" i="3"/>
  <c r="V14" i="3"/>
  <c r="V56" i="3"/>
  <c r="V59" i="3" s="1"/>
  <c r="V51" i="3"/>
  <c r="V63" i="3"/>
  <c r="U69" i="3"/>
  <c r="U55" i="3"/>
  <c r="J16" i="3" l="1"/>
  <c r="J27" i="3"/>
  <c r="J28" i="3" s="1"/>
  <c r="J25" i="3"/>
  <c r="V62" i="3"/>
  <c r="J24" i="3"/>
  <c r="U58" i="3"/>
  <c r="I56" i="3"/>
  <c r="I58" i="3"/>
  <c r="I49" i="3"/>
  <c r="I51" i="3" s="1"/>
  <c r="I45" i="3"/>
  <c r="I7" i="3"/>
  <c r="I13" i="3" s="1"/>
  <c r="U72" i="3" s="1"/>
  <c r="H49" i="3"/>
  <c r="G49" i="3"/>
  <c r="F49" i="3"/>
  <c r="E49" i="3"/>
  <c r="D49" i="3"/>
  <c r="C49" i="3"/>
  <c r="B49" i="3"/>
  <c r="U26" i="3"/>
  <c r="U10" i="3"/>
  <c r="U13" i="3"/>
  <c r="U71" i="3" s="1"/>
  <c r="U17" i="3"/>
  <c r="U35" i="3"/>
  <c r="U14" i="3" l="1"/>
  <c r="U51" i="3"/>
  <c r="J31" i="3"/>
  <c r="V61" i="3"/>
  <c r="U49" i="3"/>
  <c r="I57" i="3"/>
  <c r="I59" i="3" s="1"/>
  <c r="U60" i="3" s="1"/>
  <c r="U64" i="3"/>
  <c r="U63" i="3"/>
  <c r="U56" i="3"/>
  <c r="U59" i="3" s="1"/>
  <c r="I22" i="3"/>
  <c r="U50" i="3"/>
  <c r="U15" i="3" s="1"/>
  <c r="I16" i="3"/>
  <c r="T65" i="3"/>
  <c r="G36" i="3"/>
  <c r="H36" i="3"/>
  <c r="U62" i="3" l="1"/>
  <c r="I27" i="3"/>
  <c r="I24" i="3"/>
  <c r="I25" i="3"/>
  <c r="T66" i="3"/>
  <c r="T67" i="3"/>
  <c r="T68" i="3"/>
  <c r="H35" i="3"/>
  <c r="H7" i="3"/>
  <c r="H6" i="3"/>
  <c r="H5" i="3"/>
  <c r="I28" i="3" l="1"/>
  <c r="U61" i="3"/>
  <c r="I31" i="3"/>
  <c r="H22" i="3"/>
  <c r="H13" i="3"/>
  <c r="I14" i="3" s="1"/>
  <c r="T69" i="3"/>
  <c r="T58" i="3"/>
  <c r="P68" i="3" l="1"/>
  <c r="P67" i="3"/>
  <c r="P66" i="3"/>
  <c r="P65" i="3"/>
  <c r="R68" i="3"/>
  <c r="Q68" i="3"/>
  <c r="R67" i="3"/>
  <c r="Q67" i="3"/>
  <c r="R66" i="3"/>
  <c r="Q66" i="3"/>
  <c r="S55" i="3"/>
  <c r="R30" i="3"/>
  <c r="Q30" i="3"/>
  <c r="E41" i="3"/>
  <c r="C41" i="3"/>
  <c r="D23" i="3"/>
  <c r="C23" i="3"/>
  <c r="B23" i="3"/>
  <c r="R69" i="3" l="1"/>
  <c r="P69" i="3"/>
  <c r="Q69" i="3"/>
  <c r="H56" i="3"/>
  <c r="G56" i="3"/>
  <c r="T35" i="3"/>
  <c r="S35" i="3"/>
  <c r="R35" i="3"/>
  <c r="P35" i="3"/>
  <c r="O35" i="3"/>
  <c r="N35" i="3"/>
  <c r="Q35" i="3"/>
  <c r="S10" i="3"/>
  <c r="S14" i="3" s="1"/>
  <c r="R10" i="3"/>
  <c r="R14" i="3" s="1"/>
  <c r="Q10" i="3"/>
  <c r="Q14" i="3" s="1"/>
  <c r="P10" i="3"/>
  <c r="P14" i="3" s="1"/>
  <c r="O10" i="3"/>
  <c r="O14" i="3" s="1"/>
  <c r="N10" i="3"/>
  <c r="N14" i="3" s="1"/>
  <c r="T10" i="3"/>
  <c r="S17" i="3"/>
  <c r="R17" i="3"/>
  <c r="Q17" i="3"/>
  <c r="P17" i="3"/>
  <c r="O17" i="3"/>
  <c r="N17" i="3"/>
  <c r="T17" i="3"/>
  <c r="T43" i="3"/>
  <c r="S43" i="3"/>
  <c r="R43" i="3"/>
  <c r="Q43" i="3"/>
  <c r="P43" i="3"/>
  <c r="O43" i="3"/>
  <c r="N43" i="3"/>
  <c r="B7" i="3"/>
  <c r="B13" i="3" s="1"/>
  <c r="C7" i="3"/>
  <c r="D7" i="3"/>
  <c r="E7" i="3"/>
  <c r="F7" i="3"/>
  <c r="G7" i="3"/>
  <c r="E22" i="3" l="1"/>
  <c r="E13" i="3"/>
  <c r="Q72" i="3" s="1"/>
  <c r="D13" i="3"/>
  <c r="I15" i="3" s="1"/>
  <c r="G22" i="3"/>
  <c r="G13" i="3"/>
  <c r="C22" i="3"/>
  <c r="C13" i="3"/>
  <c r="F13" i="3"/>
  <c r="R72" i="3" s="1"/>
  <c r="D22" i="3"/>
  <c r="B22" i="3"/>
  <c r="F22" i="3"/>
  <c r="P72" i="3" l="1"/>
  <c r="F25" i="3"/>
  <c r="F27" i="3" s="1"/>
  <c r="F31" i="3" s="1"/>
  <c r="E25" i="3"/>
  <c r="E27" i="3" s="1"/>
  <c r="E31" i="3" s="1"/>
  <c r="D25" i="3"/>
  <c r="D27" i="3" s="1"/>
  <c r="D31" i="3" s="1"/>
  <c r="I33" i="3" s="1"/>
  <c r="C25" i="3"/>
  <c r="C27" i="3" s="1"/>
  <c r="C31" i="3" s="1"/>
  <c r="G25" i="3"/>
  <c r="G27" i="3" s="1"/>
  <c r="G28" i="3" s="1"/>
  <c r="B25" i="3" l="1"/>
  <c r="B27" i="3" s="1"/>
  <c r="B31" i="3" l="1"/>
  <c r="N61" i="3"/>
  <c r="T13" i="3"/>
  <c r="T51" i="3" s="1"/>
  <c r="H58" i="3"/>
  <c r="H45" i="3"/>
  <c r="T26" i="3"/>
  <c r="T50" i="3" s="1"/>
  <c r="T64" i="3" l="1"/>
  <c r="T71" i="3"/>
  <c r="T63" i="3"/>
  <c r="H57" i="3"/>
  <c r="H59" i="3" s="1"/>
  <c r="T60" i="3" s="1"/>
  <c r="T56" i="3"/>
  <c r="T59" i="3" s="1"/>
  <c r="T14" i="3"/>
  <c r="T62" i="3" s="1"/>
  <c r="G58" i="3"/>
  <c r="T15" i="3" l="1"/>
  <c r="T49" i="3"/>
  <c r="U70" i="3" s="1"/>
  <c r="G35" i="3" l="1"/>
  <c r="F35" i="3"/>
  <c r="T72" i="3" l="1"/>
  <c r="G5" i="3"/>
  <c r="H15" i="3" l="1"/>
  <c r="H14" i="3"/>
  <c r="H25" i="3"/>
  <c r="H16" i="3"/>
  <c r="H51" i="3" l="1"/>
  <c r="H27" i="3"/>
  <c r="T61" i="3" s="1"/>
  <c r="H24" i="3"/>
  <c r="H28" i="3" l="1"/>
  <c r="H31" i="3"/>
  <c r="I32" i="3" s="1"/>
  <c r="H33" i="3" l="1"/>
  <c r="G45" i="3"/>
  <c r="S65" i="3" l="1"/>
  <c r="R65" i="3"/>
  <c r="S58" i="3"/>
  <c r="O68" i="3" l="1"/>
  <c r="C58" i="3"/>
  <c r="S66" i="3"/>
  <c r="O66" i="3"/>
  <c r="F56" i="3"/>
  <c r="E56" i="3"/>
  <c r="D56" i="3"/>
  <c r="C56" i="3"/>
  <c r="Q65" i="3"/>
  <c r="O65" i="3"/>
  <c r="R55" i="3"/>
  <c r="R58" i="3" s="1"/>
  <c r="Q55" i="3"/>
  <c r="Q58" i="3" s="1"/>
  <c r="P55" i="3"/>
  <c r="P58" i="3" s="1"/>
  <c r="O55" i="3"/>
  <c r="O58" i="3" s="1"/>
  <c r="N55" i="3"/>
  <c r="F45" i="3"/>
  <c r="E45" i="3"/>
  <c r="D45" i="3"/>
  <c r="D46" i="3" s="1"/>
  <c r="C45" i="3"/>
  <c r="B45" i="3"/>
  <c r="E35" i="3"/>
  <c r="D35" i="3"/>
  <c r="C35" i="3"/>
  <c r="F58" i="3"/>
  <c r="D58" i="3"/>
  <c r="S26" i="3"/>
  <c r="S50" i="3" s="1"/>
  <c r="S15" i="3" s="1"/>
  <c r="R26" i="3"/>
  <c r="R50" i="3" s="1"/>
  <c r="R15" i="3" s="1"/>
  <c r="Q26" i="3"/>
  <c r="Q50" i="3" s="1"/>
  <c r="Q15" i="3" s="1"/>
  <c r="O26" i="3"/>
  <c r="O50" i="3" s="1"/>
  <c r="O15" i="3" s="1"/>
  <c r="N26" i="3"/>
  <c r="N50" i="3" s="1"/>
  <c r="N15" i="3" s="1"/>
  <c r="S13" i="3"/>
  <c r="S51" i="3" s="1"/>
  <c r="R13" i="3"/>
  <c r="R71" i="3" s="1"/>
  <c r="Q13" i="3"/>
  <c r="Q71" i="3" s="1"/>
  <c r="P13" i="3"/>
  <c r="P71" i="3" s="1"/>
  <c r="O13" i="3"/>
  <c r="N13" i="3"/>
  <c r="O67" i="3"/>
  <c r="O56" i="3"/>
  <c r="O59" i="3" s="1"/>
  <c r="G6" i="3"/>
  <c r="F5" i="3"/>
  <c r="E5" i="3"/>
  <c r="D5" i="3"/>
  <c r="C5" i="3"/>
  <c r="S49" i="3" l="1"/>
  <c r="T70" i="3" s="1"/>
  <c r="G14" i="3"/>
  <c r="P26" i="3"/>
  <c r="S68" i="3"/>
  <c r="E51" i="3"/>
  <c r="F14" i="3"/>
  <c r="F16" i="3"/>
  <c r="S72" i="3"/>
  <c r="G16" i="3"/>
  <c r="G15" i="3"/>
  <c r="G24" i="3"/>
  <c r="B16" i="3"/>
  <c r="E24" i="3"/>
  <c r="E16" i="3"/>
  <c r="S56" i="3"/>
  <c r="F57" i="3"/>
  <c r="F59" i="3" s="1"/>
  <c r="R64" i="3"/>
  <c r="R63" i="3"/>
  <c r="Q56" i="3"/>
  <c r="Q59" i="3" s="1"/>
  <c r="P64" i="3"/>
  <c r="P63" i="3"/>
  <c r="D57" i="3"/>
  <c r="D59" i="3" s="1"/>
  <c r="S71" i="3"/>
  <c r="G57" i="3"/>
  <c r="G59" i="3" s="1"/>
  <c r="S64" i="3"/>
  <c r="S63" i="3"/>
  <c r="E14" i="3"/>
  <c r="E58" i="3"/>
  <c r="N51" i="3"/>
  <c r="Q51" i="3"/>
  <c r="N49" i="3"/>
  <c r="R56" i="3"/>
  <c r="O51" i="3"/>
  <c r="R51" i="3"/>
  <c r="S67" i="3"/>
  <c r="O69" i="3"/>
  <c r="N64" i="3"/>
  <c r="N71" i="3"/>
  <c r="N63" i="3"/>
  <c r="Q63" i="3"/>
  <c r="E57" i="3"/>
  <c r="Q64" i="3"/>
  <c r="P51" i="3"/>
  <c r="Q49" i="3"/>
  <c r="P56" i="3"/>
  <c r="P59" i="3" s="1"/>
  <c r="O64" i="3"/>
  <c r="O71" i="3"/>
  <c r="O63" i="3"/>
  <c r="C57" i="3"/>
  <c r="C59" i="3" s="1"/>
  <c r="O49" i="3"/>
  <c r="R49" i="3"/>
  <c r="R70" i="3" l="1"/>
  <c r="P50" i="3"/>
  <c r="P15" i="3" s="1"/>
  <c r="B46" i="3"/>
  <c r="C46" i="3" s="1"/>
  <c r="P49" i="3"/>
  <c r="Q70" i="3" s="1"/>
  <c r="O60" i="3"/>
  <c r="S60" i="3"/>
  <c r="S69" i="3"/>
  <c r="S59" i="3"/>
  <c r="E59" i="3"/>
  <c r="Q60" i="3" s="1"/>
  <c r="S70" i="3"/>
  <c r="O72" i="3"/>
  <c r="D16" i="3"/>
  <c r="D14" i="3"/>
  <c r="Q62" i="3"/>
  <c r="N62" i="3"/>
  <c r="B51" i="3"/>
  <c r="B24" i="3"/>
  <c r="P60" i="3"/>
  <c r="R60" i="3"/>
  <c r="R62" i="3"/>
  <c r="F24" i="3"/>
  <c r="N72" i="3"/>
  <c r="C14" i="3"/>
  <c r="C16" i="3"/>
  <c r="R59" i="3"/>
  <c r="O70" i="3"/>
  <c r="S62" i="3"/>
  <c r="P70" i="3" l="1"/>
  <c r="E46" i="3"/>
  <c r="F46" i="3" s="1"/>
  <c r="G41" i="3" s="1"/>
  <c r="G51" i="3"/>
  <c r="B28" i="3"/>
  <c r="Q61" i="3"/>
  <c r="E28" i="3"/>
  <c r="S61" i="3"/>
  <c r="G31" i="3"/>
  <c r="R61" i="3"/>
  <c r="F28" i="3"/>
  <c r="P62" i="3"/>
  <c r="D24" i="3"/>
  <c r="C24" i="3"/>
  <c r="O62" i="3"/>
  <c r="F51" i="3"/>
  <c r="H32" i="3" l="1"/>
  <c r="G33" i="3"/>
  <c r="G46" i="3"/>
  <c r="H41" i="3" s="1"/>
  <c r="D51" i="3"/>
  <c r="C51" i="3"/>
  <c r="G32" i="3"/>
  <c r="P61" i="3"/>
  <c r="D28" i="3"/>
  <c r="O61" i="3"/>
  <c r="C32" i="3"/>
  <c r="C28" i="3"/>
  <c r="F32" i="3"/>
  <c r="H46" i="3" l="1"/>
  <c r="I41" i="3" s="1"/>
  <c r="I46" i="3" s="1"/>
  <c r="D32" i="3"/>
  <c r="E32" i="3"/>
</calcChain>
</file>

<file path=xl/sharedStrings.xml><?xml version="1.0" encoding="utf-8"?>
<sst xmlns="http://schemas.openxmlformats.org/spreadsheetml/2006/main" count="203" uniqueCount="127">
  <si>
    <t>Y/E, Mar (Rs. mn)</t>
  </si>
  <si>
    <t>Growth (%)</t>
  </si>
  <si>
    <t>CAGR (%)</t>
  </si>
  <si>
    <t>Expenditure</t>
  </si>
  <si>
    <t>EBITDA</t>
  </si>
  <si>
    <t>EBITDA margin (%)</t>
  </si>
  <si>
    <t>Other Income</t>
  </si>
  <si>
    <t>Depreciation</t>
  </si>
  <si>
    <t>Excp Item</t>
  </si>
  <si>
    <t>PBT</t>
  </si>
  <si>
    <t>Tax</t>
  </si>
  <si>
    <t>Effective tax rate (%)</t>
  </si>
  <si>
    <t>Minority Interest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</si>
  <si>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</si>
  <si>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</si>
  <si>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</si>
  <si>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</si>
  <si>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</si>
  <si>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</si>
  <si>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</si>
  <si>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Operating Cash Inflow </t>
  </si>
  <si>
    <t>Capital Expenditure</t>
  </si>
  <si>
    <t>FCF</t>
  </si>
  <si>
    <t xml:space="preserve"> </t>
  </si>
  <si>
    <t>FY16</t>
  </si>
  <si>
    <t>FY17</t>
  </si>
  <si>
    <t>Share Capital</t>
  </si>
  <si>
    <t>Reserves &amp; Surplus</t>
  </si>
  <si>
    <t>Networth/Shareholders Fund/ Book Value</t>
  </si>
  <si>
    <t>Long Term Debt</t>
  </si>
  <si>
    <t>Short Term Debt</t>
  </si>
  <si>
    <t>Loans</t>
  </si>
  <si>
    <t>Capital Employed</t>
  </si>
  <si>
    <t>Inventories</t>
  </si>
  <si>
    <t>Cash &amp; Bank Balances</t>
  </si>
  <si>
    <t>Deferred Tax Liability</t>
  </si>
  <si>
    <t>Key ratios</t>
  </si>
  <si>
    <t xml:space="preserve">Y/E, Mar 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</si>
  <si>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</si>
  <si>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</si>
  <si>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</si>
  <si>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</si>
  <si>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</si>
  <si>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</si>
  <si>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</si>
  <si>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</si>
  <si>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</si>
  <si>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</si>
  <si>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</si>
  <si>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</si>
  <si>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</si>
  <si>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</si>
  <si>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Employee Benefit Expense</t>
  </si>
  <si>
    <t>Other Current Assets</t>
  </si>
  <si>
    <t>Other Expenses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</si>
  <si>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</si>
  <si>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</si>
  <si>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</si>
  <si>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</si>
  <si>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</si>
  <si>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</si>
  <si>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</si>
  <si>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Cash Flow from Investing Activities</t>
  </si>
  <si>
    <t>PAT margin (%)</t>
  </si>
  <si>
    <t>Trade Payables</t>
  </si>
  <si>
    <t>FY18</t>
  </si>
  <si>
    <t>Interest Cost</t>
  </si>
  <si>
    <t>CAGR (%) - 5 Years</t>
  </si>
  <si>
    <t>NA</t>
  </si>
  <si>
    <t>TOTAL ASSETS</t>
  </si>
  <si>
    <t>TOTAL LIABILITIES</t>
  </si>
  <si>
    <t>Income Statement</t>
  </si>
  <si>
    <t>Balance Sheet</t>
  </si>
  <si>
    <t>Changes in Inventory</t>
  </si>
  <si>
    <t>Finance Cost</t>
  </si>
  <si>
    <t>Capital Work-in-Progress</t>
  </si>
  <si>
    <t>Long Term Loans and Advances</t>
  </si>
  <si>
    <t>Other Non-current Assets</t>
  </si>
  <si>
    <t>Short Term Loans &amp; Advances</t>
  </si>
  <si>
    <t>Provisions</t>
  </si>
  <si>
    <t>Other Current Liabilities</t>
  </si>
  <si>
    <t>Other Long term Provision</t>
  </si>
  <si>
    <t>FY19</t>
  </si>
  <si>
    <t>Cash Conversion Cycle</t>
  </si>
  <si>
    <t>Interest Coverage Ratio</t>
  </si>
  <si>
    <t>Working Capital Cycle</t>
  </si>
  <si>
    <t>Gross Block</t>
  </si>
  <si>
    <t>Credit Rating</t>
  </si>
  <si>
    <t>Other Financial Liabilities</t>
  </si>
  <si>
    <t>FY20</t>
  </si>
  <si>
    <t>Current Tax Assets</t>
  </si>
  <si>
    <t>FY21</t>
  </si>
  <si>
    <t>CMP</t>
  </si>
  <si>
    <t>Total Revenue</t>
  </si>
  <si>
    <t>Account Receivable</t>
  </si>
  <si>
    <t>Cost of material consumed</t>
  </si>
  <si>
    <t>Purchase of stock-in-trade</t>
  </si>
  <si>
    <t>PAT (Before Merger)</t>
  </si>
  <si>
    <t>Impact of Merger</t>
  </si>
  <si>
    <t xml:space="preserve">Non Controlling Interests </t>
  </si>
  <si>
    <t xml:space="preserve">Optionally Convertible Preference Shares </t>
  </si>
  <si>
    <t>NON-CURRENT ASSETS</t>
  </si>
  <si>
    <t xml:space="preserve">Lease Liabilities </t>
  </si>
  <si>
    <t>CURRENT ASSETS</t>
  </si>
  <si>
    <t xml:space="preserve">CURRENT LIABILITIES </t>
  </si>
  <si>
    <t xml:space="preserve">NON CURRENT LIABILITIES </t>
  </si>
  <si>
    <t>Right of Use Assets</t>
  </si>
  <si>
    <t>Goodwill</t>
  </si>
  <si>
    <t>Other Intangible Assets</t>
  </si>
  <si>
    <t xml:space="preserve">Other Investments </t>
  </si>
  <si>
    <t>Investments</t>
  </si>
  <si>
    <t xml:space="preserve">Property, Plant and Equipment </t>
  </si>
  <si>
    <t>Other Financial assets</t>
  </si>
  <si>
    <t>Share Capital Pending Allotment</t>
  </si>
  <si>
    <t>Current Tax Liabilities</t>
  </si>
  <si>
    <t>Share Suspense Account pending allotment upon Scheme of
Amalgamation</t>
  </si>
  <si>
    <t xml:space="preserve"> CRISIL A-/Positive (Assigned)</t>
  </si>
  <si>
    <t>Valiant Organics Ltd.</t>
  </si>
  <si>
    <t>FY22</t>
  </si>
  <si>
    <t>PAT (After Merger)</t>
  </si>
  <si>
    <t>FY23</t>
  </si>
  <si>
    <t>Borrowings</t>
  </si>
  <si>
    <t>H1-FY24</t>
  </si>
  <si>
    <t>TTM</t>
  </si>
  <si>
    <t>Total comprehensive income</t>
  </si>
  <si>
    <t>9M-FY24</t>
  </si>
  <si>
    <t>Share of profit/(loss) of associate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</si>
</sst>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  <numFmt numFmtId="167" formatCode="_ * #,##0.0_ ;_ * \-#,##0.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4" fillId="0" borderId="0" xfId="0" applyFont="1"/>
    <xf numFmtId="167" fontId="3" fillId="0" borderId="1" xfId="2" applyNumberFormat="1" applyFont="1" applyFill="1" applyBorder="1"/>
    <xf numFmtId="164" fontId="4" fillId="0" borderId="1" xfId="0" applyNumberFormat="1" applyFont="1" applyBorder="1"/>
    <xf numFmtId="164" fontId="4" fillId="0" borderId="0" xfId="0" applyNumberFormat="1" applyFont="1"/>
    <xf numFmtId="167" fontId="4" fillId="0" borderId="1" xfId="2" applyNumberFormat="1" applyFont="1" applyFill="1" applyBorder="1"/>
    <xf numFmtId="43" fontId="4" fillId="0" borderId="1" xfId="2" applyFont="1" applyFill="1" applyBorder="1"/>
    <xf numFmtId="0" fontId="4" fillId="0" borderId="1" xfId="0" applyFont="1" applyBorder="1"/>
    <xf numFmtId="1" fontId="4" fillId="0" borderId="1" xfId="0" applyNumberFormat="1" applyFont="1" applyBorder="1"/>
    <xf numFmtId="167" fontId="4" fillId="0" borderId="0" xfId="2" applyNumberFormat="1" applyFont="1" applyBorder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167" fontId="4" fillId="4" borderId="0" xfId="2" applyNumberFormat="1" applyFont="1" applyFill="1" applyBorder="1"/>
    <xf numFmtId="43" fontId="4" fillId="0" borderId="0" xfId="0" applyNumberFormat="1" applyFont="1"/>
    <xf numFmtId="167" fontId="4" fillId="0" borderId="0" xfId="0" applyNumberFormat="1" applyFont="1"/>
    <xf numFmtId="166" fontId="4" fillId="0" borderId="1" xfId="2" applyNumberFormat="1" applyFont="1" applyFill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0" fontId="4" fillId="0" borderId="0" xfId="1" applyNumberFormat="1" applyFont="1" applyFill="1" applyBorder="1"/>
    <xf numFmtId="0" fontId="4" fillId="0" borderId="1" xfId="3" applyFont="1" applyBorder="1"/>
    <xf numFmtId="43" fontId="3" fillId="0" borderId="1" xfId="2" applyFont="1" applyFill="1" applyBorder="1"/>
    <xf numFmtId="0" fontId="3" fillId="0" borderId="1" xfId="0" applyFont="1" applyBorder="1" applyAlignment="1">
      <alignment horizontal="left"/>
    </xf>
    <xf numFmtId="0" fontId="3" fillId="3" borderId="1" xfId="0" applyFont="1" applyFill="1" applyBorder="1"/>
    <xf numFmtId="167" fontId="3" fillId="3" borderId="1" xfId="2" applyNumberFormat="1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10" fontId="3" fillId="3" borderId="1" xfId="0" applyNumberFormat="1" applyFont="1" applyFill="1" applyBorder="1"/>
    <xf numFmtId="10" fontId="6" fillId="3" borderId="1" xfId="0" applyNumberFormat="1" applyFont="1" applyFill="1" applyBorder="1"/>
    <xf numFmtId="10" fontId="3" fillId="3" borderId="1" xfId="1" applyNumberFormat="1" applyFont="1" applyFill="1" applyBorder="1"/>
    <xf numFmtId="165" fontId="6" fillId="3" borderId="1" xfId="1" applyNumberFormat="1" applyFont="1" applyFill="1" applyBorder="1"/>
    <xf numFmtId="43" fontId="3" fillId="3" borderId="1" xfId="2" applyFont="1" applyFill="1" applyBorder="1"/>
    <xf numFmtId="43" fontId="4" fillId="3" borderId="1" xfId="2" applyFont="1" applyFill="1" applyBorder="1"/>
    <xf numFmtId="2" fontId="4" fillId="3" borderId="1" xfId="0" applyNumberFormat="1" applyFont="1" applyFill="1" applyBorder="1"/>
    <xf numFmtId="10" fontId="4" fillId="3" borderId="1" xfId="0" applyNumberFormat="1" applyFont="1" applyFill="1" applyBorder="1"/>
    <xf numFmtId="10" fontId="4" fillId="3" borderId="1" xfId="1" applyNumberFormat="1" applyFont="1" applyFill="1" applyBorder="1"/>
    <xf numFmtId="166" fontId="4" fillId="3" borderId="1" xfId="2" applyNumberFormat="1" applyFont="1" applyFill="1" applyBorder="1"/>
    <xf numFmtId="43" fontId="4" fillId="3" borderId="1" xfId="0" applyNumberFormat="1" applyFont="1" applyFill="1" applyBorder="1" applyAlignment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right"/>
    </xf>
    <xf numFmtId="43" fontId="3" fillId="0" borderId="1" xfId="2" applyFont="1" applyFill="1" applyBorder="1" applyAlignment="1">
      <alignment horizontal="right"/>
    </xf>
    <xf numFmtId="43" fontId="4" fillId="3" borderId="1" xfId="2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166" fontId="4" fillId="3" borderId="1" xfId="2" applyNumberFormat="1" applyFont="1" applyFill="1" applyBorder="1" applyAlignment="1">
      <alignment horizontal="right"/>
    </xf>
    <xf numFmtId="43" fontId="3" fillId="3" borderId="1" xfId="2" applyFont="1" applyFill="1" applyBorder="1" applyAlignment="1">
      <alignment horizontal="right"/>
    </xf>
    <xf numFmtId="43" fontId="4" fillId="0" borderId="1" xfId="2" applyFont="1" applyFill="1" applyBorder="1" applyAlignment="1">
      <alignment horizontal="right"/>
    </xf>
    <xf numFmtId="10" fontId="4" fillId="0" borderId="0" xfId="0" applyNumberFormat="1" applyFont="1"/>
    <xf numFmtId="10" fontId="3" fillId="0" borderId="1" xfId="0" applyNumberFormat="1" applyFont="1" applyBorder="1"/>
    <xf numFmtId="10" fontId="4" fillId="3" borderId="1" xfId="2" applyNumberFormat="1" applyFont="1" applyFill="1" applyBorder="1" applyAlignment="1">
      <alignment horizontal="right"/>
    </xf>
    <xf numFmtId="10" fontId="4" fillId="3" borderId="1" xfId="2" applyNumberFormat="1" applyFont="1" applyFill="1" applyBorder="1"/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67" fontId="3" fillId="5" borderId="1" xfId="2" applyNumberFormat="1" applyFont="1" applyFill="1" applyBorder="1" applyAlignment="1">
      <alignment horizontal="center"/>
    </xf>
    <xf numFmtId="43" fontId="3" fillId="5" borderId="1" xfId="2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4">
    <cellStyle name="Comma" xfId="2" builtinId="3"/>
    <cellStyle name="Normal" xfId="0" builtinId="0"/>
    <cellStyle name="Percent" xfId="1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324"/>
  <sheetViews>
    <sheetView tabSelected="1" topLeftCell="G51" zoomScale="85" zoomScaleNormal="85" zoomScaleSheetLayoutView="91" workbookViewId="0">
      <selection activeCell="I70" sqref="I70"/>
    </sheetView>
  </sheetViews>
  <sheetFormatPr defaultColWidth="9.1796875" defaultRowHeight="15" customHeight="1" x14ac:dyDescent="0.2"/>
  <cols>
    <col min="1" max="1" width="49" style="1" bestFit="1" customWidth="1"/>
    <col min="2" max="2" width="14.26953125" style="1" bestFit="1" customWidth="1"/>
    <col min="3" max="3" width="14.54296875" style="1" bestFit="1" customWidth="1"/>
    <col min="4" max="4" width="15.54296875" style="1" bestFit="1" customWidth="1"/>
    <col min="5" max="5" width="11.1796875" style="1" bestFit="1" customWidth="1"/>
    <col min="6" max="9" width="12" style="1" bestFit="1" customWidth="1"/>
    <col min="10" max="10" width="12" style="1" customWidth="1"/>
    <col min="11" max="11" width="4.7265625" style="1" customWidth="1"/>
    <col min="12" max="12" width="3.81640625" style="1" customWidth="1"/>
    <col min="13" max="13" width="40.26953125" style="1" bestFit="1" customWidth="1"/>
    <col min="14" max="14" width="9" style="1" customWidth="1"/>
    <col min="15" max="15" width="8.81640625" style="1" customWidth="1"/>
    <col min="16" max="16" width="9.1796875" style="4" customWidth="1"/>
    <col min="17" max="17" width="8.453125" style="9" customWidth="1"/>
    <col min="18" max="18" width="9.7265625" style="9" customWidth="1"/>
    <col min="19" max="19" width="12" style="1" bestFit="1" customWidth="1"/>
    <col min="20" max="20" width="9.1796875" style="1" customWidth="1"/>
    <col min="21" max="21" width="10.81640625" style="1" bestFit="1" customWidth="1"/>
    <col min="22" max="22" width="9.54296875" style="1" bestFit="1" customWidth="1"/>
    <col min="23" max="16384" width="9.1796875" style="1"/>
  </cols>
  <sheetData>
    <row r="1" spans="1:22" ht="15" customHeight="1" x14ac:dyDescent="0.25">
      <c r="A1" s="60" t="s">
        <v>117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50"/>
    </row>
    <row r="2" spans="1:22" ht="15" customHeight="1" x14ac:dyDescent="0.25">
      <c r="A2" s="58" t="s">
        <v>71</v>
      </c>
      <c r="B2" s="59"/>
      <c r="C2" s="59"/>
      <c r="D2" s="59"/>
      <c r="E2" s="59"/>
      <c r="F2" s="59"/>
      <c r="G2" s="59"/>
      <c r="H2" s="59"/>
      <c r="I2" s="51"/>
      <c r="J2" s="51"/>
      <c r="K2" s="11"/>
      <c r="L2" s="11"/>
      <c r="M2" s="61" t="s">
        <v>72</v>
      </c>
      <c r="N2" s="62"/>
      <c r="O2" s="62"/>
      <c r="P2" s="62"/>
      <c r="Q2" s="62"/>
      <c r="R2" s="62"/>
      <c r="S2" s="62"/>
      <c r="T2" s="62"/>
      <c r="U2" s="52"/>
    </row>
    <row r="3" spans="1:22" ht="15" customHeight="1" x14ac:dyDescent="0.25">
      <c r="A3" s="38" t="s">
        <v>0</v>
      </c>
      <c r="B3" s="53" t="s">
        <v>24</v>
      </c>
      <c r="C3" s="53" t="s">
        <v>25</v>
      </c>
      <c r="D3" s="53" t="s">
        <v>65</v>
      </c>
      <c r="E3" s="53" t="s">
        <v>82</v>
      </c>
      <c r="F3" s="53" t="s">
        <v>89</v>
      </c>
      <c r="G3" s="53" t="s">
        <v>91</v>
      </c>
      <c r="H3" s="53" t="s">
        <v>118</v>
      </c>
      <c r="I3" s="53" t="s">
        <v>120</v>
      </c>
      <c r="J3" s="53" t="s">
        <v>125</v>
      </c>
      <c r="K3" s="11"/>
      <c r="L3" s="11"/>
      <c r="M3" s="38" t="s">
        <v>0</v>
      </c>
      <c r="N3" s="53" t="s">
        <v>24</v>
      </c>
      <c r="O3" s="53" t="s">
        <v>25</v>
      </c>
      <c r="P3" s="56" t="s">
        <v>65</v>
      </c>
      <c r="Q3" s="54" t="s">
        <v>82</v>
      </c>
      <c r="R3" s="54" t="s">
        <v>89</v>
      </c>
      <c r="S3" s="54" t="s">
        <v>91</v>
      </c>
      <c r="T3" s="54" t="s">
        <v>118</v>
      </c>
      <c r="U3" s="54" t="s">
        <v>120</v>
      </c>
      <c r="V3" s="54" t="s">
        <v>122</v>
      </c>
    </row>
    <row r="4" spans="1:22" ht="15" customHeight="1" x14ac:dyDescent="0.25">
      <c r="A4" s="23" t="s">
        <v>93</v>
      </c>
      <c r="B4" s="24">
        <v>534.76113099999998</v>
      </c>
      <c r="C4" s="24">
        <v>748.84327800000005</v>
      </c>
      <c r="D4" s="24">
        <v>1221.292942</v>
      </c>
      <c r="E4" s="24">
        <v>7010.2929999999997</v>
      </c>
      <c r="F4" s="24">
        <v>6812.3740000000007</v>
      </c>
      <c r="G4" s="24">
        <v>7548</v>
      </c>
      <c r="H4" s="24">
        <v>11533</v>
      </c>
      <c r="I4" s="24">
        <v>10518.048000000001</v>
      </c>
      <c r="J4" s="24">
        <v>5463</v>
      </c>
      <c r="K4" s="19"/>
      <c r="L4" s="19"/>
      <c r="M4" s="7" t="s">
        <v>26</v>
      </c>
      <c r="N4" s="3">
        <v>36.403199999999998</v>
      </c>
      <c r="O4" s="3">
        <v>36.403199999999998</v>
      </c>
      <c r="P4" s="3">
        <v>58.643500000000003</v>
      </c>
      <c r="Q4" s="3">
        <v>58.644000000000005</v>
      </c>
      <c r="R4" s="3">
        <v>121.492</v>
      </c>
      <c r="S4" s="3">
        <v>271.53499999999997</v>
      </c>
      <c r="T4" s="3">
        <v>271.53500000000003</v>
      </c>
      <c r="U4" s="3">
        <v>271.53500000000003</v>
      </c>
      <c r="V4" s="3">
        <v>271.69499999999999</v>
      </c>
    </row>
    <row r="5" spans="1:22" ht="15" customHeight="1" x14ac:dyDescent="0.2">
      <c r="A5" s="25" t="s">
        <v>1</v>
      </c>
      <c r="B5" s="26"/>
      <c r="C5" s="26">
        <f t="shared" ref="C5:H5" si="0">(C4/B4-1)</f>
        <v>0.40033228780047603</v>
      </c>
      <c r="D5" s="26">
        <f t="shared" si="0"/>
        <v>0.6309059290240433</v>
      </c>
      <c r="E5" s="26">
        <f t="shared" si="0"/>
        <v>4.7400585550915268</v>
      </c>
      <c r="F5" s="26">
        <f t="shared" si="0"/>
        <v>-2.8232628793118719E-2</v>
      </c>
      <c r="G5" s="26">
        <f t="shared" si="0"/>
        <v>0.10798379537001335</v>
      </c>
      <c r="H5" s="26">
        <f t="shared" si="0"/>
        <v>0.52795442501324863</v>
      </c>
      <c r="I5" s="26">
        <f>(I4/H4-1)</f>
        <v>-8.8004161969999051E-2</v>
      </c>
      <c r="J5" s="26"/>
      <c r="M5" s="7" t="s">
        <v>100</v>
      </c>
      <c r="N5" s="5"/>
      <c r="O5" s="5"/>
      <c r="P5" s="5"/>
      <c r="Q5" s="5">
        <v>0</v>
      </c>
      <c r="R5" s="3">
        <v>18.331</v>
      </c>
      <c r="S5" s="3">
        <v>4.056</v>
      </c>
      <c r="T5" s="3">
        <v>4.056</v>
      </c>
      <c r="U5" s="3">
        <v>4.056</v>
      </c>
      <c r="V5" s="3">
        <v>4.056</v>
      </c>
    </row>
    <row r="6" spans="1:22" ht="15" customHeight="1" x14ac:dyDescent="0.2">
      <c r="A6" s="25" t="s">
        <v>67</v>
      </c>
      <c r="B6" s="26"/>
      <c r="C6" s="26"/>
      <c r="D6" s="26"/>
      <c r="E6" s="26"/>
      <c r="F6" s="26"/>
      <c r="G6" s="26">
        <f>+((G4/B4)^(1/5)-1)</f>
        <v>0.69798719847392721</v>
      </c>
      <c r="H6" s="26">
        <f>+((H4/C4)^(1/5)-1)</f>
        <v>0.72786684487997944</v>
      </c>
      <c r="I6" s="26">
        <f>+((I4/D4)^(1/5)-1)</f>
        <v>0.53823631562868313</v>
      </c>
      <c r="J6" s="26"/>
      <c r="M6" s="7" t="s">
        <v>115</v>
      </c>
      <c r="N6" s="5"/>
      <c r="O6" s="3">
        <v>22.240300000000001</v>
      </c>
      <c r="P6" s="5"/>
      <c r="Q6" s="5"/>
      <c r="R6" s="5"/>
      <c r="S6" s="5"/>
      <c r="T6" s="5"/>
      <c r="U6" s="5"/>
      <c r="V6" s="3"/>
    </row>
    <row r="7" spans="1:22" ht="15" customHeight="1" x14ac:dyDescent="0.25">
      <c r="A7" s="23" t="s">
        <v>3</v>
      </c>
      <c r="B7" s="24">
        <f t="shared" ref="B7:F7" si="1">SUM(B8:B12,B18,B19)</f>
        <v>377.240319</v>
      </c>
      <c r="C7" s="24">
        <f t="shared" si="1"/>
        <v>569.75912199999993</v>
      </c>
      <c r="D7" s="24">
        <f t="shared" si="1"/>
        <v>968.95206900000005</v>
      </c>
      <c r="E7" s="24">
        <f t="shared" si="1"/>
        <v>5298.148000000002</v>
      </c>
      <c r="F7" s="24">
        <f t="shared" si="1"/>
        <v>5127.5030000000006</v>
      </c>
      <c r="G7" s="24">
        <f>SUM(G8:G12,G18,G19)</f>
        <v>5758.7959999999994</v>
      </c>
      <c r="H7" s="24">
        <f>SUM(H8:H12,H18,H19)</f>
        <v>9845.1800000000021</v>
      </c>
      <c r="I7" s="24">
        <f>SUM(I8:I12,I18,I19)</f>
        <v>9275.5499999999993</v>
      </c>
      <c r="J7" s="24">
        <f>SUM(J8:J12,J18,J19)</f>
        <v>5416.5000000000009</v>
      </c>
      <c r="M7" s="7" t="s">
        <v>113</v>
      </c>
      <c r="N7" s="5"/>
      <c r="O7" s="5"/>
      <c r="P7" s="5"/>
      <c r="Q7" s="3">
        <v>81.179999999999993</v>
      </c>
      <c r="R7" s="5"/>
      <c r="S7" s="5"/>
      <c r="T7" s="5"/>
      <c r="U7" s="5"/>
      <c r="V7" s="3"/>
    </row>
    <row r="8" spans="1:22" ht="15" customHeight="1" x14ac:dyDescent="0.2">
      <c r="A8" s="7" t="s">
        <v>95</v>
      </c>
      <c r="B8" s="3">
        <v>235.196608</v>
      </c>
      <c r="C8" s="3">
        <v>421.619775</v>
      </c>
      <c r="D8" s="3">
        <v>769.98213199999998</v>
      </c>
      <c r="E8" s="3">
        <v>4175.6230000000005</v>
      </c>
      <c r="F8" s="3">
        <v>3851.9550000000004</v>
      </c>
      <c r="G8" s="3">
        <v>4065.67</v>
      </c>
      <c r="H8" s="3">
        <v>7808.88</v>
      </c>
      <c r="I8" s="3">
        <v>6796.0919999999996</v>
      </c>
      <c r="J8" s="3">
        <v>3692.9</v>
      </c>
      <c r="M8" s="7" t="s">
        <v>27</v>
      </c>
      <c r="N8" s="3">
        <v>191.12258600000001</v>
      </c>
      <c r="O8" s="3">
        <v>415.63292200000001</v>
      </c>
      <c r="P8" s="3">
        <v>533.13116100000002</v>
      </c>
      <c r="Q8" s="3">
        <v>2757.826</v>
      </c>
      <c r="R8" s="3">
        <v>3735.8330000000001</v>
      </c>
      <c r="S8" s="3">
        <v>4747.1190000000006</v>
      </c>
      <c r="T8" s="3">
        <v>5855.9</v>
      </c>
      <c r="U8" s="3">
        <v>6616.1809999999996</v>
      </c>
      <c r="V8" s="3">
        <v>6784.3270000000002</v>
      </c>
    </row>
    <row r="9" spans="1:22" ht="15" customHeight="1" x14ac:dyDescent="0.2">
      <c r="A9" s="7" t="s">
        <v>96</v>
      </c>
      <c r="B9" s="3">
        <v>0</v>
      </c>
      <c r="C9" s="3">
        <v>0.53251199999999999</v>
      </c>
      <c r="D9" s="3">
        <v>0</v>
      </c>
      <c r="E9" s="3">
        <v>114.21</v>
      </c>
      <c r="F9" s="3">
        <v>39.012999999999998</v>
      </c>
      <c r="G9" s="3">
        <v>153.94499999999999</v>
      </c>
      <c r="H9" s="3">
        <v>170.87</v>
      </c>
      <c r="I9" s="3">
        <v>138.52199999999999</v>
      </c>
      <c r="J9" s="3">
        <v>24.9</v>
      </c>
      <c r="M9" s="7" t="s">
        <v>99</v>
      </c>
      <c r="N9" s="5"/>
      <c r="O9" s="5"/>
      <c r="P9" s="5"/>
      <c r="Q9" s="3">
        <v>116.268</v>
      </c>
      <c r="R9" s="3">
        <v>131.268</v>
      </c>
      <c r="S9" s="3">
        <v>63.012999999999998</v>
      </c>
      <c r="T9" s="3">
        <v>357.54</v>
      </c>
      <c r="U9" s="3">
        <v>508.85</v>
      </c>
      <c r="V9" s="3">
        <v>538.43399999999997</v>
      </c>
    </row>
    <row r="10" spans="1:22" ht="15" customHeight="1" x14ac:dyDescent="0.25">
      <c r="A10" s="7" t="s">
        <v>73</v>
      </c>
      <c r="B10" s="3">
        <v>15.977713</v>
      </c>
      <c r="C10" s="3">
        <v>4.6200510000000001</v>
      </c>
      <c r="D10" s="3">
        <v>-26.344075</v>
      </c>
      <c r="E10" s="3">
        <v>-26.274999999999999</v>
      </c>
      <c r="F10" s="3">
        <v>40.247</v>
      </c>
      <c r="G10" s="3">
        <v>-98.3</v>
      </c>
      <c r="H10" s="3">
        <v>-225.57</v>
      </c>
      <c r="I10" s="3">
        <v>-49.851999999999997</v>
      </c>
      <c r="J10" s="3">
        <v>-154</v>
      </c>
      <c r="M10" s="23" t="s">
        <v>28</v>
      </c>
      <c r="N10" s="24">
        <f t="shared" ref="N10:T10" si="2">SUM(N4:N9)</f>
        <v>227.52578600000001</v>
      </c>
      <c r="O10" s="24">
        <f t="shared" si="2"/>
        <v>474.27642200000003</v>
      </c>
      <c r="P10" s="24">
        <f t="shared" si="2"/>
        <v>591.77466100000004</v>
      </c>
      <c r="Q10" s="24">
        <f t="shared" si="2"/>
        <v>3013.9180000000001</v>
      </c>
      <c r="R10" s="24">
        <f t="shared" si="2"/>
        <v>4006.924</v>
      </c>
      <c r="S10" s="24">
        <f t="shared" si="2"/>
        <v>5085.7230000000009</v>
      </c>
      <c r="T10" s="24">
        <f t="shared" si="2"/>
        <v>6489.0309999999999</v>
      </c>
      <c r="U10" s="24">
        <f t="shared" ref="U10" si="3">SUM(U4:U9)</f>
        <v>7400.6220000000003</v>
      </c>
      <c r="V10" s="23">
        <f>SUM(V4:V9)</f>
        <v>7598.5120000000006</v>
      </c>
    </row>
    <row r="11" spans="1:22" ht="15" customHeight="1" x14ac:dyDescent="0.2">
      <c r="A11" s="7" t="s">
        <v>52</v>
      </c>
      <c r="B11" s="3">
        <v>23.095053</v>
      </c>
      <c r="C11" s="3">
        <v>32.537860000000002</v>
      </c>
      <c r="D11" s="3">
        <v>47.750261000000002</v>
      </c>
      <c r="E11" s="3">
        <v>184.83099999999999</v>
      </c>
      <c r="F11" s="3">
        <v>227.84699999999998</v>
      </c>
      <c r="G11" s="3">
        <v>293.7</v>
      </c>
      <c r="H11" s="3">
        <v>371.6</v>
      </c>
      <c r="I11" s="3">
        <v>463.31599999999997</v>
      </c>
      <c r="J11" s="3">
        <v>369.8</v>
      </c>
      <c r="M11" s="7" t="s">
        <v>29</v>
      </c>
      <c r="N11" s="5">
        <v>0</v>
      </c>
      <c r="O11" s="3">
        <v>3.087072</v>
      </c>
      <c r="P11" s="3">
        <v>3</v>
      </c>
      <c r="Q11" s="3">
        <v>449.18599999999998</v>
      </c>
      <c r="R11" s="3">
        <v>840.7639999999999</v>
      </c>
      <c r="S11" s="3">
        <v>750.65</v>
      </c>
      <c r="T11" s="3">
        <v>1057.68</v>
      </c>
      <c r="U11" s="3">
        <v>706.072</v>
      </c>
      <c r="V11" s="3">
        <v>515.59799999999996</v>
      </c>
    </row>
    <row r="12" spans="1:22" ht="15" customHeight="1" x14ac:dyDescent="0.2">
      <c r="A12" s="7" t="s">
        <v>54</v>
      </c>
      <c r="B12" s="3">
        <v>88.851423999999994</v>
      </c>
      <c r="C12" s="3">
        <v>90.808244000000002</v>
      </c>
      <c r="D12" s="3">
        <v>150.98880800000001</v>
      </c>
      <c r="E12" s="3">
        <v>676.58199999999999</v>
      </c>
      <c r="F12" s="3">
        <v>787.51</v>
      </c>
      <c r="G12" s="3">
        <v>1081.402</v>
      </c>
      <c r="H12" s="3">
        <v>1358.42</v>
      </c>
      <c r="I12" s="3">
        <v>1527.652</v>
      </c>
      <c r="J12" s="3">
        <v>1098.0999999999999</v>
      </c>
      <c r="M12" s="7" t="s">
        <v>30</v>
      </c>
      <c r="N12" s="3">
        <v>9.7127379999999999</v>
      </c>
      <c r="O12" s="3">
        <v>2.7769020000000002</v>
      </c>
      <c r="P12" s="3">
        <v>3.2051989999999999</v>
      </c>
      <c r="Q12" s="3">
        <v>326.12700000000001</v>
      </c>
      <c r="R12" s="3">
        <v>406.35599999999999</v>
      </c>
      <c r="S12" s="3">
        <v>1329.66</v>
      </c>
      <c r="T12" s="3">
        <v>2568.06</v>
      </c>
      <c r="U12" s="3">
        <v>2017.921</v>
      </c>
      <c r="V12" s="3">
        <v>1932.701</v>
      </c>
    </row>
    <row r="13" spans="1:22" ht="15" customHeight="1" x14ac:dyDescent="0.25">
      <c r="A13" s="23" t="s">
        <v>4</v>
      </c>
      <c r="B13" s="24">
        <f t="shared" ref="B13:G13" si="4">(B4-B7+B18+B19)</f>
        <v>171.64033299999997</v>
      </c>
      <c r="C13" s="24">
        <f t="shared" si="4"/>
        <v>198.72483600000012</v>
      </c>
      <c r="D13" s="24">
        <f t="shared" si="4"/>
        <v>278.91581600000001</v>
      </c>
      <c r="E13" s="24">
        <f t="shared" si="4"/>
        <v>1885.3219999999978</v>
      </c>
      <c r="F13" s="24">
        <f t="shared" si="4"/>
        <v>1865.8019999999999</v>
      </c>
      <c r="G13" s="24">
        <f t="shared" si="4"/>
        <v>2051.5830000000005</v>
      </c>
      <c r="H13" s="24">
        <f>(H4-H7+H18+H19)</f>
        <v>2048.7999999999979</v>
      </c>
      <c r="I13" s="24">
        <f>(I4-I7+I18+I19)</f>
        <v>1642.3180000000013</v>
      </c>
      <c r="J13" s="24">
        <f>(J4-J7+J18+J19)</f>
        <v>431.2999999999991</v>
      </c>
      <c r="M13" s="23" t="s">
        <v>31</v>
      </c>
      <c r="N13" s="24">
        <f t="shared" ref="N13:T13" si="5">(N11+N12)</f>
        <v>9.7127379999999999</v>
      </c>
      <c r="O13" s="24">
        <f t="shared" si="5"/>
        <v>5.8639740000000007</v>
      </c>
      <c r="P13" s="24">
        <f t="shared" si="5"/>
        <v>6.2051990000000004</v>
      </c>
      <c r="Q13" s="24">
        <f t="shared" si="5"/>
        <v>775.31299999999999</v>
      </c>
      <c r="R13" s="24">
        <f t="shared" si="5"/>
        <v>1247.1199999999999</v>
      </c>
      <c r="S13" s="24">
        <f t="shared" si="5"/>
        <v>2080.31</v>
      </c>
      <c r="T13" s="24">
        <f t="shared" si="5"/>
        <v>3625.74</v>
      </c>
      <c r="U13" s="24">
        <f t="shared" ref="U13" si="6">(U11+U12)</f>
        <v>2723.9929999999999</v>
      </c>
      <c r="V13" s="23">
        <f>(V11+V12)</f>
        <v>2448.299</v>
      </c>
    </row>
    <row r="14" spans="1:22" ht="15" customHeight="1" x14ac:dyDescent="0.25">
      <c r="A14" s="25" t="s">
        <v>1</v>
      </c>
      <c r="B14" s="26"/>
      <c r="C14" s="26">
        <f t="shared" ref="C14:H14" si="7">(C13/B13-1)</f>
        <v>0.15779801009824523</v>
      </c>
      <c r="D14" s="26">
        <f t="shared" si="7"/>
        <v>0.40352772010842086</v>
      </c>
      <c r="E14" s="26">
        <f t="shared" si="7"/>
        <v>5.7594660892231291</v>
      </c>
      <c r="F14" s="26">
        <f t="shared" si="7"/>
        <v>-1.0353669028419499E-2</v>
      </c>
      <c r="G14" s="26">
        <f t="shared" si="7"/>
        <v>9.9571658729061596E-2</v>
      </c>
      <c r="H14" s="26">
        <f t="shared" si="7"/>
        <v>-1.3565134825169745E-3</v>
      </c>
      <c r="I14" s="26">
        <f>(I13/H13-1)</f>
        <v>-0.19840003904724568</v>
      </c>
      <c r="J14" s="26"/>
      <c r="M14" s="23" t="s">
        <v>32</v>
      </c>
      <c r="N14" s="24">
        <f t="shared" ref="N14:T14" si="8">(N10+N11+N47+N45+N46+N44)</f>
        <v>360.11842500000006</v>
      </c>
      <c r="O14" s="24">
        <f t="shared" si="8"/>
        <v>513.11674399999993</v>
      </c>
      <c r="P14" s="24">
        <f t="shared" si="8"/>
        <v>642.54434600000013</v>
      </c>
      <c r="Q14" s="24">
        <f t="shared" si="8"/>
        <v>3614.1690000000003</v>
      </c>
      <c r="R14" s="24">
        <f t="shared" si="8"/>
        <v>4999.2930000000006</v>
      </c>
      <c r="S14" s="24">
        <f t="shared" si="8"/>
        <v>6056.9050000000007</v>
      </c>
      <c r="T14" s="24">
        <f t="shared" si="8"/>
        <v>7828.6260000000011</v>
      </c>
      <c r="U14" s="24">
        <f>(U10+U11+U47+U45+U46+U44)</f>
        <v>8465.2290000000012</v>
      </c>
      <c r="V14" s="23">
        <f>(V10+V11+V47+V45+V46+V44)</f>
        <v>8517.5120000000006</v>
      </c>
    </row>
    <row r="15" spans="1:22" ht="15" customHeight="1" x14ac:dyDescent="0.25">
      <c r="A15" s="25" t="s">
        <v>67</v>
      </c>
      <c r="B15" s="26"/>
      <c r="C15" s="26"/>
      <c r="D15" s="26"/>
      <c r="E15" s="26"/>
      <c r="F15" s="26"/>
      <c r="G15" s="26">
        <f>+((G13/B13)^(1/5)-1)</f>
        <v>0.64245677396118372</v>
      </c>
      <c r="H15" s="26">
        <f>+((H13/C13)^(1/5)-1)</f>
        <v>0.59459164280501575</v>
      </c>
      <c r="I15" s="26">
        <f>+((I13/D13)^(1/5)-1)</f>
        <v>0.42559716229665767</v>
      </c>
      <c r="J15" s="26"/>
      <c r="M15" s="23" t="s">
        <v>32</v>
      </c>
      <c r="N15" s="24">
        <f t="shared" ref="N15:T15" si="9">N50-N35-N12</f>
        <v>360.118425</v>
      </c>
      <c r="O15" s="24">
        <f t="shared" si="9"/>
        <v>513.11674400000004</v>
      </c>
      <c r="P15" s="24">
        <f t="shared" si="9"/>
        <v>642.54434499999991</v>
      </c>
      <c r="Q15" s="24">
        <f t="shared" si="9"/>
        <v>3614.1659999999993</v>
      </c>
      <c r="R15" s="24">
        <f t="shared" si="9"/>
        <v>4999.2929999999997</v>
      </c>
      <c r="S15" s="24">
        <f t="shared" si="9"/>
        <v>6056.9049999999997</v>
      </c>
      <c r="T15" s="24">
        <f t="shared" si="9"/>
        <v>7828.655999999999</v>
      </c>
      <c r="U15" s="24">
        <f>U50-U35-U12</f>
        <v>8465.2319999999982</v>
      </c>
      <c r="V15" s="23">
        <f>V50-V35-V12</f>
        <v>8517.487000000001</v>
      </c>
    </row>
    <row r="16" spans="1:22" ht="15" customHeight="1" x14ac:dyDescent="0.25">
      <c r="A16" s="23" t="s">
        <v>5</v>
      </c>
      <c r="B16" s="27">
        <f t="shared" ref="B16:H16" si="10">(B13/B4)</f>
        <v>0.32096635871614981</v>
      </c>
      <c r="C16" s="27">
        <f t="shared" si="10"/>
        <v>0.26537573593603137</v>
      </c>
      <c r="D16" s="27">
        <f t="shared" si="10"/>
        <v>0.22837748946886161</v>
      </c>
      <c r="E16" s="27">
        <f t="shared" si="10"/>
        <v>0.26893626272111565</v>
      </c>
      <c r="F16" s="27">
        <f t="shared" si="10"/>
        <v>0.27388425826297846</v>
      </c>
      <c r="G16" s="27">
        <f t="shared" si="10"/>
        <v>0.27180484896661372</v>
      </c>
      <c r="H16" s="27">
        <f t="shared" si="10"/>
        <v>0.17764675279632341</v>
      </c>
      <c r="I16" s="27">
        <f t="shared" ref="I16:J16" si="11">(I13/I4)</f>
        <v>0.15614285084076449</v>
      </c>
      <c r="J16" s="27">
        <f t="shared" si="11"/>
        <v>7.8949295259015034E-2</v>
      </c>
      <c r="M16" s="12" t="s">
        <v>86</v>
      </c>
      <c r="N16" s="6" t="s">
        <v>68</v>
      </c>
      <c r="O16" s="6">
        <v>405.56981300000001</v>
      </c>
      <c r="P16" s="6">
        <v>468.90404699999999</v>
      </c>
      <c r="Q16" s="5">
        <v>1790.3240000000001</v>
      </c>
      <c r="R16" s="5">
        <v>3155.9549999999999</v>
      </c>
      <c r="S16" s="5">
        <v>5556.3950000000004</v>
      </c>
      <c r="T16" s="5"/>
      <c r="U16" s="5"/>
      <c r="V16" s="7"/>
    </row>
    <row r="17" spans="1:22" ht="15" customHeight="1" x14ac:dyDescent="0.25">
      <c r="A17" s="7" t="s">
        <v>6</v>
      </c>
      <c r="B17" s="5">
        <v>13.767310999999999</v>
      </c>
      <c r="C17" s="5">
        <v>14.966426</v>
      </c>
      <c r="D17" s="5">
        <v>14.846119</v>
      </c>
      <c r="E17" s="5">
        <v>87.269000000000005</v>
      </c>
      <c r="F17" s="5">
        <v>63.039000000000001</v>
      </c>
      <c r="G17" s="5">
        <v>59.380999999999993</v>
      </c>
      <c r="H17" s="5">
        <v>74.180000000000007</v>
      </c>
      <c r="I17" s="5">
        <v>80.325999999999993</v>
      </c>
      <c r="J17" s="5">
        <v>72.400000000000006</v>
      </c>
      <c r="M17" s="23" t="s">
        <v>101</v>
      </c>
      <c r="N17" s="24">
        <f t="shared" ref="N17:T17" si="12">SUM(N18:N25)</f>
        <v>264.49218500000001</v>
      </c>
      <c r="O17" s="24">
        <f t="shared" si="12"/>
        <v>343.77029300000004</v>
      </c>
      <c r="P17" s="24">
        <f t="shared" si="12"/>
        <v>386.13054699999998</v>
      </c>
      <c r="Q17" s="24">
        <f t="shared" si="12"/>
        <v>2625.2829999999999</v>
      </c>
      <c r="R17" s="24">
        <f t="shared" si="12"/>
        <v>4450.7280000000001</v>
      </c>
      <c r="S17" s="24">
        <f t="shared" si="12"/>
        <v>5730.6530000000002</v>
      </c>
      <c r="T17" s="24">
        <f t="shared" si="12"/>
        <v>6652.2179999999998</v>
      </c>
      <c r="U17" s="24">
        <f t="shared" ref="U17" si="13">SUM(U18:U25)</f>
        <v>7681.8179999999993</v>
      </c>
      <c r="V17" s="23">
        <f>SUM(V18:V25)</f>
        <v>8131.5050000000001</v>
      </c>
    </row>
    <row r="18" spans="1:22" ht="15" customHeight="1" x14ac:dyDescent="0.2">
      <c r="A18" s="7" t="s">
        <v>7</v>
      </c>
      <c r="B18" s="5">
        <v>9.2667870000000008</v>
      </c>
      <c r="C18" s="5">
        <v>17.093682000000001</v>
      </c>
      <c r="D18" s="5">
        <v>21.884025000000001</v>
      </c>
      <c r="E18" s="5">
        <v>136.41199999999998</v>
      </c>
      <c r="F18" s="5">
        <v>157.667</v>
      </c>
      <c r="G18" s="5">
        <v>212.39899999999997</v>
      </c>
      <c r="H18" s="5">
        <v>296.19</v>
      </c>
      <c r="I18" s="5">
        <v>291.89299999999997</v>
      </c>
      <c r="J18" s="5">
        <v>261.60000000000002</v>
      </c>
      <c r="M18" s="7" t="s">
        <v>111</v>
      </c>
      <c r="N18" s="3">
        <v>124.36668299999999</v>
      </c>
      <c r="O18" s="3">
        <v>264.23576100000002</v>
      </c>
      <c r="P18" s="3">
        <v>306.377724</v>
      </c>
      <c r="Q18" s="3">
        <v>1430.9549999999999</v>
      </c>
      <c r="R18" s="3">
        <v>2728.5990000000002</v>
      </c>
      <c r="S18" s="3">
        <v>4966.9800000000005</v>
      </c>
      <c r="T18" s="3">
        <v>5302.6</v>
      </c>
      <c r="U18" s="3">
        <v>6564.63</v>
      </c>
      <c r="V18" s="3">
        <v>6744.67</v>
      </c>
    </row>
    <row r="19" spans="1:22" ht="15" customHeight="1" x14ac:dyDescent="0.2">
      <c r="A19" s="7" t="s">
        <v>74</v>
      </c>
      <c r="B19" s="5">
        <v>4.8527339999999999</v>
      </c>
      <c r="C19" s="5">
        <v>2.5469979999999999</v>
      </c>
      <c r="D19" s="5">
        <v>4.6909179999999999</v>
      </c>
      <c r="E19" s="5">
        <v>36.765000000000001</v>
      </c>
      <c r="F19" s="5">
        <v>23.263999999999999</v>
      </c>
      <c r="G19" s="5">
        <v>49.980000000000004</v>
      </c>
      <c r="H19" s="5">
        <v>64.790000000000006</v>
      </c>
      <c r="I19" s="5">
        <v>107.92700000000001</v>
      </c>
      <c r="J19" s="5">
        <v>123.2</v>
      </c>
      <c r="M19" s="7" t="s">
        <v>75</v>
      </c>
      <c r="N19" s="3">
        <v>1.6074980000000001</v>
      </c>
      <c r="O19" s="5">
        <v>0</v>
      </c>
      <c r="P19" s="5"/>
      <c r="Q19" s="3">
        <v>655.60599999999999</v>
      </c>
      <c r="R19" s="3">
        <v>1291.2180000000001</v>
      </c>
      <c r="S19" s="3">
        <v>458.91</v>
      </c>
      <c r="T19" s="3">
        <v>1116.07</v>
      </c>
      <c r="U19" s="3">
        <v>708.84900000000005</v>
      </c>
      <c r="V19" s="3">
        <v>871.65</v>
      </c>
    </row>
    <row r="20" spans="1:22" ht="15" customHeight="1" x14ac:dyDescent="0.2">
      <c r="A20" s="7" t="s">
        <v>126</v>
      </c>
      <c r="B20" s="5"/>
      <c r="C20" s="5"/>
      <c r="D20" s="5"/>
      <c r="E20" s="5"/>
      <c r="F20" s="5"/>
      <c r="G20" s="5"/>
      <c r="H20" s="5"/>
      <c r="I20" s="5"/>
      <c r="J20" s="5">
        <v>-12</v>
      </c>
      <c r="M20" s="7" t="s">
        <v>106</v>
      </c>
      <c r="N20" s="5"/>
      <c r="O20" s="5"/>
      <c r="P20" s="5"/>
      <c r="Q20" s="3">
        <v>8.8709999999999987</v>
      </c>
      <c r="R20" s="3">
        <v>6.7629999999999999</v>
      </c>
      <c r="S20" s="3">
        <v>6.4909999999999997</v>
      </c>
      <c r="T20" s="3">
        <v>8.4</v>
      </c>
      <c r="U20" s="3">
        <v>12.430999999999999</v>
      </c>
      <c r="V20" s="3">
        <v>10.268000000000001</v>
      </c>
    </row>
    <row r="21" spans="1:22" ht="15" customHeight="1" x14ac:dyDescent="0.2">
      <c r="A21" s="7" t="s">
        <v>8</v>
      </c>
      <c r="B21" s="5">
        <v>0.27310499999999999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48.978000000000002</v>
      </c>
      <c r="J21" s="5">
        <v>57.5</v>
      </c>
      <c r="M21" s="7" t="s">
        <v>107</v>
      </c>
      <c r="N21" s="5"/>
      <c r="O21" s="5"/>
      <c r="P21" s="5"/>
      <c r="Q21" s="3">
        <v>65.703999999999994</v>
      </c>
      <c r="R21" s="3">
        <v>28.158999999999999</v>
      </c>
      <c r="S21" s="3">
        <v>123.276</v>
      </c>
      <c r="T21" s="3">
        <v>123.27</v>
      </c>
      <c r="U21" s="3">
        <v>123.276</v>
      </c>
      <c r="V21" s="3">
        <v>123.276</v>
      </c>
    </row>
    <row r="22" spans="1:22" ht="15" customHeight="1" x14ac:dyDescent="0.25">
      <c r="A22" s="23" t="s">
        <v>9</v>
      </c>
      <c r="B22" s="24">
        <f>B4-B7-B21</f>
        <v>157.24770699999999</v>
      </c>
      <c r="C22" s="24">
        <f>C4-C7</f>
        <v>179.08415600000012</v>
      </c>
      <c r="D22" s="24">
        <f>D4-D7</f>
        <v>252.34087299999999</v>
      </c>
      <c r="E22" s="24">
        <f>E4-E7</f>
        <v>1712.1449999999977</v>
      </c>
      <c r="F22" s="24">
        <f>F4-F7</f>
        <v>1684.8710000000001</v>
      </c>
      <c r="G22" s="24">
        <f>G4-G7</f>
        <v>1789.2040000000006</v>
      </c>
      <c r="H22" s="24">
        <f>H4+H17-H7</f>
        <v>1761.9999999999982</v>
      </c>
      <c r="I22" s="24">
        <f>I4+I17-I7+I21</f>
        <v>1371.8020000000006</v>
      </c>
      <c r="J22" s="24">
        <f>J4+J17-J7+J21+J20</f>
        <v>164.39999999999873</v>
      </c>
      <c r="M22" s="7" t="s">
        <v>108</v>
      </c>
      <c r="N22" s="5">
        <v>0</v>
      </c>
      <c r="O22" s="5">
        <v>0</v>
      </c>
      <c r="P22" s="5">
        <v>0</v>
      </c>
      <c r="Q22" s="3">
        <v>0.28500000000000003</v>
      </c>
      <c r="R22" s="3">
        <v>0.27900000000000003</v>
      </c>
      <c r="S22" s="3">
        <v>0.14899999999999999</v>
      </c>
      <c r="T22" s="3">
        <v>1.7999999999999999E-2</v>
      </c>
      <c r="U22" s="3">
        <v>2.1309999999999998</v>
      </c>
      <c r="V22" s="3">
        <v>1.6619999999999999</v>
      </c>
    </row>
    <row r="23" spans="1:22" ht="15" customHeight="1" x14ac:dyDescent="0.2">
      <c r="A23" s="7" t="s">
        <v>10</v>
      </c>
      <c r="B23" s="3">
        <f>(53800000+343407+657226)/1000000</f>
        <v>54.800632999999998</v>
      </c>
      <c r="C23" s="3">
        <f>(59400000+994630+2489813)/1000000</f>
        <v>62.884442999999997</v>
      </c>
      <c r="D23" s="3">
        <f>(84600000+4364312)/1000000</f>
        <v>88.964312000000007</v>
      </c>
      <c r="E23" s="3">
        <v>499.64099999999996</v>
      </c>
      <c r="F23" s="3">
        <v>422.90299999999996</v>
      </c>
      <c r="G23" s="3">
        <v>539.899</v>
      </c>
      <c r="H23" s="3">
        <v>482.57</v>
      </c>
      <c r="I23" s="3">
        <v>346.15499999999997</v>
      </c>
      <c r="J23" s="3">
        <v>46.5</v>
      </c>
      <c r="M23" s="7" t="s">
        <v>109</v>
      </c>
      <c r="N23" s="5"/>
      <c r="O23" s="5"/>
      <c r="P23" s="5"/>
      <c r="Q23" s="3">
        <v>339.22300000000001</v>
      </c>
      <c r="R23" s="3">
        <v>181.08099999999999</v>
      </c>
      <c r="S23" s="3">
        <v>23.37</v>
      </c>
      <c r="T23" s="3">
        <v>32.450000000000003</v>
      </c>
      <c r="U23" s="3">
        <v>36.680999999999997</v>
      </c>
      <c r="V23" s="3">
        <v>47.460999999999999</v>
      </c>
    </row>
    <row r="24" spans="1:22" ht="15" customHeight="1" x14ac:dyDescent="0.2">
      <c r="A24" s="25" t="s">
        <v>11</v>
      </c>
      <c r="B24" s="28">
        <f t="shared" ref="B24:E24" si="14">(B23/B22)</f>
        <v>0.34849877333982365</v>
      </c>
      <c r="C24" s="28">
        <f t="shared" si="14"/>
        <v>0.3511446484411494</v>
      </c>
      <c r="D24" s="28">
        <f t="shared" si="14"/>
        <v>0.35255609185437037</v>
      </c>
      <c r="E24" s="28">
        <f t="shared" si="14"/>
        <v>0.29182166230079848</v>
      </c>
      <c r="F24" s="28">
        <f>(F23/F22)</f>
        <v>0.25100022494303714</v>
      </c>
      <c r="G24" s="28">
        <f>(G23/G22)</f>
        <v>0.30175374076963823</v>
      </c>
      <c r="H24" s="28">
        <f>(H23/H22)</f>
        <v>0.27387627695800254</v>
      </c>
      <c r="I24" s="28">
        <f>(I23/I22)</f>
        <v>0.25233597851584982</v>
      </c>
      <c r="J24" s="28">
        <f>(J23/J22)</f>
        <v>0.28284671532846933</v>
      </c>
      <c r="M24" s="7" t="s">
        <v>76</v>
      </c>
      <c r="N24" s="3">
        <v>118.935644</v>
      </c>
      <c r="O24" s="3">
        <v>13.073307</v>
      </c>
      <c r="P24" s="3">
        <v>8.739846</v>
      </c>
      <c r="Q24" s="3">
        <v>39.118000000000002</v>
      </c>
      <c r="R24" s="3">
        <v>60.544000000000004</v>
      </c>
      <c r="S24" s="3">
        <v>58.345000000000006</v>
      </c>
      <c r="T24" s="3">
        <v>58.04</v>
      </c>
      <c r="U24" s="3">
        <v>67.534999999999997</v>
      </c>
      <c r="V24" s="3">
        <v>89.7</v>
      </c>
    </row>
    <row r="25" spans="1:22" ht="15" customHeight="1" x14ac:dyDescent="0.25">
      <c r="A25" s="23" t="s">
        <v>97</v>
      </c>
      <c r="B25" s="24">
        <f t="shared" ref="B25:F25" si="15">(B22-B23)</f>
        <v>102.44707399999999</v>
      </c>
      <c r="C25" s="24">
        <f t="shared" si="15"/>
        <v>116.19971300000012</v>
      </c>
      <c r="D25" s="24">
        <f t="shared" si="15"/>
        <v>163.37656099999998</v>
      </c>
      <c r="E25" s="24">
        <f t="shared" si="15"/>
        <v>1212.5039999999976</v>
      </c>
      <c r="F25" s="24">
        <f t="shared" si="15"/>
        <v>1261.9680000000001</v>
      </c>
      <c r="G25" s="24">
        <f>(G22-G23)</f>
        <v>1249.3050000000007</v>
      </c>
      <c r="H25" s="24">
        <f>(H22-H23)</f>
        <v>1279.4299999999982</v>
      </c>
      <c r="I25" s="24">
        <f>(I22-I23)</f>
        <v>1025.6470000000006</v>
      </c>
      <c r="J25" s="24">
        <f>(J22-J23)</f>
        <v>117.89999999999873</v>
      </c>
      <c r="M25" s="7" t="s">
        <v>77</v>
      </c>
      <c r="N25" s="3">
        <v>19.582360000000001</v>
      </c>
      <c r="O25" s="3">
        <v>66.461224999999999</v>
      </c>
      <c r="P25" s="3">
        <v>71.012977000000006</v>
      </c>
      <c r="Q25" s="3">
        <v>85.521000000000001</v>
      </c>
      <c r="R25" s="3">
        <v>154.08499999999998</v>
      </c>
      <c r="S25" s="3">
        <v>93.132000000000005</v>
      </c>
      <c r="T25" s="3">
        <v>11.37</v>
      </c>
      <c r="U25" s="3">
        <v>166.285</v>
      </c>
      <c r="V25" s="3">
        <v>242.81800000000001</v>
      </c>
    </row>
    <row r="26" spans="1:22" ht="15" customHeight="1" x14ac:dyDescent="0.25">
      <c r="A26" s="7" t="s">
        <v>98</v>
      </c>
      <c r="B26" s="3"/>
      <c r="C26" s="3"/>
      <c r="D26" s="3"/>
      <c r="E26" s="3">
        <v>119.65899999999999</v>
      </c>
      <c r="F26" s="3"/>
      <c r="G26" s="3"/>
      <c r="H26" s="3"/>
      <c r="I26" s="3"/>
      <c r="J26" s="3"/>
      <c r="M26" s="23" t="s">
        <v>103</v>
      </c>
      <c r="N26" s="24">
        <f t="shared" ref="N26:T26" si="16">SUM(N27:N34)</f>
        <v>143.25658899999999</v>
      </c>
      <c r="O26" s="24">
        <f t="shared" si="16"/>
        <v>341.34867599999995</v>
      </c>
      <c r="P26" s="24">
        <f t="shared" si="16"/>
        <v>575.58385999999996</v>
      </c>
      <c r="Q26" s="24">
        <f t="shared" si="16"/>
        <v>2185.5789999999997</v>
      </c>
      <c r="R26" s="24">
        <f t="shared" si="16"/>
        <v>2240.3129999999996</v>
      </c>
      <c r="S26" s="24">
        <f t="shared" si="16"/>
        <v>3032.4</v>
      </c>
      <c r="T26" s="24">
        <f t="shared" si="16"/>
        <v>5195.1180000000004</v>
      </c>
      <c r="U26" s="24">
        <f t="shared" ref="U26" si="17">SUM(U27:U34)</f>
        <v>4710.4459999999999</v>
      </c>
      <c r="V26" s="24">
        <f>SUM(V27:V34)</f>
        <v>4394.4890000000005</v>
      </c>
    </row>
    <row r="27" spans="1:22" ht="15" customHeight="1" x14ac:dyDescent="0.25">
      <c r="A27" s="23" t="s">
        <v>119</v>
      </c>
      <c r="B27" s="24">
        <f t="shared" ref="B27:D27" si="18">B25+B26</f>
        <v>102.44707399999999</v>
      </c>
      <c r="C27" s="24">
        <f t="shared" si="18"/>
        <v>116.19971300000012</v>
      </c>
      <c r="D27" s="24">
        <f t="shared" si="18"/>
        <v>163.37656099999998</v>
      </c>
      <c r="E27" s="24">
        <f>E25+E26</f>
        <v>1332.1629999999977</v>
      </c>
      <c r="F27" s="24">
        <f t="shared" ref="F27:G27" si="19">F25+F26</f>
        <v>1261.9680000000001</v>
      </c>
      <c r="G27" s="24">
        <f t="shared" si="19"/>
        <v>1249.3050000000007</v>
      </c>
      <c r="H27" s="24">
        <f>(H22-H23)</f>
        <v>1279.4299999999982</v>
      </c>
      <c r="I27" s="24">
        <f>(I22-I23)</f>
        <v>1025.6470000000006</v>
      </c>
      <c r="J27" s="24">
        <f>(J22-J23)</f>
        <v>117.89999999999873</v>
      </c>
      <c r="M27" s="7" t="s">
        <v>33</v>
      </c>
      <c r="N27" s="3">
        <v>24.642568000000001</v>
      </c>
      <c r="O27" s="3">
        <v>93.744753000000003</v>
      </c>
      <c r="P27" s="3">
        <v>70.944616999999994</v>
      </c>
      <c r="Q27" s="3">
        <v>479.09899999999999</v>
      </c>
      <c r="R27" s="3">
        <v>448.64300000000003</v>
      </c>
      <c r="S27" s="3">
        <v>721.70399999999995</v>
      </c>
      <c r="T27" s="3">
        <v>1136.3699999999999</v>
      </c>
      <c r="U27" s="3">
        <v>1262.2180000000001</v>
      </c>
      <c r="V27" s="3">
        <v>1399.501</v>
      </c>
    </row>
    <row r="28" spans="1:22" ht="15" customHeight="1" x14ac:dyDescent="0.25">
      <c r="A28" s="23" t="s">
        <v>63</v>
      </c>
      <c r="B28" s="29">
        <f t="shared" ref="B28:J28" si="20">B27/B4</f>
        <v>0.19157539331331841</v>
      </c>
      <c r="C28" s="29">
        <f t="shared" si="20"/>
        <v>0.15517227224145572</v>
      </c>
      <c r="D28" s="29">
        <f t="shared" si="20"/>
        <v>0.13377344237530195</v>
      </c>
      <c r="E28" s="29">
        <f t="shared" si="20"/>
        <v>0.19002957508338064</v>
      </c>
      <c r="F28" s="29">
        <f t="shared" si="20"/>
        <v>0.18524643538361221</v>
      </c>
      <c r="G28" s="29">
        <f t="shared" si="20"/>
        <v>0.16551470588235304</v>
      </c>
      <c r="H28" s="29">
        <f t="shared" si="20"/>
        <v>0.11093644324980476</v>
      </c>
      <c r="I28" s="29">
        <f t="shared" si="20"/>
        <v>9.7513055654433273E-2</v>
      </c>
      <c r="J28" s="29">
        <f t="shared" si="20"/>
        <v>2.1581548599670278E-2</v>
      </c>
      <c r="M28" s="7" t="s">
        <v>110</v>
      </c>
      <c r="N28" s="5"/>
      <c r="O28" s="5"/>
      <c r="P28" s="5"/>
      <c r="Q28" s="3">
        <v>104.34100000000001</v>
      </c>
      <c r="R28" s="3">
        <v>47.466999999999999</v>
      </c>
      <c r="S28" s="3">
        <v>40.006</v>
      </c>
      <c r="T28" s="3">
        <v>45.649000000000001</v>
      </c>
      <c r="U28" s="3">
        <v>375.209</v>
      </c>
      <c r="V28" s="3">
        <v>213.33199999999999</v>
      </c>
    </row>
    <row r="29" spans="1:22" ht="15" customHeight="1" x14ac:dyDescent="0.2">
      <c r="A29" s="7" t="s">
        <v>12</v>
      </c>
      <c r="B29" s="3"/>
      <c r="C29" s="3"/>
      <c r="D29" s="3"/>
      <c r="E29" s="3">
        <v>-0.19</v>
      </c>
      <c r="F29" s="3"/>
      <c r="G29" s="3"/>
      <c r="H29" s="3"/>
      <c r="I29" s="3"/>
      <c r="J29" s="3"/>
      <c r="M29" s="7" t="s">
        <v>94</v>
      </c>
      <c r="N29" s="3">
        <v>101.872074</v>
      </c>
      <c r="O29" s="3">
        <v>176.84246999999999</v>
      </c>
      <c r="P29" s="3">
        <v>368.87466899999998</v>
      </c>
      <c r="Q29" s="3">
        <v>1413.777</v>
      </c>
      <c r="R29" s="3">
        <v>1325.943</v>
      </c>
      <c r="S29" s="3">
        <v>1567.79</v>
      </c>
      <c r="T29" s="3">
        <v>3209.36</v>
      </c>
      <c r="U29" s="3">
        <v>2542.9870000000001</v>
      </c>
      <c r="V29" s="3">
        <v>2223</v>
      </c>
    </row>
    <row r="30" spans="1:22" ht="15" customHeight="1" x14ac:dyDescent="0.2">
      <c r="A30" s="7" t="s">
        <v>55</v>
      </c>
      <c r="B30" s="3"/>
      <c r="C30" s="3"/>
      <c r="D30" s="3"/>
      <c r="E30" s="3"/>
      <c r="F30" s="3">
        <v>2.371</v>
      </c>
      <c r="G30" s="3">
        <v>69.433999999999997</v>
      </c>
      <c r="H30" s="3">
        <v>5.95</v>
      </c>
      <c r="I30" s="3">
        <v>1.5229999999999999</v>
      </c>
      <c r="J30" s="3">
        <f>5.95-5.8</f>
        <v>0.15000000000000036</v>
      </c>
      <c r="M30" s="7" t="s">
        <v>34</v>
      </c>
      <c r="N30" s="3">
        <v>11.426399999999999</v>
      </c>
      <c r="O30" s="3">
        <v>50.347675000000002</v>
      </c>
      <c r="P30" s="3">
        <v>115.55900200000001</v>
      </c>
      <c r="Q30" s="3">
        <f>(286+77.78)/10</f>
        <v>36.378</v>
      </c>
      <c r="R30" s="3">
        <f>(765.77+502.19)/10</f>
        <v>126.79600000000001</v>
      </c>
      <c r="S30" s="3">
        <v>309.83999999999997</v>
      </c>
      <c r="T30" s="3">
        <v>453.8</v>
      </c>
      <c r="U30" s="3">
        <f>77.508+3.995</f>
        <v>81.503</v>
      </c>
      <c r="V30" s="3">
        <v>51.322000000000003</v>
      </c>
    </row>
    <row r="31" spans="1:22" ht="15" customHeight="1" x14ac:dyDescent="0.25">
      <c r="A31" s="23" t="s">
        <v>124</v>
      </c>
      <c r="B31" s="24">
        <f t="shared" ref="B31:F31" si="21">(B27-B29+B30)</f>
        <v>102.44707399999999</v>
      </c>
      <c r="C31" s="24">
        <f t="shared" si="21"/>
        <v>116.19971300000012</v>
      </c>
      <c r="D31" s="24">
        <f t="shared" si="21"/>
        <v>163.37656099999998</v>
      </c>
      <c r="E31" s="24">
        <f t="shared" si="21"/>
        <v>1332.3529999999978</v>
      </c>
      <c r="F31" s="24">
        <f t="shared" si="21"/>
        <v>1264.3390000000002</v>
      </c>
      <c r="G31" s="24">
        <f>(G27-G29+G30)</f>
        <v>1318.7390000000007</v>
      </c>
      <c r="H31" s="24">
        <f>(H27-H29+H30)</f>
        <v>1285.3799999999983</v>
      </c>
      <c r="I31" s="24">
        <f>(I27-I29+I30)</f>
        <v>1027.1700000000005</v>
      </c>
      <c r="J31" s="24">
        <f>(J27-J29+J30)</f>
        <v>118.04999999999873</v>
      </c>
      <c r="M31" s="7" t="s">
        <v>78</v>
      </c>
      <c r="N31" s="3">
        <v>5.3155469999999996</v>
      </c>
      <c r="O31" s="5"/>
      <c r="P31" s="3">
        <v>20.205572</v>
      </c>
      <c r="Q31" s="3">
        <v>4.7810000000000006</v>
      </c>
      <c r="R31" s="3">
        <v>7.4550000000000001</v>
      </c>
      <c r="S31" s="3">
        <v>4.74</v>
      </c>
      <c r="T31" s="3">
        <v>4.66</v>
      </c>
      <c r="U31" s="3">
        <v>7.8380000000000001</v>
      </c>
      <c r="V31" s="3">
        <v>7.8</v>
      </c>
    </row>
    <row r="32" spans="1:22" ht="15" customHeight="1" x14ac:dyDescent="0.2">
      <c r="A32" s="25" t="s">
        <v>1</v>
      </c>
      <c r="B32" s="26"/>
      <c r="C32" s="26">
        <f t="shared" ref="C32:H32" si="22">(C31/B31-1)</f>
        <v>0.13424140351729452</v>
      </c>
      <c r="D32" s="26">
        <f t="shared" si="22"/>
        <v>0.40599797350618094</v>
      </c>
      <c r="E32" s="26">
        <f t="shared" si="22"/>
        <v>7.1551049418894177</v>
      </c>
      <c r="F32" s="26">
        <f t="shared" si="22"/>
        <v>-5.1048033066310339E-2</v>
      </c>
      <c r="G32" s="26">
        <f t="shared" si="22"/>
        <v>4.3026435157027088E-2</v>
      </c>
      <c r="H32" s="26">
        <f t="shared" si="22"/>
        <v>-2.5296135171555822E-2</v>
      </c>
      <c r="I32" s="26">
        <f>(I31/H31-1)</f>
        <v>-0.20088222937963718</v>
      </c>
      <c r="J32" s="26"/>
      <c r="M32" s="7" t="s">
        <v>112</v>
      </c>
      <c r="N32" s="5"/>
      <c r="O32" s="3">
        <v>20.413778000000001</v>
      </c>
      <c r="P32" s="5"/>
      <c r="Q32" s="3">
        <v>0</v>
      </c>
      <c r="R32" s="3">
        <v>0</v>
      </c>
      <c r="S32" s="3">
        <v>2.15</v>
      </c>
      <c r="T32" s="3">
        <v>3.4</v>
      </c>
      <c r="U32" s="3">
        <v>36.369</v>
      </c>
      <c r="V32" s="3">
        <v>28.667000000000002</v>
      </c>
    </row>
    <row r="33" spans="1:22" ht="15" customHeight="1" x14ac:dyDescent="0.2">
      <c r="A33" s="25" t="s">
        <v>2</v>
      </c>
      <c r="B33" s="26"/>
      <c r="C33" s="26"/>
      <c r="D33" s="26"/>
      <c r="E33" s="26"/>
      <c r="F33" s="26"/>
      <c r="G33" s="26">
        <f>+((G31/B31)^(1/5)-1)</f>
        <v>0.66698563822684842</v>
      </c>
      <c r="H33" s="26">
        <f>+((H31/C31)^(1/5)-1)</f>
        <v>0.61720582354753795</v>
      </c>
      <c r="I33" s="26">
        <f>+((I31/D31)^(1/5)-1)</f>
        <v>0.44441009586890967</v>
      </c>
      <c r="J33" s="26"/>
      <c r="M33" s="20" t="s">
        <v>53</v>
      </c>
      <c r="N33" s="7"/>
      <c r="O33" s="8"/>
      <c r="P33" s="3"/>
      <c r="Q33" s="3">
        <v>146.71199999999999</v>
      </c>
      <c r="R33" s="3">
        <v>242.42199999999997</v>
      </c>
      <c r="S33" s="3">
        <v>364.49</v>
      </c>
      <c r="T33" s="3">
        <v>232.60900000000001</v>
      </c>
      <c r="U33" s="3">
        <v>308.37099999999998</v>
      </c>
      <c r="V33" s="3">
        <v>325.71600000000001</v>
      </c>
    </row>
    <row r="34" spans="1:22" ht="15" customHeight="1" x14ac:dyDescent="0.25">
      <c r="A34" s="12" t="s">
        <v>13</v>
      </c>
      <c r="B34" s="21">
        <v>28.14</v>
      </c>
      <c r="C34" s="21">
        <v>21.89</v>
      </c>
      <c r="D34" s="21">
        <v>27.86</v>
      </c>
      <c r="E34" s="21">
        <v>95.29</v>
      </c>
      <c r="F34" s="21">
        <v>44.32</v>
      </c>
      <c r="G34" s="21">
        <v>40.97</v>
      </c>
      <c r="H34" s="21">
        <v>40.51</v>
      </c>
      <c r="I34" s="21">
        <v>31.5</v>
      </c>
      <c r="J34" s="21">
        <v>3.19</v>
      </c>
      <c r="M34" s="7" t="s">
        <v>90</v>
      </c>
      <c r="N34" s="5"/>
      <c r="O34" s="5"/>
      <c r="P34" s="5"/>
      <c r="Q34" s="3">
        <v>0.49099999999999999</v>
      </c>
      <c r="R34" s="3">
        <v>41.587000000000003</v>
      </c>
      <c r="S34" s="3">
        <v>21.68</v>
      </c>
      <c r="T34" s="3">
        <v>109.27</v>
      </c>
      <c r="U34" s="3">
        <v>95.950999999999993</v>
      </c>
      <c r="V34" s="3">
        <v>145.15100000000001</v>
      </c>
    </row>
    <row r="35" spans="1:22" ht="15" customHeight="1" x14ac:dyDescent="0.25">
      <c r="A35" s="25" t="s">
        <v>1</v>
      </c>
      <c r="B35" s="30"/>
      <c r="C35" s="30">
        <f t="shared" ref="C35:H35" si="23">(C34/B34-1)</f>
        <v>-0.22210376687988631</v>
      </c>
      <c r="D35" s="30">
        <f t="shared" si="23"/>
        <v>0.27272727272727271</v>
      </c>
      <c r="E35" s="30">
        <f t="shared" si="23"/>
        <v>2.4203158650394836</v>
      </c>
      <c r="F35" s="30">
        <f t="shared" si="23"/>
        <v>-0.5348934830517369</v>
      </c>
      <c r="G35" s="30">
        <f t="shared" si="23"/>
        <v>-7.5586642599278053E-2</v>
      </c>
      <c r="H35" s="30">
        <f t="shared" si="23"/>
        <v>-1.1227727605565119E-2</v>
      </c>
      <c r="I35" s="30">
        <f>(I34/H34-1)</f>
        <v>-0.22241421871142919</v>
      </c>
      <c r="J35" s="30"/>
      <c r="M35" s="23" t="s">
        <v>104</v>
      </c>
      <c r="N35" s="24">
        <f t="shared" ref="N35:U35" si="24">SUM(N36:N42)</f>
        <v>37.917611000000001</v>
      </c>
      <c r="O35" s="24">
        <f t="shared" si="24"/>
        <v>169.225323</v>
      </c>
      <c r="P35" s="24">
        <f t="shared" si="24"/>
        <v>315.96486300000004</v>
      </c>
      <c r="Q35" s="24">
        <f t="shared" si="24"/>
        <v>870.56899999999996</v>
      </c>
      <c r="R35" s="24">
        <f t="shared" si="24"/>
        <v>1285.3920000000003</v>
      </c>
      <c r="S35" s="24">
        <f t="shared" si="24"/>
        <v>1376.4880000000003</v>
      </c>
      <c r="T35" s="24">
        <f t="shared" si="24"/>
        <v>1450.6200000000001</v>
      </c>
      <c r="U35" s="24">
        <f t="shared" si="24"/>
        <v>1909.1110000000001</v>
      </c>
      <c r="V35" s="24">
        <f>SUM(V36:V42)</f>
        <v>2075.806</v>
      </c>
    </row>
    <row r="36" spans="1:22" ht="15" customHeight="1" x14ac:dyDescent="0.2">
      <c r="A36" s="25" t="s">
        <v>67</v>
      </c>
      <c r="B36" s="30"/>
      <c r="C36" s="30"/>
      <c r="D36" s="30"/>
      <c r="E36" s="30"/>
      <c r="F36" s="30"/>
      <c r="G36" s="30">
        <f>((G34/B34)^(1/3)-1)</f>
        <v>0.1333932546324339</v>
      </c>
      <c r="H36" s="30">
        <f>((H34/C34)^(1/3)-1)</f>
        <v>0.22773742293947152</v>
      </c>
      <c r="I36" s="30">
        <f>((I34/D34)^(1/3)-1)</f>
        <v>4.1781115286522175E-2</v>
      </c>
      <c r="J36" s="30"/>
      <c r="M36" s="7" t="s">
        <v>102</v>
      </c>
      <c r="N36" s="5"/>
      <c r="O36" s="5"/>
      <c r="P36" s="5"/>
      <c r="Q36" s="3">
        <v>0</v>
      </c>
      <c r="R36" s="3">
        <v>0</v>
      </c>
      <c r="S36" s="3">
        <v>4.7750000000000004</v>
      </c>
      <c r="T36" s="3">
        <v>3.14</v>
      </c>
      <c r="U36" s="3">
        <v>1.752</v>
      </c>
      <c r="V36" s="7">
        <v>2.411</v>
      </c>
    </row>
    <row r="37" spans="1:22" ht="15" customHeight="1" x14ac:dyDescent="0.2">
      <c r="M37" s="7" t="s">
        <v>121</v>
      </c>
      <c r="N37" s="5"/>
      <c r="O37" s="5"/>
      <c r="P37" s="5"/>
      <c r="Q37" s="3"/>
      <c r="R37" s="3"/>
      <c r="S37" s="3"/>
      <c r="T37" s="3"/>
      <c r="U37" s="3"/>
      <c r="V37" s="7"/>
    </row>
    <row r="38" spans="1:22" ht="15" customHeight="1" x14ac:dyDescent="0.2">
      <c r="M38" s="7" t="s">
        <v>64</v>
      </c>
      <c r="N38" s="3">
        <v>34.288851000000001</v>
      </c>
      <c r="O38" s="3">
        <v>125.683677</v>
      </c>
      <c r="P38" s="3">
        <v>249.676017</v>
      </c>
      <c r="Q38" s="3">
        <v>742.83600000000001</v>
      </c>
      <c r="R38" s="3">
        <v>878.87000000000012</v>
      </c>
      <c r="S38" s="3">
        <v>1072.0620000000001</v>
      </c>
      <c r="T38" s="3">
        <v>1237.8800000000001</v>
      </c>
      <c r="U38" s="3">
        <v>1655.9690000000001</v>
      </c>
      <c r="V38" s="7">
        <v>1747.915</v>
      </c>
    </row>
    <row r="39" spans="1:22" ht="15" customHeight="1" x14ac:dyDescent="0.25">
      <c r="A39" s="22" t="s">
        <v>14</v>
      </c>
      <c r="B39" s="22"/>
      <c r="C39" s="22"/>
      <c r="D39" s="22"/>
      <c r="E39" s="22"/>
      <c r="F39" s="22"/>
      <c r="G39" s="22"/>
      <c r="H39" s="22"/>
      <c r="I39" s="22"/>
      <c r="J39" s="22"/>
      <c r="K39" s="11"/>
      <c r="L39" s="11"/>
      <c r="M39" s="7" t="s">
        <v>88</v>
      </c>
      <c r="N39" s="5"/>
      <c r="O39" s="5"/>
      <c r="P39" s="5"/>
      <c r="Q39" s="3">
        <v>78.8</v>
      </c>
      <c r="R39" s="3">
        <v>359.36099999999999</v>
      </c>
      <c r="S39" s="3">
        <v>252.661</v>
      </c>
      <c r="T39" s="3">
        <v>161.49</v>
      </c>
      <c r="U39" s="3">
        <v>199.886</v>
      </c>
      <c r="V39" s="7">
        <v>250.58</v>
      </c>
    </row>
    <row r="40" spans="1:22" ht="15" customHeight="1" x14ac:dyDescent="0.25">
      <c r="A40" s="38" t="s">
        <v>0</v>
      </c>
      <c r="B40" s="39" t="s">
        <v>24</v>
      </c>
      <c r="C40" s="39" t="s">
        <v>25</v>
      </c>
      <c r="D40" s="39" t="s">
        <v>65</v>
      </c>
      <c r="E40" s="39" t="s">
        <v>82</v>
      </c>
      <c r="F40" s="39" t="s">
        <v>89</v>
      </c>
      <c r="G40" s="39" t="s">
        <v>91</v>
      </c>
      <c r="H40" s="39" t="s">
        <v>118</v>
      </c>
      <c r="I40" s="39" t="s">
        <v>120</v>
      </c>
      <c r="J40" s="39" t="s">
        <v>122</v>
      </c>
      <c r="K40" s="11"/>
      <c r="L40" s="11"/>
      <c r="M40" s="7" t="s">
        <v>80</v>
      </c>
      <c r="N40" s="3">
        <v>1.509938</v>
      </c>
      <c r="O40" s="3">
        <v>3.0439660000000002</v>
      </c>
      <c r="P40" s="3">
        <v>11.877563</v>
      </c>
      <c r="Q40" s="3">
        <v>8.7089999999999996</v>
      </c>
      <c r="R40" s="3">
        <v>12.236000000000001</v>
      </c>
      <c r="S40" s="3">
        <v>20.57</v>
      </c>
      <c r="T40" s="3">
        <v>23.74</v>
      </c>
      <c r="U40" s="3">
        <v>21.709</v>
      </c>
      <c r="V40" s="7">
        <v>38.57</v>
      </c>
    </row>
    <row r="41" spans="1:22" ht="15" customHeight="1" x14ac:dyDescent="0.25">
      <c r="A41" s="12" t="s">
        <v>15</v>
      </c>
      <c r="B41" s="3">
        <v>7.964747</v>
      </c>
      <c r="C41" s="3">
        <f>(11426400+22983158)/1000000</f>
        <v>34.409557999999997</v>
      </c>
      <c r="D41" s="3">
        <v>50.347675000000002</v>
      </c>
      <c r="E41" s="3">
        <f>(1255.91+231.75)/10</f>
        <v>148.76600000000002</v>
      </c>
      <c r="F41" s="3">
        <v>28.6</v>
      </c>
      <c r="G41" s="3">
        <f>(F46)</f>
        <v>76.57700000000014</v>
      </c>
      <c r="H41" s="3">
        <f>(G46)</f>
        <v>128.32700000000008</v>
      </c>
      <c r="I41" s="3">
        <f>(H46)</f>
        <v>250.46700000000018</v>
      </c>
      <c r="J41" s="3">
        <v>77.507999999999996</v>
      </c>
      <c r="K41" s="11"/>
      <c r="L41" s="11"/>
      <c r="M41" s="7" t="s">
        <v>79</v>
      </c>
      <c r="N41" s="3">
        <v>2.1188220000000002</v>
      </c>
      <c r="O41" s="3">
        <v>40.497680000000003</v>
      </c>
      <c r="P41" s="3">
        <v>54.411282999999997</v>
      </c>
      <c r="Q41" s="3">
        <v>24.292999999999999</v>
      </c>
      <c r="R41" s="3">
        <v>34.924999999999997</v>
      </c>
      <c r="S41" s="3">
        <v>26.42</v>
      </c>
      <c r="T41" s="3">
        <v>24.37</v>
      </c>
      <c r="U41" s="3">
        <v>29.795000000000002</v>
      </c>
      <c r="V41" s="7">
        <v>36.33</v>
      </c>
    </row>
    <row r="42" spans="1:22" ht="15" customHeight="1" x14ac:dyDescent="0.25">
      <c r="A42" s="7" t="s">
        <v>16</v>
      </c>
      <c r="B42" s="3">
        <v>177.91082399999999</v>
      </c>
      <c r="C42" s="3">
        <v>94.911085</v>
      </c>
      <c r="D42" s="3">
        <v>177.66151400000001</v>
      </c>
      <c r="E42" s="3">
        <v>759.81299999999999</v>
      </c>
      <c r="F42" s="3">
        <v>1612.5840000000001</v>
      </c>
      <c r="G42" s="3">
        <v>1150.97</v>
      </c>
      <c r="H42" s="3">
        <v>-307.47000000000003</v>
      </c>
      <c r="I42" s="3">
        <v>2379.2649999999999</v>
      </c>
      <c r="J42" s="3">
        <v>662.08500000000004</v>
      </c>
      <c r="K42" s="11"/>
      <c r="L42" s="11"/>
      <c r="M42" s="7" t="s">
        <v>114</v>
      </c>
      <c r="N42" s="5"/>
      <c r="O42" s="5"/>
      <c r="P42" s="5"/>
      <c r="Q42" s="3">
        <v>15.931000000000001</v>
      </c>
      <c r="R42" s="3">
        <v>0</v>
      </c>
      <c r="S42" s="3">
        <v>0</v>
      </c>
      <c r="T42" s="3">
        <v>0</v>
      </c>
      <c r="U42" s="3">
        <v>0</v>
      </c>
      <c r="V42" s="7"/>
    </row>
    <row r="43" spans="1:22" ht="15" customHeight="1" x14ac:dyDescent="0.25">
      <c r="A43" s="7" t="s">
        <v>62</v>
      </c>
      <c r="B43" s="3">
        <v>-14.501625000000001</v>
      </c>
      <c r="C43" s="3">
        <v>-37.239339999999999</v>
      </c>
      <c r="D43" s="3">
        <v>-62.265923000000001</v>
      </c>
      <c r="E43" s="3">
        <v>-882.25599999999997</v>
      </c>
      <c r="F43" s="3">
        <v>-1836.2139999999999</v>
      </c>
      <c r="G43" s="3">
        <v>-1585.92</v>
      </c>
      <c r="H43" s="3">
        <v>-1239.52</v>
      </c>
      <c r="I43" s="3">
        <v>-1427.423</v>
      </c>
      <c r="J43" s="3">
        <v>-355.15600000000001</v>
      </c>
      <c r="M43" s="23" t="s">
        <v>105</v>
      </c>
      <c r="N43" s="24">
        <f t="shared" ref="N43:T43" si="25">SUM(N44:N48)</f>
        <v>132.59263899999999</v>
      </c>
      <c r="O43" s="24">
        <f t="shared" si="25"/>
        <v>35.753250000000001</v>
      </c>
      <c r="P43" s="24">
        <f t="shared" si="25"/>
        <v>47.769685000000003</v>
      </c>
      <c r="Q43" s="24">
        <f t="shared" si="25"/>
        <v>151.06499999999997</v>
      </c>
      <c r="R43" s="24">
        <f t="shared" si="25"/>
        <v>151.60500000000002</v>
      </c>
      <c r="S43" s="24">
        <f t="shared" si="25"/>
        <v>220.53200000000001</v>
      </c>
      <c r="T43" s="24">
        <f t="shared" si="25"/>
        <v>281.91500000000002</v>
      </c>
      <c r="U43" s="24">
        <f>SUM(U44:U48)</f>
        <v>358.53499999999997</v>
      </c>
      <c r="V43" s="24">
        <f>SUM(V44:V48)</f>
        <v>403.40199999999999</v>
      </c>
    </row>
    <row r="44" spans="1:22" ht="15" customHeight="1" x14ac:dyDescent="0.2">
      <c r="A44" s="7" t="s">
        <v>17</v>
      </c>
      <c r="B44" s="3">
        <v>-159.94754499999999</v>
      </c>
      <c r="C44" s="3">
        <v>-41.733628000000003</v>
      </c>
      <c r="D44" s="3">
        <v>-50.184263000000001</v>
      </c>
      <c r="E44" s="3">
        <v>10.054</v>
      </c>
      <c r="F44" s="3">
        <v>271.60700000000003</v>
      </c>
      <c r="G44" s="3">
        <v>486.7</v>
      </c>
      <c r="H44" s="3">
        <v>1669.13</v>
      </c>
      <c r="I44" s="3">
        <v>-1124.8019999999999</v>
      </c>
      <c r="J44" s="3">
        <v>-358.91</v>
      </c>
      <c r="M44" s="7" t="s">
        <v>102</v>
      </c>
      <c r="N44" s="5"/>
      <c r="O44" s="5"/>
      <c r="P44" s="5"/>
      <c r="Q44" s="3">
        <v>0</v>
      </c>
      <c r="R44" s="3">
        <v>0</v>
      </c>
      <c r="S44" s="3">
        <v>2.367</v>
      </c>
      <c r="T44" s="3">
        <v>5.3</v>
      </c>
      <c r="U44" s="3">
        <v>10.781000000000001</v>
      </c>
      <c r="V44" s="7">
        <v>8.1280000000000001</v>
      </c>
    </row>
    <row r="45" spans="1:22" ht="15" customHeight="1" x14ac:dyDescent="0.25">
      <c r="A45" s="12" t="s">
        <v>18</v>
      </c>
      <c r="B45" s="2">
        <f t="shared" ref="B45:G45" si="26">+B42+B43+B44</f>
        <v>3.46165400000001</v>
      </c>
      <c r="C45" s="2">
        <f t="shared" si="26"/>
        <v>15.938116999999998</v>
      </c>
      <c r="D45" s="2">
        <f t="shared" si="26"/>
        <v>65.211328000000009</v>
      </c>
      <c r="E45" s="2">
        <f t="shared" si="26"/>
        <v>-112.38899999999998</v>
      </c>
      <c r="F45" s="2">
        <f t="shared" si="26"/>
        <v>47.977000000000146</v>
      </c>
      <c r="G45" s="2">
        <f t="shared" si="26"/>
        <v>51.749999999999943</v>
      </c>
      <c r="H45" s="2">
        <f t="shared" ref="H45:I45" si="27">+H42+H43+H44</f>
        <v>122.1400000000001</v>
      </c>
      <c r="I45" s="2">
        <f t="shared" si="27"/>
        <v>-172.96000000000004</v>
      </c>
      <c r="J45" s="2">
        <v>-51.981000000000002</v>
      </c>
      <c r="M45" s="7" t="s">
        <v>81</v>
      </c>
      <c r="N45" s="3">
        <v>117.60257799999999</v>
      </c>
      <c r="O45" s="3">
        <v>3.3958119999999998</v>
      </c>
      <c r="P45" s="3">
        <v>11.047935000000001</v>
      </c>
      <c r="Q45" s="3">
        <v>9.9559999999999995</v>
      </c>
      <c r="R45" s="3">
        <v>2.411</v>
      </c>
      <c r="S45" s="3">
        <v>15.15</v>
      </c>
      <c r="T45" s="3">
        <v>10.51</v>
      </c>
      <c r="U45" s="3">
        <v>15.304</v>
      </c>
      <c r="V45" s="7">
        <v>29.18</v>
      </c>
    </row>
    <row r="46" spans="1:22" ht="15" customHeight="1" x14ac:dyDescent="0.25">
      <c r="A46" s="12" t="s">
        <v>56</v>
      </c>
      <c r="B46" s="24">
        <f>+B41+B45+1.05</f>
        <v>12.47640100000001</v>
      </c>
      <c r="C46" s="24">
        <f>+C41+C45+2.52</f>
        <v>52.867674999999998</v>
      </c>
      <c r="D46" s="24">
        <f>+D41+D45+2.52</f>
        <v>118.07900300000001</v>
      </c>
      <c r="E46" s="24">
        <f t="shared" ref="E46:J46" si="28">+E41+E45</f>
        <v>36.377000000000038</v>
      </c>
      <c r="F46" s="24">
        <f t="shared" si="28"/>
        <v>76.57700000000014</v>
      </c>
      <c r="G46" s="24">
        <f t="shared" si="28"/>
        <v>128.32700000000008</v>
      </c>
      <c r="H46" s="24">
        <f t="shared" si="28"/>
        <v>250.46700000000018</v>
      </c>
      <c r="I46" s="24">
        <f t="shared" si="28"/>
        <v>77.507000000000147</v>
      </c>
      <c r="J46" s="24">
        <f t="shared" si="28"/>
        <v>25.526999999999994</v>
      </c>
      <c r="M46" s="7" t="s">
        <v>35</v>
      </c>
      <c r="N46" s="3">
        <v>14.990061000000001</v>
      </c>
      <c r="O46" s="3">
        <v>32.357438000000002</v>
      </c>
      <c r="P46" s="3">
        <v>36.72175</v>
      </c>
      <c r="Q46" s="3">
        <v>141.10899999999998</v>
      </c>
      <c r="R46" s="3">
        <v>149.19400000000002</v>
      </c>
      <c r="S46" s="3">
        <v>203.01500000000001</v>
      </c>
      <c r="T46" s="3">
        <v>266.10500000000002</v>
      </c>
      <c r="U46" s="3">
        <v>332.45</v>
      </c>
      <c r="V46" s="7">
        <v>366.09399999999999</v>
      </c>
    </row>
    <row r="47" spans="1:22" ht="15" customHeight="1" x14ac:dyDescent="0.2">
      <c r="M47" s="7" t="s">
        <v>12</v>
      </c>
      <c r="N47" s="5"/>
      <c r="O47" s="5"/>
      <c r="P47" s="5"/>
      <c r="Q47" s="5"/>
      <c r="R47" s="5"/>
      <c r="S47" s="5"/>
      <c r="T47" s="5"/>
      <c r="U47" s="5"/>
      <c r="V47" s="7"/>
    </row>
    <row r="48" spans="1:22" ht="15" customHeight="1" x14ac:dyDescent="0.25">
      <c r="A48" s="38" t="s">
        <v>19</v>
      </c>
      <c r="B48" s="39" t="s">
        <v>24</v>
      </c>
      <c r="C48" s="39" t="s">
        <v>25</v>
      </c>
      <c r="D48" s="39" t="s">
        <v>65</v>
      </c>
      <c r="E48" s="39" t="s">
        <v>82</v>
      </c>
      <c r="F48" s="39" t="s">
        <v>89</v>
      </c>
      <c r="G48" s="39" t="s">
        <v>91</v>
      </c>
      <c r="H48" s="39" t="s">
        <v>118</v>
      </c>
      <c r="I48" s="39" t="s">
        <v>120</v>
      </c>
      <c r="J48" s="39" t="s">
        <v>122</v>
      </c>
      <c r="M48" s="7" t="s">
        <v>121</v>
      </c>
      <c r="N48" s="2"/>
      <c r="O48" s="2"/>
      <c r="P48" s="2"/>
      <c r="Q48" s="5"/>
      <c r="R48" s="2"/>
      <c r="S48" s="2"/>
      <c r="T48" s="2"/>
      <c r="U48" s="12"/>
      <c r="V48" s="7"/>
    </row>
    <row r="49" spans="1:23" ht="15" customHeight="1" x14ac:dyDescent="0.25">
      <c r="A49" s="23" t="s">
        <v>20</v>
      </c>
      <c r="B49" s="24">
        <f t="shared" ref="B49:H49" si="29">B42</f>
        <v>177.91082399999999</v>
      </c>
      <c r="C49" s="24">
        <f t="shared" si="29"/>
        <v>94.911085</v>
      </c>
      <c r="D49" s="24">
        <f t="shared" si="29"/>
        <v>177.66151400000001</v>
      </c>
      <c r="E49" s="24">
        <f t="shared" si="29"/>
        <v>759.81299999999999</v>
      </c>
      <c r="F49" s="24">
        <f t="shared" si="29"/>
        <v>1612.5840000000001</v>
      </c>
      <c r="G49" s="24">
        <f t="shared" si="29"/>
        <v>1150.97</v>
      </c>
      <c r="H49" s="24">
        <f t="shared" si="29"/>
        <v>-307.47000000000003</v>
      </c>
      <c r="I49" s="24">
        <f t="shared" ref="I49:J49" si="30">I42</f>
        <v>2379.2649999999999</v>
      </c>
      <c r="J49" s="24">
        <f t="shared" si="30"/>
        <v>662.08500000000004</v>
      </c>
      <c r="M49" s="23"/>
      <c r="N49" s="24">
        <f t="shared" ref="N49:V49" si="31">(N26-N35-N12)</f>
        <v>95.626239999999996</v>
      </c>
      <c r="O49" s="24">
        <f t="shared" si="31"/>
        <v>169.34645099999994</v>
      </c>
      <c r="P49" s="24">
        <f t="shared" si="31"/>
        <v>256.41379799999993</v>
      </c>
      <c r="Q49" s="24">
        <f t="shared" si="31"/>
        <v>988.88299999999981</v>
      </c>
      <c r="R49" s="24">
        <f t="shared" si="31"/>
        <v>548.56499999999937</v>
      </c>
      <c r="S49" s="24">
        <f t="shared" si="31"/>
        <v>326.25199999999973</v>
      </c>
      <c r="T49" s="24">
        <f t="shared" si="31"/>
        <v>1176.4380000000006</v>
      </c>
      <c r="U49" s="24">
        <f t="shared" si="31"/>
        <v>783.41399999999999</v>
      </c>
      <c r="V49" s="24">
        <f t="shared" si="31"/>
        <v>385.98200000000043</v>
      </c>
    </row>
    <row r="50" spans="1:23" ht="15" customHeight="1" x14ac:dyDescent="0.25">
      <c r="A50" s="7" t="s">
        <v>21</v>
      </c>
      <c r="B50" s="3">
        <v>-17.915502</v>
      </c>
      <c r="C50" s="3">
        <v>-40.174028</v>
      </c>
      <c r="D50" s="3">
        <v>-64.025986000000003</v>
      </c>
      <c r="E50" s="3">
        <v>-889.95400000000006</v>
      </c>
      <c r="F50" s="3">
        <v>-2051.0650000000001</v>
      </c>
      <c r="G50" s="3">
        <v>-1713.461</v>
      </c>
      <c r="H50" s="3">
        <v>-1209.3900000000001</v>
      </c>
      <c r="I50" s="3">
        <v>-1362.1590000000001</v>
      </c>
      <c r="J50" s="3">
        <v>-496.9</v>
      </c>
      <c r="M50" s="23" t="s">
        <v>69</v>
      </c>
      <c r="N50" s="24">
        <f t="shared" ref="N50:V50" si="32">N17+N26</f>
        <v>407.74877400000003</v>
      </c>
      <c r="O50" s="24">
        <f t="shared" si="32"/>
        <v>685.11896899999999</v>
      </c>
      <c r="P50" s="24">
        <f t="shared" si="32"/>
        <v>961.71440699999994</v>
      </c>
      <c r="Q50" s="24">
        <f t="shared" si="32"/>
        <v>4810.8619999999992</v>
      </c>
      <c r="R50" s="24">
        <f t="shared" si="32"/>
        <v>6691.0409999999993</v>
      </c>
      <c r="S50" s="24">
        <f t="shared" si="32"/>
        <v>8763.0529999999999</v>
      </c>
      <c r="T50" s="24">
        <f t="shared" si="32"/>
        <v>11847.335999999999</v>
      </c>
      <c r="U50" s="24">
        <f t="shared" si="32"/>
        <v>12392.263999999999</v>
      </c>
      <c r="V50" s="24">
        <f t="shared" si="32"/>
        <v>12525.994000000001</v>
      </c>
    </row>
    <row r="51" spans="1:23" ht="15" customHeight="1" x14ac:dyDescent="0.25">
      <c r="A51" s="23" t="s">
        <v>22</v>
      </c>
      <c r="B51" s="24">
        <f t="shared" ref="B51:D51" si="33">SUM(B49:B50)</f>
        <v>159.99532199999999</v>
      </c>
      <c r="C51" s="24">
        <f t="shared" si="33"/>
        <v>54.737057</v>
      </c>
      <c r="D51" s="24">
        <f t="shared" si="33"/>
        <v>113.63552800000001</v>
      </c>
      <c r="E51" s="24">
        <f t="shared" ref="E51:H51" si="34">SUM(E49:E50)</f>
        <v>-130.14100000000008</v>
      </c>
      <c r="F51" s="24">
        <f t="shared" si="34"/>
        <v>-438.48099999999999</v>
      </c>
      <c r="G51" s="24">
        <f t="shared" si="34"/>
        <v>-562.49099999999999</v>
      </c>
      <c r="H51" s="24">
        <f t="shared" si="34"/>
        <v>-1516.8600000000001</v>
      </c>
      <c r="I51" s="24">
        <f t="shared" ref="I51:J51" si="35">SUM(I49:I50)</f>
        <v>1017.1059999999998</v>
      </c>
      <c r="J51" s="24">
        <f t="shared" si="35"/>
        <v>165.18500000000006</v>
      </c>
      <c r="M51" s="23" t="s">
        <v>70</v>
      </c>
      <c r="N51" s="24">
        <f>N45+N35+N13+N10+N46+N48</f>
        <v>407.74877400000003</v>
      </c>
      <c r="O51" s="24">
        <f>O45+O35+O13+O10+O46+O48</f>
        <v>685.11896900000011</v>
      </c>
      <c r="P51" s="24">
        <f>P45+P35+P13+P10+P46+P48+P44</f>
        <v>961.71440800000016</v>
      </c>
      <c r="Q51" s="24">
        <f>Q45+Q35+Q13+Q10+Q46+Q48+Q44</f>
        <v>4810.8650000000007</v>
      </c>
      <c r="R51" s="24">
        <f>R45+R35+R13+R10+R46+R48+R44</f>
        <v>6691.0410000000002</v>
      </c>
      <c r="S51" s="24">
        <f>S45+S35+S13+S10+S46+S48+S44</f>
        <v>8763.0530000000017</v>
      </c>
      <c r="T51" s="24">
        <f>T10+T13+T35+T43</f>
        <v>11847.306000000002</v>
      </c>
      <c r="U51" s="24">
        <f>U10+U13+U35+U43</f>
        <v>12392.261</v>
      </c>
      <c r="V51" s="24">
        <f>V10+V13+V35+V43</f>
        <v>12526.019000000002</v>
      </c>
    </row>
    <row r="52" spans="1:23" ht="15" customHeight="1" x14ac:dyDescent="0.25">
      <c r="A52" s="1" t="s">
        <v>23</v>
      </c>
      <c r="M52" s="12" t="s">
        <v>36</v>
      </c>
      <c r="N52" s="7"/>
      <c r="O52" s="7"/>
      <c r="P52" s="3"/>
      <c r="Q52" s="5"/>
      <c r="R52" s="5"/>
      <c r="S52" s="5"/>
      <c r="T52" s="5"/>
      <c r="U52" s="5"/>
      <c r="V52" s="7"/>
    </row>
    <row r="53" spans="1:23" ht="15" customHeight="1" x14ac:dyDescent="0.25">
      <c r="M53" s="38" t="s">
        <v>37</v>
      </c>
      <c r="N53" s="53" t="s">
        <v>24</v>
      </c>
      <c r="O53" s="53" t="s">
        <v>25</v>
      </c>
      <c r="P53" s="53" t="s">
        <v>65</v>
      </c>
      <c r="Q53" s="54" t="s">
        <v>82</v>
      </c>
      <c r="R53" s="55" t="s">
        <v>89</v>
      </c>
      <c r="S53" s="55" t="s">
        <v>91</v>
      </c>
      <c r="T53" s="54" t="s">
        <v>118</v>
      </c>
      <c r="U53" s="54" t="s">
        <v>120</v>
      </c>
      <c r="V53" s="54" t="s">
        <v>125</v>
      </c>
    </row>
    <row r="54" spans="1:23" ht="15" customHeight="1" x14ac:dyDescent="0.25">
      <c r="A54" s="38" t="s">
        <v>19</v>
      </c>
      <c r="B54" s="39" t="s">
        <v>24</v>
      </c>
      <c r="C54" s="39" t="s">
        <v>25</v>
      </c>
      <c r="D54" s="39" t="s">
        <v>65</v>
      </c>
      <c r="E54" s="39" t="s">
        <v>82</v>
      </c>
      <c r="F54" s="39" t="s">
        <v>89</v>
      </c>
      <c r="G54" s="39" t="s">
        <v>91</v>
      </c>
      <c r="H54" s="39" t="s">
        <v>118</v>
      </c>
      <c r="I54" s="39" t="s">
        <v>120</v>
      </c>
      <c r="J54" s="39" t="s">
        <v>122</v>
      </c>
      <c r="M54" s="17" t="s">
        <v>92</v>
      </c>
      <c r="N54" s="40" t="s">
        <v>68</v>
      </c>
      <c r="O54" s="21">
        <v>435</v>
      </c>
      <c r="P54" s="21">
        <v>806.1</v>
      </c>
      <c r="Q54" s="2">
        <v>1508.8</v>
      </c>
      <c r="R54" s="21">
        <v>1045</v>
      </c>
      <c r="S54" s="21">
        <v>1292.9000000000001</v>
      </c>
      <c r="T54" s="21">
        <v>920.05</v>
      </c>
      <c r="U54" s="21">
        <v>417</v>
      </c>
      <c r="V54" s="21">
        <v>503.5</v>
      </c>
    </row>
    <row r="55" spans="1:23" ht="15" customHeight="1" x14ac:dyDescent="0.25">
      <c r="A55" s="12" t="s">
        <v>57</v>
      </c>
      <c r="B55" s="16" t="s">
        <v>68</v>
      </c>
      <c r="C55" s="16">
        <v>3640320</v>
      </c>
      <c r="D55" s="16">
        <v>5864350</v>
      </c>
      <c r="E55" s="16">
        <v>5864350</v>
      </c>
      <c r="F55" s="16">
        <v>12149218</v>
      </c>
      <c r="G55" s="16">
        <v>27153488</v>
      </c>
      <c r="H55" s="16">
        <v>27153488</v>
      </c>
      <c r="I55" s="16">
        <v>27153488</v>
      </c>
      <c r="J55" s="16">
        <v>27575049</v>
      </c>
      <c r="M55" s="17" t="s">
        <v>38</v>
      </c>
      <c r="N55" s="31">
        <f t="shared" ref="N55:S55" si="36">B34</f>
        <v>28.14</v>
      </c>
      <c r="O55" s="31">
        <f t="shared" si="36"/>
        <v>21.89</v>
      </c>
      <c r="P55" s="31">
        <f t="shared" si="36"/>
        <v>27.86</v>
      </c>
      <c r="Q55" s="31">
        <f t="shared" si="36"/>
        <v>95.29</v>
      </c>
      <c r="R55" s="31">
        <f t="shared" si="36"/>
        <v>44.32</v>
      </c>
      <c r="S55" s="31">
        <f t="shared" si="36"/>
        <v>40.97</v>
      </c>
      <c r="T55" s="31">
        <v>40.51</v>
      </c>
      <c r="U55" s="31">
        <f>I34</f>
        <v>31.5</v>
      </c>
      <c r="V55" s="31">
        <f>J34+10.64</f>
        <v>13.83</v>
      </c>
      <c r="W55" s="1" t="s">
        <v>123</v>
      </c>
    </row>
    <row r="56" spans="1:23" ht="15" customHeight="1" x14ac:dyDescent="0.25">
      <c r="A56" s="12" t="s">
        <v>58</v>
      </c>
      <c r="B56" s="5"/>
      <c r="C56" s="5">
        <f t="shared" ref="C56:J56" si="37">C55*O54/1000000</f>
        <v>1583.5391999999999</v>
      </c>
      <c r="D56" s="5">
        <f t="shared" si="37"/>
        <v>4727.2525349999996</v>
      </c>
      <c r="E56" s="5">
        <f t="shared" si="37"/>
        <v>8848.1312799999996</v>
      </c>
      <c r="F56" s="5">
        <f t="shared" si="37"/>
        <v>12695.93281</v>
      </c>
      <c r="G56" s="5">
        <f t="shared" si="37"/>
        <v>35106.744635200004</v>
      </c>
      <c r="H56" s="5">
        <f t="shared" si="37"/>
        <v>24982.566634399998</v>
      </c>
      <c r="I56" s="5">
        <f t="shared" si="37"/>
        <v>11323.004496</v>
      </c>
      <c r="J56" s="5">
        <f t="shared" si="37"/>
        <v>13884.0371715</v>
      </c>
      <c r="M56" s="17" t="s">
        <v>39</v>
      </c>
      <c r="N56" s="44" t="s">
        <v>68</v>
      </c>
      <c r="O56" s="31">
        <f>(O10*1000000)/C55</f>
        <v>130.28426676775669</v>
      </c>
      <c r="P56" s="31">
        <f>(P10*1000000)/D55</f>
        <v>100.91052904413959</v>
      </c>
      <c r="Q56" s="31">
        <f>(Q10*1000000)/E55</f>
        <v>513.93897021835323</v>
      </c>
      <c r="R56" s="31">
        <f>(R10*1000000)/E55</f>
        <v>683.26822239463877</v>
      </c>
      <c r="S56" s="31">
        <f>(S10*1000000)/G55</f>
        <v>187.29538540315707</v>
      </c>
      <c r="T56" s="31">
        <f>(T10*1000000)/H55</f>
        <v>238.97596507675183</v>
      </c>
      <c r="U56" s="31">
        <f>(U10*1000000)/I55</f>
        <v>272.54774782525175</v>
      </c>
      <c r="V56" s="31">
        <f>(V10*1000000)/J55</f>
        <v>275.55751578174898</v>
      </c>
    </row>
    <row r="57" spans="1:23" ht="15" customHeight="1" x14ac:dyDescent="0.25">
      <c r="A57" s="23" t="s">
        <v>61</v>
      </c>
      <c r="B57" s="24"/>
      <c r="C57" s="24">
        <f t="shared" ref="C57:H57" si="38">O13</f>
        <v>5.8639740000000007</v>
      </c>
      <c r="D57" s="24">
        <f t="shared" si="38"/>
        <v>6.2051990000000004</v>
      </c>
      <c r="E57" s="24">
        <f t="shared" si="38"/>
        <v>775.31299999999999</v>
      </c>
      <c r="F57" s="24">
        <f t="shared" si="38"/>
        <v>1247.1199999999999</v>
      </c>
      <c r="G57" s="24">
        <f t="shared" si="38"/>
        <v>2080.31</v>
      </c>
      <c r="H57" s="24">
        <f t="shared" si="38"/>
        <v>3625.74</v>
      </c>
      <c r="I57" s="24">
        <f t="shared" ref="I57:J57" si="39">U13</f>
        <v>2723.9929999999999</v>
      </c>
      <c r="J57" s="24">
        <f t="shared" si="39"/>
        <v>2448.299</v>
      </c>
      <c r="M57" s="17" t="s">
        <v>40</v>
      </c>
      <c r="N57" s="45" t="s">
        <v>68</v>
      </c>
      <c r="O57" s="6">
        <v>5</v>
      </c>
      <c r="P57" s="6">
        <v>4</v>
      </c>
      <c r="Q57" s="6">
        <v>7</v>
      </c>
      <c r="R57" s="6">
        <v>11</v>
      </c>
      <c r="S57" s="6">
        <v>5</v>
      </c>
      <c r="T57" s="6">
        <v>3.5</v>
      </c>
      <c r="U57" s="6">
        <v>1</v>
      </c>
      <c r="V57" s="7"/>
    </row>
    <row r="58" spans="1:23" ht="15" customHeight="1" x14ac:dyDescent="0.25">
      <c r="A58" s="23" t="s">
        <v>59</v>
      </c>
      <c r="B58" s="24"/>
      <c r="C58" s="24">
        <f t="shared" ref="C58:H58" si="40">O30</f>
        <v>50.347675000000002</v>
      </c>
      <c r="D58" s="24">
        <f t="shared" si="40"/>
        <v>115.55900200000001</v>
      </c>
      <c r="E58" s="24">
        <f t="shared" si="40"/>
        <v>36.378</v>
      </c>
      <c r="F58" s="24">
        <f t="shared" si="40"/>
        <v>126.79600000000001</v>
      </c>
      <c r="G58" s="24">
        <f t="shared" si="40"/>
        <v>309.83999999999997</v>
      </c>
      <c r="H58" s="24">
        <f t="shared" si="40"/>
        <v>453.8</v>
      </c>
      <c r="I58" s="24">
        <f t="shared" ref="I58:J58" si="41">U30</f>
        <v>81.503</v>
      </c>
      <c r="J58" s="24">
        <f t="shared" si="41"/>
        <v>51.322000000000003</v>
      </c>
      <c r="M58" s="17" t="s">
        <v>41</v>
      </c>
      <c r="N58" s="41" t="s">
        <v>68</v>
      </c>
      <c r="O58" s="32">
        <f t="shared" ref="O58:P58" si="42">(O54/O55)</f>
        <v>19.87208771128369</v>
      </c>
      <c r="P58" s="32">
        <f t="shared" si="42"/>
        <v>28.933955491744438</v>
      </c>
      <c r="Q58" s="32">
        <f t="shared" ref="Q58:U58" si="43">(Q54/Q55)</f>
        <v>15.83377059502571</v>
      </c>
      <c r="R58" s="32">
        <f t="shared" si="43"/>
        <v>23.578519855595669</v>
      </c>
      <c r="S58" s="32">
        <f t="shared" si="43"/>
        <v>31.557237002684893</v>
      </c>
      <c r="T58" s="32">
        <f t="shared" si="43"/>
        <v>22.711676129350778</v>
      </c>
      <c r="U58" s="32">
        <f t="shared" si="43"/>
        <v>13.238095238095237</v>
      </c>
      <c r="V58" s="57">
        <f>(V54/V55)</f>
        <v>36.406362979031094</v>
      </c>
    </row>
    <row r="59" spans="1:23" ht="15" customHeight="1" x14ac:dyDescent="0.25">
      <c r="A59" s="23" t="s">
        <v>60</v>
      </c>
      <c r="B59" s="24"/>
      <c r="C59" s="24">
        <f t="shared" ref="C59:D59" si="44">C56+C57-C58</f>
        <v>1539.0554990000001</v>
      </c>
      <c r="D59" s="24">
        <f t="shared" si="44"/>
        <v>4617.8987319999997</v>
      </c>
      <c r="E59" s="24">
        <f t="shared" ref="E59:J59" si="45">E56+E57-E58</f>
        <v>9587.0662799999991</v>
      </c>
      <c r="F59" s="24">
        <f t="shared" si="45"/>
        <v>13816.256810000001</v>
      </c>
      <c r="G59" s="24">
        <f t="shared" si="45"/>
        <v>36877.214635200005</v>
      </c>
      <c r="H59" s="24">
        <f t="shared" si="45"/>
        <v>28154.506634399997</v>
      </c>
      <c r="I59" s="24">
        <f t="shared" si="45"/>
        <v>13965.494495999999</v>
      </c>
      <c r="J59" s="24">
        <f t="shared" si="45"/>
        <v>16281.014171499999</v>
      </c>
      <c r="M59" s="17" t="s">
        <v>42</v>
      </c>
      <c r="N59" s="41" t="s">
        <v>68</v>
      </c>
      <c r="O59" s="32">
        <f t="shared" ref="O59:U59" si="46">(O54/O56)</f>
        <v>3.3388528852484258</v>
      </c>
      <c r="P59" s="32">
        <f t="shared" si="46"/>
        <v>7.9882645313196337</v>
      </c>
      <c r="Q59" s="32">
        <f t="shared" si="46"/>
        <v>2.9357571373872813</v>
      </c>
      <c r="R59" s="32">
        <f t="shared" si="46"/>
        <v>1.5294140218282155</v>
      </c>
      <c r="S59" s="32">
        <f t="shared" si="46"/>
        <v>6.9029997573992921</v>
      </c>
      <c r="T59" s="32">
        <f t="shared" si="46"/>
        <v>3.8499687602663633</v>
      </c>
      <c r="U59" s="32">
        <f t="shared" si="46"/>
        <v>1.5300071393999046</v>
      </c>
      <c r="V59" s="32">
        <f>(V54/V56)</f>
        <v>1.8272047437050829</v>
      </c>
    </row>
    <row r="60" spans="1:23" ht="15" customHeight="1" x14ac:dyDescent="0.25">
      <c r="M60" s="17" t="s">
        <v>43</v>
      </c>
      <c r="N60" s="42" t="s">
        <v>68</v>
      </c>
      <c r="O60" s="33">
        <f>C59/C13</f>
        <v>7.7446560277951324</v>
      </c>
      <c r="P60" s="33">
        <f>D59/D13</f>
        <v>16.556604061492159</v>
      </c>
      <c r="Q60" s="32">
        <f>E59/E13</f>
        <v>5.0851081565907625</v>
      </c>
      <c r="R60" s="32">
        <f>F59/F13</f>
        <v>7.4049962482621421</v>
      </c>
      <c r="S60" s="32">
        <f>G59/G13</f>
        <v>17.975004976742348</v>
      </c>
      <c r="T60" s="32">
        <f>H59/2062</f>
        <v>13.653979939088263</v>
      </c>
      <c r="U60" s="32">
        <f>I59/I13</f>
        <v>8.5035264157124182</v>
      </c>
      <c r="V60" s="41" t="s">
        <v>68</v>
      </c>
    </row>
    <row r="61" spans="1:23" ht="15" customHeight="1" x14ac:dyDescent="0.25">
      <c r="M61" s="18" t="s">
        <v>44</v>
      </c>
      <c r="N61" s="34">
        <f t="shared" ref="N61:V61" si="47">(B27/N10)</f>
        <v>0.45026577339238366</v>
      </c>
      <c r="O61" s="34">
        <f t="shared" si="47"/>
        <v>0.24500419504303358</v>
      </c>
      <c r="P61" s="34">
        <f t="shared" si="47"/>
        <v>0.27607900737743818</v>
      </c>
      <c r="Q61" s="35">
        <f t="shared" si="47"/>
        <v>0.4420037306920751</v>
      </c>
      <c r="R61" s="35">
        <f t="shared" si="47"/>
        <v>0.31494682704238963</v>
      </c>
      <c r="S61" s="35">
        <f t="shared" si="47"/>
        <v>0.24564943863438896</v>
      </c>
      <c r="T61" s="35">
        <f t="shared" si="47"/>
        <v>0.19716811339011914</v>
      </c>
      <c r="U61" s="35">
        <f t="shared" si="47"/>
        <v>0.13858929695368857</v>
      </c>
      <c r="V61" s="35">
        <f t="shared" si="47"/>
        <v>1.5516195802546436E-2</v>
      </c>
    </row>
    <row r="62" spans="1:23" ht="15" customHeight="1" x14ac:dyDescent="0.25">
      <c r="M62" s="18" t="s">
        <v>45</v>
      </c>
      <c r="N62" s="34">
        <f t="shared" ref="N62:V62" si="48">(B22+B19)/N14</f>
        <v>0.45013092845777042</v>
      </c>
      <c r="O62" s="34">
        <f t="shared" si="48"/>
        <v>0.3539762756212067</v>
      </c>
      <c r="P62" s="34">
        <f t="shared" si="48"/>
        <v>0.40002187024146646</v>
      </c>
      <c r="Q62" s="35">
        <f t="shared" si="48"/>
        <v>0.48390376875016017</v>
      </c>
      <c r="R62" s="35">
        <f t="shared" si="48"/>
        <v>0.34167531288924252</v>
      </c>
      <c r="S62" s="35">
        <f t="shared" si="48"/>
        <v>0.30365079194737254</v>
      </c>
      <c r="T62" s="35">
        <f t="shared" si="48"/>
        <v>0.23334746097207837</v>
      </c>
      <c r="U62" s="35">
        <f t="shared" si="48"/>
        <v>0.17480082346266124</v>
      </c>
      <c r="V62" s="35">
        <f t="shared" si="48"/>
        <v>3.3765728771500254E-2</v>
      </c>
    </row>
    <row r="63" spans="1:23" ht="10.5" x14ac:dyDescent="0.25">
      <c r="M63" s="17" t="s">
        <v>46</v>
      </c>
      <c r="N63" s="33">
        <f t="shared" ref="N63:U63" si="49">(N13/N10)</f>
        <v>4.2688515314040054E-2</v>
      </c>
      <c r="O63" s="33">
        <f t="shared" si="49"/>
        <v>1.2364042840822478E-2</v>
      </c>
      <c r="P63" s="33">
        <f t="shared" si="49"/>
        <v>1.0485746364189122E-2</v>
      </c>
      <c r="Q63" s="32">
        <f t="shared" si="49"/>
        <v>0.25724422495900684</v>
      </c>
      <c r="R63" s="32">
        <f t="shared" si="49"/>
        <v>0.31124124141111731</v>
      </c>
      <c r="S63" s="32">
        <f t="shared" si="49"/>
        <v>0.40904901820252493</v>
      </c>
      <c r="T63" s="32">
        <f t="shared" si="49"/>
        <v>0.55874906438264815</v>
      </c>
      <c r="U63" s="32">
        <f t="shared" si="49"/>
        <v>0.36807622386334554</v>
      </c>
      <c r="V63" s="32">
        <f>(V13/V10)</f>
        <v>0.32220769013722683</v>
      </c>
    </row>
    <row r="64" spans="1:23" ht="10.5" x14ac:dyDescent="0.25">
      <c r="M64" s="17" t="s">
        <v>47</v>
      </c>
      <c r="N64" s="33">
        <f t="shared" ref="N64:U64" si="50">(N13-N30)/N10</f>
        <v>-7.5317265358221825E-3</v>
      </c>
      <c r="O64" s="33">
        <f t="shared" si="50"/>
        <v>-9.3792773447211347E-2</v>
      </c>
      <c r="P64" s="33">
        <f t="shared" si="50"/>
        <v>-0.18478960017519236</v>
      </c>
      <c r="Q64" s="32">
        <f t="shared" si="50"/>
        <v>0.24517422172733297</v>
      </c>
      <c r="R64" s="32">
        <f t="shared" si="50"/>
        <v>0.27959701756259908</v>
      </c>
      <c r="S64" s="32">
        <f t="shared" si="50"/>
        <v>0.34812552708828221</v>
      </c>
      <c r="T64" s="32">
        <f t="shared" si="50"/>
        <v>0.48881566446515662</v>
      </c>
      <c r="U64" s="32">
        <f t="shared" si="50"/>
        <v>0.35706323063115503</v>
      </c>
      <c r="V64" s="32">
        <f>(V13-V30)/V10</f>
        <v>0.31545347299576543</v>
      </c>
      <c r="W64" s="15"/>
    </row>
    <row r="65" spans="1:23" s="46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M65" s="47" t="s">
        <v>48</v>
      </c>
      <c r="N65" s="48" t="s">
        <v>68</v>
      </c>
      <c r="O65" s="49">
        <f t="shared" ref="O65:U65" si="51">(O57/O54)</f>
        <v>1.1494252873563218E-2</v>
      </c>
      <c r="P65" s="49">
        <f t="shared" ref="P65" si="52">(P57/P54)</f>
        <v>4.9621635032874329E-3</v>
      </c>
      <c r="Q65" s="49">
        <f t="shared" si="51"/>
        <v>4.6394485683987274E-3</v>
      </c>
      <c r="R65" s="49">
        <f t="shared" si="51"/>
        <v>1.0526315789473684E-2</v>
      </c>
      <c r="S65" s="49">
        <f t="shared" si="51"/>
        <v>3.8672751179518908E-3</v>
      </c>
      <c r="T65" s="49">
        <f t="shared" si="51"/>
        <v>3.8041410792891694E-3</v>
      </c>
      <c r="U65" s="49">
        <f t="shared" si="51"/>
        <v>2.3980815347721821E-3</v>
      </c>
      <c r="V65" s="49">
        <f>(V57/V54)</f>
        <v>0</v>
      </c>
    </row>
    <row r="66" spans="1:23" ht="1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M66" s="17" t="s">
        <v>49</v>
      </c>
      <c r="N66" s="43" t="s">
        <v>68</v>
      </c>
      <c r="O66" s="36">
        <f>(AVERAGE(N29:O29)/C4*365)</f>
        <v>67.925299958424674</v>
      </c>
      <c r="P66" s="36">
        <f>(AVERAGE(P29,O29))/(D4)*365</f>
        <v>81.547493187347015</v>
      </c>
      <c r="Q66" s="36">
        <f>(AVERAGE(Q29,P29))/(E4)*365</f>
        <v>46.408035954060701</v>
      </c>
      <c r="R66" s="36">
        <f>(AVERAGE(R29,Q29))/(F4)*365</f>
        <v>73.395691428568071</v>
      </c>
      <c r="S66" s="36">
        <f>(AVERAGE(S29,R29))/(G4)*365</f>
        <v>69.966384803921571</v>
      </c>
      <c r="T66" s="36">
        <f>(AVERAGE(T29,S29))/(H4)*365</f>
        <v>75.594370502037634</v>
      </c>
      <c r="U66" s="36">
        <f t="shared" ref="U66" si="53">(AVERAGE(U29,T29))/(I4)*365</f>
        <v>99.809710651634205</v>
      </c>
      <c r="V66" s="43" t="s">
        <v>68</v>
      </c>
      <c r="W66" s="14"/>
    </row>
    <row r="67" spans="1:23" ht="15" customHeight="1" x14ac:dyDescent="0.25">
      <c r="M67" s="17" t="s">
        <v>50</v>
      </c>
      <c r="N67" s="43" t="s">
        <v>68</v>
      </c>
      <c r="O67" s="36">
        <f>AVERAGE(N38:O38)/(D7)*365</f>
        <v>30.130475277410238</v>
      </c>
      <c r="P67" s="36">
        <f>AVERAGE(P38,O38)/SUM(D8:D10)*365</f>
        <v>92.118932739075774</v>
      </c>
      <c r="Q67" s="36">
        <f>AVERAGE(Q38,P38)/SUM(E8:E10)*365</f>
        <v>42.484104380074101</v>
      </c>
      <c r="R67" s="36">
        <f>AVERAGE(R38,Q38)/SUM(F8:F10)*365</f>
        <v>75.284955160173126</v>
      </c>
      <c r="S67" s="36">
        <f>AVERAGE(S38,R38)/SUM(G8:G10)*365</f>
        <v>86.391137294771227</v>
      </c>
      <c r="T67" s="36">
        <f>AVERAGE(T38,S38)/SUM(H8:H10)*365</f>
        <v>54.366085775671955</v>
      </c>
      <c r="U67" s="36">
        <f t="shared" ref="U67" si="54">AVERAGE(U38,T38)/SUM(I8:I10)*365</f>
        <v>76.709615016466799</v>
      </c>
      <c r="V67" s="43" t="s">
        <v>68</v>
      </c>
    </row>
    <row r="68" spans="1:23" ht="15" customHeight="1" x14ac:dyDescent="0.25">
      <c r="M68" s="12" t="s">
        <v>51</v>
      </c>
      <c r="N68" s="43" t="s">
        <v>68</v>
      </c>
      <c r="O68" s="36">
        <f>AVERAGE(N27:O27)/SUM(C8:C10)*365</f>
        <v>50.625788409229095</v>
      </c>
      <c r="P68" s="36">
        <f>AVERAGE(P27,O27)/SUM(D8:D10)*365</f>
        <v>40.417256408650964</v>
      </c>
      <c r="Q68" s="36">
        <f>AVERAGE(Q27,P27)/SUM(E8:E10)*365</f>
        <v>23.544410584422678</v>
      </c>
      <c r="R68" s="36">
        <f>AVERAGE(R27,Q27)/SUM(F8:F10)*365</f>
        <v>43.068851487390027</v>
      </c>
      <c r="S68" s="36">
        <f>AVERAGE(S27,R27)/SUM(G8:G10)*365</f>
        <v>51.825285740109656</v>
      </c>
      <c r="T68" s="36">
        <f>AVERAGE(T27,S27)/SUM(H8:H10)*365</f>
        <v>43.731059248044275</v>
      </c>
      <c r="U68" s="36">
        <f t="shared" ref="U68" si="55">AVERAGE(U27,T27)/SUM(I8:I10)*365</f>
        <v>63.581327865799857</v>
      </c>
      <c r="V68" s="43" t="s">
        <v>68</v>
      </c>
    </row>
    <row r="69" spans="1:23" ht="15" customHeight="1" x14ac:dyDescent="0.25">
      <c r="M69" s="17" t="s">
        <v>83</v>
      </c>
      <c r="N69" s="43" t="s">
        <v>68</v>
      </c>
      <c r="O69" s="36">
        <f t="shared" ref="O69:U69" si="56">O66-O67+O68</f>
        <v>88.420613090243535</v>
      </c>
      <c r="P69" s="36">
        <f t="shared" si="56"/>
        <v>29.845816856922205</v>
      </c>
      <c r="Q69" s="36">
        <f t="shared" si="56"/>
        <v>27.468342158409278</v>
      </c>
      <c r="R69" s="36">
        <f t="shared" si="56"/>
        <v>41.179587755784972</v>
      </c>
      <c r="S69" s="36">
        <f t="shared" si="56"/>
        <v>35.40053324926</v>
      </c>
      <c r="T69" s="36">
        <f t="shared" si="56"/>
        <v>64.959343974409961</v>
      </c>
      <c r="U69" s="36">
        <f t="shared" si="56"/>
        <v>86.68142350096727</v>
      </c>
      <c r="V69" s="43" t="s">
        <v>68</v>
      </c>
    </row>
    <row r="70" spans="1:23" ht="15" customHeight="1" x14ac:dyDescent="0.25">
      <c r="M70" s="12" t="s">
        <v>85</v>
      </c>
      <c r="N70" s="43" t="s">
        <v>68</v>
      </c>
      <c r="O70" s="36">
        <f t="shared" ref="O70:T70" si="57">AVERAGE(N49:O49)/C4*365</f>
        <v>64.576283887668126</v>
      </c>
      <c r="P70" s="36">
        <f t="shared" si="57"/>
        <v>63.622119452566174</v>
      </c>
      <c r="Q70" s="36">
        <f t="shared" si="57"/>
        <v>32.418996700280573</v>
      </c>
      <c r="R70" s="36">
        <f t="shared" si="57"/>
        <v>41.187442145718926</v>
      </c>
      <c r="S70" s="36">
        <f t="shared" si="57"/>
        <v>21.151841878643328</v>
      </c>
      <c r="T70" s="36">
        <f t="shared" si="57"/>
        <v>23.778802133009631</v>
      </c>
      <c r="U70" s="36">
        <f t="shared" ref="U70" si="58">AVERAGE(T49:U49)/I4*365</f>
        <v>34.005643442585551</v>
      </c>
      <c r="V70" s="43" t="s">
        <v>68</v>
      </c>
    </row>
    <row r="71" spans="1:23" ht="15" customHeight="1" x14ac:dyDescent="0.25">
      <c r="M71" s="12" t="s">
        <v>66</v>
      </c>
      <c r="N71" s="35">
        <f t="shared" ref="N71:T71" si="59">B19/N13</f>
        <v>0.49962574919657055</v>
      </c>
      <c r="O71" s="35">
        <f t="shared" si="59"/>
        <v>0.43434674164653519</v>
      </c>
      <c r="P71" s="35">
        <f t="shared" si="59"/>
        <v>0.75596576354763156</v>
      </c>
      <c r="Q71" s="35">
        <f t="shared" si="59"/>
        <v>4.7419558294521054E-2</v>
      </c>
      <c r="R71" s="35">
        <f t="shared" si="59"/>
        <v>1.8654179228943486E-2</v>
      </c>
      <c r="S71" s="35">
        <f t="shared" si="59"/>
        <v>2.4025265465243164E-2</v>
      </c>
      <c r="T71" s="35">
        <f t="shared" si="59"/>
        <v>1.7869455614577992E-2</v>
      </c>
      <c r="U71" s="35">
        <f t="shared" ref="U71" si="60">I19/U13</f>
        <v>3.9620880083025181E-2</v>
      </c>
      <c r="V71" s="43" t="s">
        <v>68</v>
      </c>
    </row>
    <row r="72" spans="1:23" ht="15" customHeight="1" x14ac:dyDescent="0.25">
      <c r="M72" s="12" t="s">
        <v>84</v>
      </c>
      <c r="N72" s="37">
        <f>(C13-C18)/C19</f>
        <v>71.311855761174584</v>
      </c>
      <c r="O72" s="37">
        <f>(D13-D18)/D19</f>
        <v>54.793494791424621</v>
      </c>
      <c r="P72" s="37">
        <f>(D13-D18)/D19</f>
        <v>54.793494791424621</v>
      </c>
      <c r="Q72" s="37">
        <f>(E13-E18)/E19</f>
        <v>47.569971440228414</v>
      </c>
      <c r="R72" s="37">
        <f>(F13-F18)/F19</f>
        <v>73.423959766162312</v>
      </c>
      <c r="S72" s="37">
        <f>(G13-G18)/G19</f>
        <v>36.798399359743911</v>
      </c>
      <c r="T72" s="37">
        <f>(H13-H18)/H19</f>
        <v>27.050625096465467</v>
      </c>
      <c r="U72" s="37">
        <f t="shared" ref="U72" si="61">(I13-I18)/I19</f>
        <v>12.512392635763074</v>
      </c>
      <c r="V72" s="37">
        <f>(J13-J18)/J19</f>
        <v>1.3774350649350575</v>
      </c>
    </row>
    <row r="73" spans="1:23" ht="15" customHeight="1" x14ac:dyDescent="0.2">
      <c r="M73" s="1" t="s">
        <v>87</v>
      </c>
      <c r="N73" s="13" t="s">
        <v>116</v>
      </c>
      <c r="Q73" s="10"/>
      <c r="T73" s="10"/>
      <c r="U73" s="10"/>
    </row>
    <row r="74" spans="1:23" ht="15" customHeight="1" x14ac:dyDescent="0.2">
      <c r="P74" s="1"/>
      <c r="Q74" s="1"/>
      <c r="R74" s="1"/>
    </row>
    <row r="75" spans="1:23" ht="15" customHeight="1" x14ac:dyDescent="0.2">
      <c r="P75" s="1"/>
      <c r="Q75" s="1"/>
      <c r="R75" s="1"/>
    </row>
    <row r="76" spans="1:23" ht="15" customHeight="1" x14ac:dyDescent="0.2">
      <c r="P76" s="1"/>
      <c r="Q76" s="1"/>
      <c r="R76" s="1"/>
    </row>
    <row r="77" spans="1:23" ht="15" customHeight="1" x14ac:dyDescent="0.2">
      <c r="P77" s="1"/>
      <c r="Q77" s="1"/>
      <c r="R77" s="1"/>
    </row>
    <row r="78" spans="1:23" ht="15" customHeight="1" x14ac:dyDescent="0.2">
      <c r="P78" s="1"/>
      <c r="Q78" s="1"/>
      <c r="R78" s="1"/>
    </row>
    <row r="79" spans="1:23" ht="15" customHeight="1" x14ac:dyDescent="0.2">
      <c r="P79" s="1"/>
      <c r="Q79" s="1"/>
      <c r="R79" s="1"/>
    </row>
    <row r="80" spans="1:23" ht="15" customHeight="1" x14ac:dyDescent="0.2">
      <c r="P80" s="1"/>
      <c r="Q80" s="1"/>
      <c r="R80" s="1"/>
    </row>
    <row r="81" s="1" customFormat="1" ht="15" customHeight="1" x14ac:dyDescent="0.2"/>
    <row r="82" s="1" customFormat="1" ht="15" customHeight="1" x14ac:dyDescent="0.2"/>
    <row r="83" s="1" customFormat="1" ht="15" customHeight="1" x14ac:dyDescent="0.2"/>
    <row r="84" s="1" customFormat="1" ht="15" customHeight="1" x14ac:dyDescent="0.2"/>
    <row r="85" s="1" customFormat="1" ht="15" customHeight="1" x14ac:dyDescent="0.2"/>
    <row r="86" s="1" customFormat="1" ht="15" customHeight="1" x14ac:dyDescent="0.2"/>
    <row r="87" s="1" customFormat="1" ht="15" customHeight="1" x14ac:dyDescent="0.2"/>
    <row r="88" s="1" customFormat="1" ht="15" customHeight="1" x14ac:dyDescent="0.2"/>
    <row r="89" s="1" customFormat="1" ht="15" customHeight="1" x14ac:dyDescent="0.2"/>
    <row r="90" s="1" customFormat="1" ht="15" customHeight="1" x14ac:dyDescent="0.2"/>
    <row r="91" s="1" customFormat="1" ht="15" customHeight="1" x14ac:dyDescent="0.2"/>
    <row r="92" s="1" customFormat="1" ht="15" customHeight="1" x14ac:dyDescent="0.2"/>
    <row r="93" s="1" customFormat="1" ht="15" customHeight="1" x14ac:dyDescent="0.2"/>
    <row r="94" s="1" customFormat="1" ht="15" customHeight="1" x14ac:dyDescent="0.2"/>
    <row r="95" s="1" customFormat="1" ht="15" customHeight="1" x14ac:dyDescent="0.2"/>
    <row r="96" s="1" customFormat="1" ht="15" customHeight="1" x14ac:dyDescent="0.2"/>
    <row r="97" s="1" customFormat="1" ht="15" customHeight="1" x14ac:dyDescent="0.2"/>
    <row r="98" s="1" customFormat="1" ht="15" customHeight="1" x14ac:dyDescent="0.2"/>
    <row r="99" s="1" customFormat="1" ht="15" customHeight="1" x14ac:dyDescent="0.2"/>
    <row r="100" s="1" customFormat="1" ht="15" customHeight="1" x14ac:dyDescent="0.2"/>
    <row r="101" s="1" customFormat="1" ht="15" customHeight="1" x14ac:dyDescent="0.2"/>
    <row r="102" s="1" customFormat="1" ht="15" customHeight="1" x14ac:dyDescent="0.2"/>
    <row r="103" s="1" customFormat="1" ht="15" customHeight="1" x14ac:dyDescent="0.2"/>
    <row r="104" s="1" customFormat="1" ht="15" customHeight="1" x14ac:dyDescent="0.2"/>
    <row r="105" s="1" customFormat="1" ht="15" customHeight="1" x14ac:dyDescent="0.2"/>
    <row r="106" s="1" customFormat="1" ht="15" customHeight="1" x14ac:dyDescent="0.2"/>
    <row r="107" s="1" customFormat="1" ht="15" customHeight="1" x14ac:dyDescent="0.2"/>
    <row r="108" s="1" customFormat="1" ht="15" customHeight="1" x14ac:dyDescent="0.2"/>
    <row r="109" s="1" customFormat="1" ht="15" customHeight="1" x14ac:dyDescent="0.2"/>
    <row r="110" s="1" customFormat="1" ht="15" customHeight="1" x14ac:dyDescent="0.2"/>
    <row r="111" s="1" customFormat="1" ht="15" customHeight="1" x14ac:dyDescent="0.2"/>
    <row r="112" s="1" customFormat="1" ht="15" customHeight="1" x14ac:dyDescent="0.2"/>
    <row r="113" s="1" customFormat="1" ht="15" customHeight="1" x14ac:dyDescent="0.2"/>
    <row r="114" s="1" customFormat="1" ht="15" customHeight="1" x14ac:dyDescent="0.2"/>
    <row r="115" s="1" customFormat="1" ht="15" customHeight="1" x14ac:dyDescent="0.2"/>
    <row r="116" s="1" customFormat="1" ht="15" customHeight="1" x14ac:dyDescent="0.2"/>
    <row r="117" s="1" customFormat="1" ht="15" customHeight="1" x14ac:dyDescent="0.2"/>
    <row r="118" s="1" customFormat="1" ht="15" customHeight="1" x14ac:dyDescent="0.2"/>
    <row r="119" s="1" customFormat="1" ht="15" customHeight="1" x14ac:dyDescent="0.2"/>
    <row r="120" s="1" customFormat="1" ht="15" customHeight="1" x14ac:dyDescent="0.2"/>
    <row r="121" s="1" customFormat="1" ht="15" customHeight="1" x14ac:dyDescent="0.2"/>
    <row r="122" s="1" customFormat="1" ht="15" customHeight="1" x14ac:dyDescent="0.2"/>
    <row r="123" s="1" customFormat="1" ht="15" customHeight="1" x14ac:dyDescent="0.2"/>
    <row r="124" s="1" customFormat="1" ht="15" customHeight="1" x14ac:dyDescent="0.2"/>
    <row r="125" s="1" customFormat="1" ht="15" customHeight="1" x14ac:dyDescent="0.2"/>
    <row r="126" s="1" customFormat="1" ht="15" customHeight="1" x14ac:dyDescent="0.2"/>
    <row r="127" s="1" customFormat="1" ht="15" customHeight="1" x14ac:dyDescent="0.2"/>
    <row r="128" s="1" customFormat="1" ht="15" customHeight="1" x14ac:dyDescent="0.2"/>
    <row r="129" s="1" customFormat="1" ht="15" customHeight="1" x14ac:dyDescent="0.2"/>
    <row r="130" s="1" customFormat="1" ht="15" customHeight="1" x14ac:dyDescent="0.2"/>
    <row r="131" s="1" customFormat="1" ht="15" customHeight="1" x14ac:dyDescent="0.2"/>
    <row r="132" s="1" customFormat="1" ht="15" customHeight="1" x14ac:dyDescent="0.2"/>
    <row r="133" s="1" customFormat="1" ht="15" customHeight="1" x14ac:dyDescent="0.2"/>
    <row r="134" s="1" customFormat="1" ht="15" customHeight="1" x14ac:dyDescent="0.2"/>
    <row r="135" s="1" customFormat="1" ht="15" customHeight="1" x14ac:dyDescent="0.2"/>
    <row r="136" s="1" customFormat="1" ht="15" customHeight="1" x14ac:dyDescent="0.2"/>
    <row r="137" s="1" customFormat="1" ht="15" customHeight="1" x14ac:dyDescent="0.2"/>
    <row r="138" s="1" customFormat="1" ht="15" customHeight="1" x14ac:dyDescent="0.2"/>
    <row r="139" s="1" customFormat="1" ht="15" customHeight="1" x14ac:dyDescent="0.2"/>
    <row r="140" s="1" customFormat="1" ht="15" customHeight="1" x14ac:dyDescent="0.2"/>
    <row r="141" s="1" customFormat="1" ht="15" customHeight="1" x14ac:dyDescent="0.2"/>
    <row r="142" s="1" customFormat="1" ht="15" customHeight="1" x14ac:dyDescent="0.2"/>
    <row r="143" s="1" customFormat="1" ht="15" customHeight="1" x14ac:dyDescent="0.2"/>
    <row r="144" s="1" customFormat="1" ht="15" customHeight="1" x14ac:dyDescent="0.2"/>
    <row r="145" s="1" customFormat="1" ht="15" customHeight="1" x14ac:dyDescent="0.2"/>
    <row r="146" s="1" customFormat="1" ht="15" customHeight="1" x14ac:dyDescent="0.2"/>
    <row r="147" s="1" customFormat="1" ht="15" customHeight="1" x14ac:dyDescent="0.2"/>
    <row r="148" s="1" customFormat="1" ht="15" customHeight="1" x14ac:dyDescent="0.2"/>
    <row r="149" s="1" customFormat="1" ht="15" customHeight="1" x14ac:dyDescent="0.2"/>
    <row r="150" s="1" customFormat="1" ht="15" customHeight="1" x14ac:dyDescent="0.2"/>
    <row r="151" s="1" customFormat="1" ht="15" customHeight="1" x14ac:dyDescent="0.2"/>
    <row r="152" s="1" customFormat="1" ht="15" customHeight="1" x14ac:dyDescent="0.2"/>
    <row r="153" s="1" customFormat="1" ht="15" customHeight="1" x14ac:dyDescent="0.2"/>
    <row r="154" s="1" customFormat="1" ht="15" customHeight="1" x14ac:dyDescent="0.2"/>
    <row r="155" s="1" customFormat="1" ht="15" customHeight="1" x14ac:dyDescent="0.2"/>
    <row r="156" s="1" customFormat="1" ht="15" customHeight="1" x14ac:dyDescent="0.2"/>
    <row r="157" s="1" customFormat="1" ht="15" customHeight="1" x14ac:dyDescent="0.2"/>
    <row r="158" s="1" customFormat="1" ht="15" customHeight="1" x14ac:dyDescent="0.2"/>
    <row r="159" s="1" customFormat="1" ht="15" customHeight="1" x14ac:dyDescent="0.2"/>
    <row r="160" s="1" customFormat="1" ht="15" customHeight="1" x14ac:dyDescent="0.2"/>
    <row r="161" s="1" customFormat="1" ht="15" customHeight="1" x14ac:dyDescent="0.2"/>
    <row r="162" s="1" customFormat="1" ht="15" customHeight="1" x14ac:dyDescent="0.2"/>
    <row r="163" s="1" customFormat="1" ht="15" customHeight="1" x14ac:dyDescent="0.2"/>
    <row r="164" s="1" customFormat="1" ht="15" customHeight="1" x14ac:dyDescent="0.2"/>
    <row r="165" s="1" customFormat="1" ht="15" customHeight="1" x14ac:dyDescent="0.2"/>
    <row r="166" s="1" customFormat="1" ht="15" customHeight="1" x14ac:dyDescent="0.2"/>
    <row r="167" s="1" customFormat="1" ht="15" customHeight="1" x14ac:dyDescent="0.2"/>
    <row r="168" s="1" customFormat="1" ht="15" customHeight="1" x14ac:dyDescent="0.2"/>
    <row r="169" s="1" customFormat="1" ht="15" customHeight="1" x14ac:dyDescent="0.2"/>
    <row r="170" s="1" customFormat="1" ht="15" customHeight="1" x14ac:dyDescent="0.2"/>
    <row r="171" s="1" customFormat="1" ht="15" customHeight="1" x14ac:dyDescent="0.2"/>
    <row r="172" s="1" customFormat="1" ht="15" customHeight="1" x14ac:dyDescent="0.2"/>
    <row r="173" s="1" customFormat="1" ht="15" customHeight="1" x14ac:dyDescent="0.2"/>
    <row r="174" s="1" customFormat="1" ht="15" customHeight="1" x14ac:dyDescent="0.2"/>
    <row r="175" s="1" customFormat="1" ht="15" customHeight="1" x14ac:dyDescent="0.2"/>
    <row r="176" s="1" customFormat="1" ht="15" customHeight="1" x14ac:dyDescent="0.2"/>
    <row r="177" s="1" customFormat="1" ht="15" customHeight="1" x14ac:dyDescent="0.2"/>
    <row r="178" s="1" customFormat="1" ht="15" customHeight="1" x14ac:dyDescent="0.2"/>
    <row r="179" s="1" customFormat="1" ht="15" customHeight="1" x14ac:dyDescent="0.2"/>
    <row r="180" s="1" customFormat="1" ht="15" customHeight="1" x14ac:dyDescent="0.2"/>
    <row r="181" s="1" customFormat="1" ht="15" customHeight="1" x14ac:dyDescent="0.2"/>
    <row r="182" s="1" customFormat="1" ht="15" customHeight="1" x14ac:dyDescent="0.2"/>
    <row r="183" s="1" customFormat="1" ht="15" customHeight="1" x14ac:dyDescent="0.2"/>
    <row r="184" s="1" customFormat="1" ht="15" customHeight="1" x14ac:dyDescent="0.2"/>
    <row r="185" s="1" customFormat="1" ht="15" customHeight="1" x14ac:dyDescent="0.2"/>
    <row r="186" s="1" customFormat="1" ht="15" customHeight="1" x14ac:dyDescent="0.2"/>
    <row r="187" s="1" customFormat="1" ht="15" customHeight="1" x14ac:dyDescent="0.2"/>
    <row r="188" s="1" customFormat="1" ht="15" customHeight="1" x14ac:dyDescent="0.2"/>
    <row r="189" s="1" customFormat="1" ht="15" customHeight="1" x14ac:dyDescent="0.2"/>
    <row r="190" s="1" customFormat="1" ht="15" customHeight="1" x14ac:dyDescent="0.2"/>
    <row r="191" s="1" customFormat="1" ht="15" customHeight="1" x14ac:dyDescent="0.2"/>
    <row r="192" s="1" customFormat="1" ht="15" customHeight="1" x14ac:dyDescent="0.2"/>
    <row r="193" s="1" customFormat="1" ht="15" customHeight="1" x14ac:dyDescent="0.2"/>
    <row r="194" s="1" customFormat="1" ht="15" customHeight="1" x14ac:dyDescent="0.2"/>
    <row r="195" s="1" customFormat="1" ht="15" customHeight="1" x14ac:dyDescent="0.2"/>
    <row r="196" s="1" customFormat="1" ht="15" customHeight="1" x14ac:dyDescent="0.2"/>
    <row r="197" s="1" customFormat="1" ht="15" customHeight="1" x14ac:dyDescent="0.2"/>
    <row r="198" s="1" customFormat="1" ht="15" customHeight="1" x14ac:dyDescent="0.2"/>
    <row r="199" s="1" customFormat="1" ht="15" customHeight="1" x14ac:dyDescent="0.2"/>
    <row r="200" s="1" customFormat="1" ht="15" customHeight="1" x14ac:dyDescent="0.2"/>
    <row r="201" s="1" customFormat="1" ht="15" customHeight="1" x14ac:dyDescent="0.2"/>
    <row r="202" s="1" customFormat="1" ht="15" customHeight="1" x14ac:dyDescent="0.2"/>
    <row r="203" s="1" customFormat="1" ht="15" customHeight="1" x14ac:dyDescent="0.2"/>
    <row r="204" s="1" customFormat="1" ht="15" customHeight="1" x14ac:dyDescent="0.2"/>
    <row r="205" s="1" customFormat="1" ht="15" customHeight="1" x14ac:dyDescent="0.2"/>
    <row r="206" s="1" customFormat="1" ht="15" customHeight="1" x14ac:dyDescent="0.2"/>
    <row r="207" s="1" customFormat="1" ht="15" customHeight="1" x14ac:dyDescent="0.2"/>
    <row r="208" s="1" customFormat="1" ht="15" customHeight="1" x14ac:dyDescent="0.2"/>
    <row r="209" s="1" customFormat="1" ht="15" customHeight="1" x14ac:dyDescent="0.2"/>
    <row r="210" s="1" customFormat="1" ht="15" customHeight="1" x14ac:dyDescent="0.2"/>
    <row r="211" s="1" customFormat="1" ht="15" customHeight="1" x14ac:dyDescent="0.2"/>
    <row r="212" s="1" customFormat="1" ht="15" customHeight="1" x14ac:dyDescent="0.2"/>
    <row r="213" s="1" customFormat="1" ht="15" customHeight="1" x14ac:dyDescent="0.2"/>
    <row r="214" s="1" customFormat="1" ht="15" customHeight="1" x14ac:dyDescent="0.2"/>
    <row r="215" s="1" customFormat="1" ht="15" customHeight="1" x14ac:dyDescent="0.2"/>
    <row r="216" s="1" customFormat="1" ht="15" customHeight="1" x14ac:dyDescent="0.2"/>
    <row r="217" s="1" customFormat="1" ht="15" customHeight="1" x14ac:dyDescent="0.2"/>
    <row r="218" s="1" customFormat="1" ht="15" customHeight="1" x14ac:dyDescent="0.2"/>
    <row r="219" s="1" customFormat="1" ht="15" customHeight="1" x14ac:dyDescent="0.2"/>
    <row r="220" s="1" customFormat="1" ht="15" customHeight="1" x14ac:dyDescent="0.2"/>
    <row r="221" s="1" customFormat="1" ht="15" customHeight="1" x14ac:dyDescent="0.2"/>
    <row r="222" s="1" customFormat="1" ht="15" customHeight="1" x14ac:dyDescent="0.2"/>
    <row r="223" s="1" customFormat="1" ht="15" customHeight="1" x14ac:dyDescent="0.2"/>
    <row r="224" s="1" customFormat="1" ht="15" customHeight="1" x14ac:dyDescent="0.2"/>
    <row r="225" s="1" customFormat="1" ht="15" customHeight="1" x14ac:dyDescent="0.2"/>
    <row r="226" s="1" customFormat="1" ht="15" customHeight="1" x14ac:dyDescent="0.2"/>
    <row r="227" s="1" customFormat="1" ht="15" customHeight="1" x14ac:dyDescent="0.2"/>
    <row r="228" s="1" customFormat="1" ht="15" customHeight="1" x14ac:dyDescent="0.2"/>
    <row r="229" s="1" customFormat="1" ht="15" customHeight="1" x14ac:dyDescent="0.2"/>
    <row r="230" s="1" customFormat="1" ht="15" customHeight="1" x14ac:dyDescent="0.2"/>
    <row r="231" s="1" customFormat="1" ht="15" customHeight="1" x14ac:dyDescent="0.2"/>
    <row r="232" s="1" customFormat="1" ht="15" customHeight="1" x14ac:dyDescent="0.2"/>
    <row r="233" s="1" customFormat="1" ht="15" customHeight="1" x14ac:dyDescent="0.2"/>
    <row r="234" s="1" customFormat="1" ht="15" customHeight="1" x14ac:dyDescent="0.2"/>
    <row r="235" s="1" customFormat="1" ht="15" customHeight="1" x14ac:dyDescent="0.2"/>
    <row r="236" s="1" customFormat="1" ht="15" customHeight="1" x14ac:dyDescent="0.2"/>
    <row r="237" s="1" customFormat="1" ht="15" customHeight="1" x14ac:dyDescent="0.2"/>
    <row r="238" s="1" customFormat="1" ht="15" customHeight="1" x14ac:dyDescent="0.2"/>
    <row r="239" s="1" customFormat="1" ht="15" customHeight="1" x14ac:dyDescent="0.2"/>
    <row r="240" s="1" customFormat="1" ht="15" customHeight="1" x14ac:dyDescent="0.2"/>
    <row r="241" s="1" customFormat="1" ht="15" customHeight="1" x14ac:dyDescent="0.2"/>
    <row r="242" s="1" customFormat="1" ht="15" customHeight="1" x14ac:dyDescent="0.2"/>
    <row r="243" s="1" customFormat="1" ht="15" customHeight="1" x14ac:dyDescent="0.2"/>
    <row r="244" s="1" customFormat="1" ht="15" customHeight="1" x14ac:dyDescent="0.2"/>
    <row r="245" s="1" customFormat="1" ht="15" customHeight="1" x14ac:dyDescent="0.2"/>
    <row r="246" s="1" customFormat="1" ht="15" customHeight="1" x14ac:dyDescent="0.2"/>
    <row r="247" s="1" customFormat="1" ht="15" customHeight="1" x14ac:dyDescent="0.2"/>
    <row r="248" s="1" customFormat="1" ht="15" customHeight="1" x14ac:dyDescent="0.2"/>
    <row r="249" s="1" customFormat="1" ht="15" customHeight="1" x14ac:dyDescent="0.2"/>
    <row r="250" s="1" customFormat="1" ht="15" customHeight="1" x14ac:dyDescent="0.2"/>
    <row r="251" s="1" customFormat="1" ht="15" customHeight="1" x14ac:dyDescent="0.2"/>
    <row r="252" s="1" customFormat="1" ht="15" customHeight="1" x14ac:dyDescent="0.2"/>
    <row r="253" s="1" customFormat="1" ht="15" customHeight="1" x14ac:dyDescent="0.2"/>
    <row r="254" s="1" customFormat="1" ht="15" customHeight="1" x14ac:dyDescent="0.2"/>
    <row r="255" s="1" customFormat="1" ht="15" customHeight="1" x14ac:dyDescent="0.2"/>
    <row r="256" s="1" customFormat="1" ht="15" customHeight="1" x14ac:dyDescent="0.2"/>
    <row r="257" s="1" customFormat="1" ht="15" customHeight="1" x14ac:dyDescent="0.2"/>
    <row r="258" s="1" customFormat="1" ht="15" customHeight="1" x14ac:dyDescent="0.2"/>
    <row r="259" s="1" customFormat="1" ht="15" customHeight="1" x14ac:dyDescent="0.2"/>
    <row r="260" s="1" customFormat="1" ht="15" customHeight="1" x14ac:dyDescent="0.2"/>
    <row r="261" s="1" customFormat="1" ht="15" customHeight="1" x14ac:dyDescent="0.2"/>
    <row r="262" s="1" customFormat="1" ht="15" customHeight="1" x14ac:dyDescent="0.2"/>
    <row r="263" s="1" customFormat="1" ht="15" customHeight="1" x14ac:dyDescent="0.2"/>
    <row r="264" s="1" customFormat="1" ht="15" customHeight="1" x14ac:dyDescent="0.2"/>
    <row r="265" s="1" customFormat="1" ht="15" customHeight="1" x14ac:dyDescent="0.2"/>
    <row r="266" s="1" customFormat="1" ht="15" customHeight="1" x14ac:dyDescent="0.2"/>
    <row r="267" s="1" customFormat="1" ht="15" customHeight="1" x14ac:dyDescent="0.2"/>
    <row r="268" s="1" customFormat="1" ht="15" customHeight="1" x14ac:dyDescent="0.2"/>
    <row r="269" s="1" customFormat="1" ht="15" customHeight="1" x14ac:dyDescent="0.2"/>
    <row r="270" s="1" customFormat="1" ht="15" customHeight="1" x14ac:dyDescent="0.2"/>
    <row r="271" s="1" customFormat="1" ht="15" customHeight="1" x14ac:dyDescent="0.2"/>
    <row r="272" s="1" customFormat="1" ht="15" customHeight="1" x14ac:dyDescent="0.2"/>
    <row r="273" s="1" customFormat="1" ht="15" customHeight="1" x14ac:dyDescent="0.2"/>
    <row r="274" s="1" customFormat="1" ht="15" customHeight="1" x14ac:dyDescent="0.2"/>
    <row r="275" s="1" customFormat="1" ht="15" customHeight="1" x14ac:dyDescent="0.2"/>
    <row r="276" s="1" customFormat="1" ht="15" customHeight="1" x14ac:dyDescent="0.2"/>
    <row r="277" s="1" customFormat="1" ht="15" customHeight="1" x14ac:dyDescent="0.2"/>
    <row r="278" s="1" customFormat="1" ht="15" customHeight="1" x14ac:dyDescent="0.2"/>
    <row r="279" s="1" customFormat="1" ht="15" customHeight="1" x14ac:dyDescent="0.2"/>
    <row r="280" s="1" customFormat="1" ht="15" customHeight="1" x14ac:dyDescent="0.2"/>
    <row r="281" s="1" customFormat="1" ht="15" customHeight="1" x14ac:dyDescent="0.2"/>
    <row r="282" s="1" customFormat="1" ht="15" customHeight="1" x14ac:dyDescent="0.2"/>
    <row r="283" s="1" customFormat="1" ht="15" customHeight="1" x14ac:dyDescent="0.2"/>
    <row r="284" s="1" customFormat="1" ht="15" customHeight="1" x14ac:dyDescent="0.2"/>
    <row r="285" s="1" customFormat="1" ht="15" customHeight="1" x14ac:dyDescent="0.2"/>
    <row r="286" s="1" customFormat="1" ht="15" customHeight="1" x14ac:dyDescent="0.2"/>
    <row r="287" s="1" customFormat="1" ht="15" customHeight="1" x14ac:dyDescent="0.2"/>
    <row r="288" s="1" customFormat="1" ht="15" customHeight="1" x14ac:dyDescent="0.2"/>
    <row r="289" s="1" customFormat="1" ht="15" customHeight="1" x14ac:dyDescent="0.2"/>
    <row r="290" s="1" customFormat="1" ht="15" customHeight="1" x14ac:dyDescent="0.2"/>
    <row r="291" s="1" customFormat="1" ht="15" customHeight="1" x14ac:dyDescent="0.2"/>
    <row r="292" s="1" customFormat="1" ht="15" customHeight="1" x14ac:dyDescent="0.2"/>
    <row r="293" s="1" customFormat="1" ht="15" customHeight="1" x14ac:dyDescent="0.2"/>
    <row r="294" s="1" customFormat="1" ht="15" customHeight="1" x14ac:dyDescent="0.2"/>
    <row r="295" s="1" customFormat="1" ht="15" customHeight="1" x14ac:dyDescent="0.2"/>
    <row r="296" s="1" customFormat="1" ht="15" customHeight="1" x14ac:dyDescent="0.2"/>
    <row r="297" s="1" customFormat="1" ht="15" customHeight="1" x14ac:dyDescent="0.2"/>
    <row r="298" s="1" customFormat="1" ht="15" customHeight="1" x14ac:dyDescent="0.2"/>
    <row r="299" s="1" customFormat="1" ht="15" customHeight="1" x14ac:dyDescent="0.2"/>
    <row r="300" s="1" customFormat="1" ht="15" customHeight="1" x14ac:dyDescent="0.2"/>
    <row r="301" s="1" customFormat="1" ht="15" customHeight="1" x14ac:dyDescent="0.2"/>
    <row r="302" s="1" customFormat="1" ht="15" customHeight="1" x14ac:dyDescent="0.2"/>
    <row r="303" s="1" customFormat="1" ht="15" customHeight="1" x14ac:dyDescent="0.2"/>
    <row r="304" s="1" customFormat="1" ht="15" customHeight="1" x14ac:dyDescent="0.2"/>
    <row r="305" s="1" customFormat="1" ht="15" customHeight="1" x14ac:dyDescent="0.2"/>
    <row r="306" s="1" customFormat="1" ht="15" customHeight="1" x14ac:dyDescent="0.2"/>
    <row r="307" s="1" customFormat="1" ht="15" customHeight="1" x14ac:dyDescent="0.2"/>
    <row r="308" s="1" customFormat="1" ht="15" customHeight="1" x14ac:dyDescent="0.2"/>
    <row r="309" s="1" customFormat="1" ht="15" customHeight="1" x14ac:dyDescent="0.2"/>
    <row r="310" s="1" customFormat="1" ht="15" customHeight="1" x14ac:dyDescent="0.2"/>
    <row r="311" s="1" customFormat="1" ht="15" customHeight="1" x14ac:dyDescent="0.2"/>
    <row r="312" s="1" customFormat="1" ht="15" customHeight="1" x14ac:dyDescent="0.2"/>
    <row r="313" s="1" customFormat="1" ht="15" customHeight="1" x14ac:dyDescent="0.2"/>
    <row r="314" s="1" customFormat="1" ht="15" customHeight="1" x14ac:dyDescent="0.2"/>
    <row r="315" s="1" customFormat="1" ht="15" customHeight="1" x14ac:dyDescent="0.2"/>
    <row r="316" s="1" customFormat="1" ht="15" customHeight="1" x14ac:dyDescent="0.2"/>
    <row r="317" s="1" customFormat="1" ht="15" customHeight="1" x14ac:dyDescent="0.2"/>
    <row r="318" s="1" customFormat="1" ht="15" customHeight="1" x14ac:dyDescent="0.2"/>
    <row r="319" s="1" customFormat="1" ht="15" customHeight="1" x14ac:dyDescent="0.2"/>
    <row r="320" s="1" customFormat="1" ht="15" customHeight="1" x14ac:dyDescent="0.2"/>
    <row r="321" s="1" customFormat="1" ht="15" customHeight="1" x14ac:dyDescent="0.2"/>
    <row r="322" s="1" customFormat="1" ht="15" customHeight="1" x14ac:dyDescent="0.2"/>
    <row r="323" s="1" customFormat="1" ht="15" customHeight="1" x14ac:dyDescent="0.2"/>
    <row r="324" s="1" customFormat="1" ht="15" customHeight="1" x14ac:dyDescent="0.2"/>
  </sheetData>
  <mergeCells count="3">
    <mergeCell ref="A2:H2"/>
    <mergeCell ref="A1:T1"/>
    <mergeCell ref="M2:T2"/>
  </mergeCells>
  <phoneticPr fontId="7" type="noConversion"/>
  <pageMargins left="0.55118110236220474" right="0.23622047244094491" top="0.27559055118110237" bottom="0.19685039370078741" header="0.19685039370078741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Sheet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Lenovo</cp:lastModifiedBy>
  <cp:lastPrinted>2023-03-27T04:17:33Z</cp:lastPrinted>
  <dcterms:created xsi:type="dcterms:W3CDTF">2017-09-19T08:05:47Z</dcterms:created>
  <dcterms:modified xsi:type="dcterms:W3CDTF">2024-02-27T12:18:26Z</dcterms:modified>
</cp:coreProperties>
</file>