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Website Doc\INEL\"/>
    </mc:Choice>
  </mc:AlternateContent>
  <xr:revisionPtr revIDLastSave="0" documentId="8_{C456DF75-D1B2-481D-9D97-ECF51F1927B1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Summary Sheet" sheetId="1" r:id="rId1"/>
    <sheet name="Peer working" sheetId="3" state="hidden" r:id="rId2"/>
    <sheet name="Peers" sheetId="2" state="hidden" r:id="rId3"/>
  </sheets>
  <definedNames>
    <definedName name="_xlnm.Print_Area" localSheetId="0">'Summary Sheet'!$A$1:$R$85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5" i="1" l="1"/>
  <c r="Q75" i="1"/>
  <c r="P75" i="1"/>
  <c r="O75" i="1"/>
  <c r="G54" i="1"/>
  <c r="G75" i="1"/>
  <c r="G21" i="1" l="1"/>
  <c r="S60" i="1" l="1"/>
  <c r="S88" i="1" s="1"/>
  <c r="R60" i="1"/>
  <c r="Q60" i="1"/>
  <c r="Q88" i="1" s="1"/>
  <c r="AE88" i="1" s="1"/>
  <c r="P60" i="1"/>
  <c r="O60" i="1"/>
  <c r="AF94" i="1"/>
  <c r="AE94" i="1"/>
  <c r="AD94" i="1"/>
  <c r="AC94" i="1"/>
  <c r="AB94" i="1"/>
  <c r="AB93" i="1"/>
  <c r="AF92" i="1"/>
  <c r="AE92" i="1"/>
  <c r="AD92" i="1"/>
  <c r="AC92" i="1"/>
  <c r="AB92" i="1"/>
  <c r="AB91" i="1"/>
  <c r="AF90" i="1"/>
  <c r="AE90" i="1"/>
  <c r="AD90" i="1"/>
  <c r="AC90" i="1"/>
  <c r="AB90" i="1"/>
  <c r="AF89" i="1"/>
  <c r="AE89" i="1"/>
  <c r="AD89" i="1"/>
  <c r="AC89" i="1"/>
  <c r="AB89" i="1"/>
  <c r="AB88" i="1"/>
  <c r="AF87" i="1"/>
  <c r="AE87" i="1"/>
  <c r="AD87" i="1"/>
  <c r="AC87" i="1"/>
  <c r="AB87" i="1"/>
  <c r="AF84" i="1"/>
  <c r="AE84" i="1"/>
  <c r="AD84" i="1"/>
  <c r="AC84" i="1"/>
  <c r="AB84" i="1"/>
  <c r="AB83" i="1"/>
  <c r="AF82" i="1"/>
  <c r="AE82" i="1"/>
  <c r="AD82" i="1"/>
  <c r="AC82" i="1"/>
  <c r="AB82" i="1"/>
  <c r="AF81" i="1"/>
  <c r="AE81" i="1"/>
  <c r="AD81" i="1"/>
  <c r="AC81" i="1"/>
  <c r="AB81" i="1"/>
  <c r="AF80" i="1"/>
  <c r="AE80" i="1"/>
  <c r="AD80" i="1"/>
  <c r="AC80" i="1"/>
  <c r="AB80" i="1"/>
  <c r="AF79" i="1"/>
  <c r="AE79" i="1"/>
  <c r="AD79" i="1"/>
  <c r="AC79" i="1"/>
  <c r="AB79" i="1"/>
  <c r="AF78" i="1"/>
  <c r="AE78" i="1"/>
  <c r="AD78" i="1"/>
  <c r="AC78" i="1"/>
  <c r="AB78" i="1"/>
  <c r="AF77" i="1"/>
  <c r="AE77" i="1"/>
  <c r="AD77" i="1"/>
  <c r="AC77" i="1"/>
  <c r="AB77" i="1"/>
  <c r="AF76" i="1"/>
  <c r="AE76" i="1"/>
  <c r="AD76" i="1"/>
  <c r="AC76" i="1"/>
  <c r="AB76" i="1"/>
  <c r="AB75" i="1"/>
  <c r="AF74" i="1"/>
  <c r="AE74" i="1"/>
  <c r="AD74" i="1"/>
  <c r="AC74" i="1"/>
  <c r="AB74" i="1"/>
  <c r="AF73" i="1"/>
  <c r="AE73" i="1"/>
  <c r="AD73" i="1"/>
  <c r="AC73" i="1"/>
  <c r="AB73" i="1"/>
  <c r="AF72" i="1"/>
  <c r="AE72" i="1"/>
  <c r="AD72" i="1"/>
  <c r="AC72" i="1"/>
  <c r="AB72" i="1"/>
  <c r="AF71" i="1"/>
  <c r="AE71" i="1"/>
  <c r="AD71" i="1"/>
  <c r="AC71" i="1"/>
  <c r="AB71" i="1"/>
  <c r="AF70" i="1"/>
  <c r="AE70" i="1"/>
  <c r="AD70" i="1"/>
  <c r="AC70" i="1"/>
  <c r="AB70" i="1"/>
  <c r="AF69" i="1"/>
  <c r="AE69" i="1"/>
  <c r="AD69" i="1"/>
  <c r="AC69" i="1"/>
  <c r="AB69" i="1"/>
  <c r="AF68" i="1"/>
  <c r="AE68" i="1"/>
  <c r="AD68" i="1"/>
  <c r="AC68" i="1"/>
  <c r="AB68" i="1"/>
  <c r="AH67" i="1"/>
  <c r="AG67" i="1"/>
  <c r="AF67" i="1"/>
  <c r="AE67" i="1"/>
  <c r="AD67" i="1"/>
  <c r="AC67" i="1"/>
  <c r="AB67" i="1"/>
  <c r="N60" i="1"/>
  <c r="N88" i="1" s="1"/>
  <c r="R94" i="1"/>
  <c r="Q94" i="1"/>
  <c r="P94" i="1"/>
  <c r="O94" i="1"/>
  <c r="N94" i="1"/>
  <c r="S92" i="1"/>
  <c r="R92" i="1"/>
  <c r="Q92" i="1"/>
  <c r="P92" i="1"/>
  <c r="O92" i="1"/>
  <c r="N92" i="1"/>
  <c r="S90" i="1"/>
  <c r="R90" i="1"/>
  <c r="Q90" i="1"/>
  <c r="P90" i="1"/>
  <c r="O90" i="1"/>
  <c r="N90" i="1"/>
  <c r="S89" i="1"/>
  <c r="R89" i="1"/>
  <c r="Q89" i="1"/>
  <c r="P89" i="1"/>
  <c r="O89" i="1"/>
  <c r="N89" i="1"/>
  <c r="R88" i="1"/>
  <c r="AF88" i="1" s="1"/>
  <c r="P88" i="1"/>
  <c r="AD88" i="1" s="1"/>
  <c r="O88" i="1"/>
  <c r="AC88" i="1" s="1"/>
  <c r="S87" i="1"/>
  <c r="R87" i="1"/>
  <c r="Q87" i="1"/>
  <c r="P87" i="1"/>
  <c r="O87" i="1"/>
  <c r="O91" i="1" s="1"/>
  <c r="AC91" i="1" s="1"/>
  <c r="N87" i="1"/>
  <c r="F17" i="1"/>
  <c r="F11" i="1" s="1"/>
  <c r="F7" i="1"/>
  <c r="Q91" i="1" l="1"/>
  <c r="AE91" i="1" s="1"/>
  <c r="P91" i="1"/>
  <c r="AD91" i="1" s="1"/>
  <c r="R91" i="1"/>
  <c r="S91" i="1"/>
  <c r="S93" i="1" s="1"/>
  <c r="N91" i="1"/>
  <c r="N93" i="1" s="1"/>
  <c r="O93" i="1"/>
  <c r="AC93" i="1" s="1"/>
  <c r="R93" i="1" l="1"/>
  <c r="AF93" i="1" s="1"/>
  <c r="AF91" i="1"/>
  <c r="P93" i="1"/>
  <c r="AD93" i="1" s="1"/>
  <c r="Q93" i="1"/>
  <c r="AE93" i="1" s="1"/>
  <c r="G11" i="1" l="1"/>
  <c r="G18" i="1" s="1"/>
  <c r="R79" i="1"/>
  <c r="R82" i="1" s="1"/>
  <c r="S69" i="1"/>
  <c r="S71" i="1"/>
  <c r="G8" i="1"/>
  <c r="S48" i="1"/>
  <c r="S22" i="1"/>
  <c r="S62" i="1"/>
  <c r="S34" i="1"/>
  <c r="R78" i="1"/>
  <c r="M68" i="1"/>
  <c r="S8" i="1"/>
  <c r="S13" i="1" s="1"/>
  <c r="G62" i="1"/>
  <c r="G60" i="1"/>
  <c r="G56" i="1"/>
  <c r="G49" i="1"/>
  <c r="S14" i="1" l="1"/>
  <c r="S63" i="1"/>
  <c r="S61" i="1"/>
  <c r="F74" i="1"/>
  <c r="G71" i="1" l="1"/>
  <c r="F71" i="1"/>
  <c r="E71" i="1"/>
  <c r="D71" i="1"/>
  <c r="C71" i="1"/>
  <c r="B71" i="1"/>
  <c r="F75" i="1"/>
  <c r="E75" i="1"/>
  <c r="D75" i="1"/>
  <c r="C75" i="1"/>
  <c r="B75" i="1"/>
  <c r="D7" i="1" l="1"/>
  <c r="E7" i="1"/>
  <c r="E8" i="1" s="1"/>
  <c r="B7" i="1"/>
  <c r="B17" i="1"/>
  <c r="C17" i="1"/>
  <c r="C7" i="1"/>
  <c r="D17" i="1"/>
  <c r="E17" i="1"/>
  <c r="N79" i="1"/>
  <c r="O81" i="1"/>
  <c r="P81" i="1"/>
  <c r="Q81" i="1"/>
  <c r="R81" i="1"/>
  <c r="N81" i="1"/>
  <c r="O22" i="1"/>
  <c r="N22" i="1"/>
  <c r="G63" i="1"/>
  <c r="E55" i="1"/>
  <c r="Q79" i="1"/>
  <c r="P79" i="1"/>
  <c r="O79" i="1"/>
  <c r="P78" i="1"/>
  <c r="Q78" i="1"/>
  <c r="O78" i="1"/>
  <c r="N78" i="1"/>
  <c r="R68" i="1" l="1"/>
  <c r="R71" i="1" s="1"/>
  <c r="Q68" i="1"/>
  <c r="Q71" i="1" s="1"/>
  <c r="P68" i="1"/>
  <c r="P71" i="1" s="1"/>
  <c r="O68" i="1"/>
  <c r="O71" i="1" s="1"/>
  <c r="N68" i="1"/>
  <c r="N71" i="1" s="1"/>
  <c r="R48" i="1"/>
  <c r="Q48" i="1"/>
  <c r="R22" i="1"/>
  <c r="Q22" i="1"/>
  <c r="R8" i="1"/>
  <c r="R13" i="1" s="1"/>
  <c r="Q8" i="1"/>
  <c r="Q13" i="1" s="1"/>
  <c r="F60" i="1"/>
  <c r="E60" i="1"/>
  <c r="F62" i="1"/>
  <c r="E62" i="1"/>
  <c r="F54" i="1"/>
  <c r="F56" i="1" s="1"/>
  <c r="E54" i="1"/>
  <c r="E56" i="1" s="1"/>
  <c r="F49" i="1"/>
  <c r="E49" i="1"/>
  <c r="E40" i="1"/>
  <c r="F40" i="1"/>
  <c r="F39" i="1"/>
  <c r="E39" i="1"/>
  <c r="F26" i="1"/>
  <c r="E26" i="1"/>
  <c r="F18" i="1"/>
  <c r="E11" i="1"/>
  <c r="E18" i="1" s="1"/>
  <c r="E21" i="1" s="1"/>
  <c r="F8" i="1"/>
  <c r="F21" i="1" l="1"/>
  <c r="F20" i="1"/>
  <c r="R62" i="1"/>
  <c r="E24" i="1"/>
  <c r="E32" i="1" s="1"/>
  <c r="E33" i="1" s="1"/>
  <c r="F9" i="1"/>
  <c r="R69" i="1"/>
  <c r="R72" i="1" s="1"/>
  <c r="F19" i="1"/>
  <c r="F24" i="1"/>
  <c r="F32" i="1" s="1"/>
  <c r="Q69" i="1"/>
  <c r="Q72" i="1" s="1"/>
  <c r="Q62" i="1"/>
  <c r="O48" i="1"/>
  <c r="B62" i="1"/>
  <c r="C62" i="1"/>
  <c r="D62" i="1"/>
  <c r="B49" i="1"/>
  <c r="B50" i="1" s="1"/>
  <c r="D26" i="1"/>
  <c r="D8" i="1"/>
  <c r="E9" i="1" s="1"/>
  <c r="P26" i="1"/>
  <c r="B11" i="1"/>
  <c r="B26" i="1"/>
  <c r="C34" i="1"/>
  <c r="AC47" i="1"/>
  <c r="AC50" i="1" s="1"/>
  <c r="AG42" i="1"/>
  <c r="C11" i="1"/>
  <c r="C18" i="1" s="1"/>
  <c r="C21" i="1" s="1"/>
  <c r="N26" i="1"/>
  <c r="O26" i="1"/>
  <c r="Q26" i="1"/>
  <c r="R26" i="1"/>
  <c r="R34" i="1" s="1"/>
  <c r="R61" i="1" s="1"/>
  <c r="B8" i="1"/>
  <c r="E10" i="1" s="1"/>
  <c r="B54" i="1"/>
  <c r="B60" i="1"/>
  <c r="B61" i="1"/>
  <c r="C55" i="1"/>
  <c r="D55" i="1"/>
  <c r="E35" i="1" l="1"/>
  <c r="E31" i="1"/>
  <c r="F33" i="1"/>
  <c r="F35" i="1"/>
  <c r="R80" i="1"/>
  <c r="Q34" i="1"/>
  <c r="F31" i="1"/>
  <c r="P34" i="1"/>
  <c r="Q80" i="1"/>
  <c r="Q82" i="1" s="1"/>
  <c r="O34" i="1"/>
  <c r="P80" i="1"/>
  <c r="P82" i="1" s="1"/>
  <c r="N34" i="1"/>
  <c r="O80" i="1"/>
  <c r="O82" i="1" s="1"/>
  <c r="N80" i="1"/>
  <c r="N82" i="1" s="1"/>
  <c r="B18" i="1"/>
  <c r="B63" i="1"/>
  <c r="D11" i="1"/>
  <c r="P22" i="1"/>
  <c r="E20" i="1" l="1"/>
  <c r="B21" i="1"/>
  <c r="N73" i="1"/>
  <c r="F36" i="1"/>
  <c r="Q61" i="1"/>
  <c r="R83" i="1" s="1"/>
  <c r="AF83" i="1" s="1"/>
  <c r="C19" i="1"/>
  <c r="Q14" i="1"/>
  <c r="D18" i="1"/>
  <c r="B24" i="1"/>
  <c r="D21" i="1" l="1"/>
  <c r="D24" i="1"/>
  <c r="E19" i="1"/>
  <c r="B32" i="1"/>
  <c r="B31" i="1"/>
  <c r="R12" i="1"/>
  <c r="B35" i="1" l="1"/>
  <c r="E37" i="1" s="1"/>
  <c r="R76" i="1"/>
  <c r="R77" i="1"/>
  <c r="R63" i="1"/>
  <c r="D32" i="1"/>
  <c r="D33" i="1" s="1"/>
  <c r="B33" i="1"/>
  <c r="F61" i="1"/>
  <c r="F63" i="1" s="1"/>
  <c r="R73" i="1" s="1"/>
  <c r="D39" i="1"/>
  <c r="R14" i="1" l="1"/>
  <c r="AF75" i="1" s="1"/>
  <c r="R74" i="1" l="1"/>
  <c r="Q12" i="1" l="1"/>
  <c r="D60" i="1"/>
  <c r="C60" i="1"/>
  <c r="Q77" i="1" l="1"/>
  <c r="Q76" i="1"/>
  <c r="Q63" i="1"/>
  <c r="AE75" i="1"/>
  <c r="E61" i="1"/>
  <c r="E63" i="1" s="1"/>
  <c r="Q73" i="1" s="1"/>
  <c r="P48" i="1"/>
  <c r="P8" i="1"/>
  <c r="P76" i="1" l="1"/>
  <c r="P13" i="1"/>
  <c r="P77" i="1"/>
  <c r="P69" i="1"/>
  <c r="P72" i="1" s="1"/>
  <c r="P62" i="1"/>
  <c r="P14" i="1" s="1"/>
  <c r="AD75" i="1" s="1"/>
  <c r="D61" i="1"/>
  <c r="P63" i="1"/>
  <c r="P61" i="1"/>
  <c r="Q83" i="1" s="1"/>
  <c r="AE83" i="1" s="1"/>
  <c r="D54" i="1"/>
  <c r="D56" i="1" s="1"/>
  <c r="D49" i="1"/>
  <c r="C39" i="1" l="1"/>
  <c r="K18" i="3" l="1"/>
  <c r="K17" i="3"/>
  <c r="K16" i="3"/>
  <c r="K14" i="3"/>
  <c r="K12" i="3"/>
  <c r="K11" i="3"/>
  <c r="K10" i="3"/>
  <c r="K9" i="3"/>
  <c r="K5" i="3"/>
  <c r="M20" i="3"/>
  <c r="L20" i="3"/>
  <c r="J20" i="3"/>
  <c r="J18" i="3"/>
  <c r="J8" i="3"/>
  <c r="K79" i="1"/>
  <c r="I16" i="3"/>
  <c r="I14" i="3"/>
  <c r="I12" i="3"/>
  <c r="K20" i="3" l="1"/>
  <c r="I6" i="3"/>
  <c r="I7" i="3"/>
  <c r="D25" i="3"/>
  <c r="D24" i="3"/>
  <c r="D26" i="3" s="1"/>
  <c r="D21" i="3"/>
  <c r="D22" i="3"/>
  <c r="D19" i="3"/>
  <c r="D18" i="3"/>
  <c r="D16" i="3"/>
  <c r="D15" i="3"/>
  <c r="D12" i="3"/>
  <c r="D9" i="3"/>
  <c r="D6" i="3"/>
  <c r="D5" i="3"/>
  <c r="D11" i="3" s="1"/>
  <c r="I8" i="3" l="1"/>
  <c r="C26" i="3"/>
  <c r="C11" i="3"/>
  <c r="B28" i="3" l="1"/>
  <c r="B19" i="3"/>
  <c r="B18" i="3"/>
  <c r="B16" i="3"/>
  <c r="B15" i="3"/>
  <c r="F13" i="3"/>
  <c r="E13" i="3"/>
  <c r="D13" i="3"/>
  <c r="C13" i="3"/>
  <c r="B6" i="3"/>
  <c r="B5" i="3"/>
  <c r="F7" i="3"/>
  <c r="E7" i="3"/>
  <c r="D7" i="3"/>
  <c r="C7" i="3"/>
  <c r="J48" i="1"/>
  <c r="J60" i="1"/>
  <c r="J62" i="1" l="1"/>
  <c r="B7" i="3"/>
  <c r="J61" i="1" l="1"/>
  <c r="J22" i="1"/>
  <c r="J34" i="1"/>
  <c r="J12" i="1"/>
  <c r="J8" i="1"/>
  <c r="J13" i="1" s="1"/>
  <c r="J14" i="1" l="1"/>
  <c r="J63" i="1"/>
  <c r="M79" i="1" l="1"/>
  <c r="L79" i="1"/>
  <c r="C54" i="1"/>
  <c r="C56" i="1" s="1"/>
  <c r="C49" i="1" l="1"/>
  <c r="L68" i="1"/>
  <c r="K68" i="1"/>
  <c r="M34" i="1"/>
  <c r="L34" i="1"/>
  <c r="K34" i="1"/>
  <c r="M22" i="1"/>
  <c r="L22" i="1"/>
  <c r="K22" i="1"/>
  <c r="C61" i="1"/>
  <c r="M12" i="1"/>
  <c r="L12" i="1"/>
  <c r="K12" i="1"/>
  <c r="O8" i="1"/>
  <c r="N8" i="1"/>
  <c r="M8" i="1"/>
  <c r="L8" i="1"/>
  <c r="K8" i="1"/>
  <c r="O13" i="1" l="1"/>
  <c r="I9" i="3" s="1"/>
  <c r="O77" i="1"/>
  <c r="O69" i="1"/>
  <c r="O72" i="1" s="1"/>
  <c r="O76" i="1"/>
  <c r="N13" i="1"/>
  <c r="N76" i="1"/>
  <c r="N69" i="1"/>
  <c r="N72" i="1" s="1"/>
  <c r="N77" i="1"/>
  <c r="N74" i="1"/>
  <c r="K84" i="1"/>
  <c r="L84" i="1"/>
  <c r="M84" i="1"/>
  <c r="I5" i="3"/>
  <c r="D63" i="1"/>
  <c r="P73" i="1" s="1"/>
  <c r="M13" i="1"/>
  <c r="M69" i="1"/>
  <c r="M72" i="1" s="1"/>
  <c r="K76" i="1"/>
  <c r="K77" i="1"/>
  <c r="C63" i="1"/>
  <c r="O73" i="1" s="1"/>
  <c r="K71" i="1"/>
  <c r="K78" i="1"/>
  <c r="L77" i="1"/>
  <c r="L76" i="1"/>
  <c r="L71" i="1"/>
  <c r="L78" i="1"/>
  <c r="L13" i="1"/>
  <c r="L69" i="1"/>
  <c r="L72" i="1" s="1"/>
  <c r="K13" i="1"/>
  <c r="K69" i="1"/>
  <c r="K72" i="1" s="1"/>
  <c r="M77" i="1"/>
  <c r="M76" i="1"/>
  <c r="M71" i="1"/>
  <c r="M78" i="1"/>
  <c r="K63" i="1"/>
  <c r="L63" i="1"/>
  <c r="M63" i="1"/>
  <c r="C50" i="1"/>
  <c r="M60" i="1"/>
  <c r="M61" i="1" s="1"/>
  <c r="L60" i="1"/>
  <c r="L61" i="1" s="1"/>
  <c r="L48" i="1"/>
  <c r="K60" i="1"/>
  <c r="K61" i="1" s="1"/>
  <c r="K48" i="1"/>
  <c r="M48" i="1"/>
  <c r="I10" i="3"/>
  <c r="N48" i="1"/>
  <c r="D45" i="1" l="1"/>
  <c r="D50" i="1" s="1"/>
  <c r="E45" i="1" s="1"/>
  <c r="E50" i="1" s="1"/>
  <c r="F50" i="1" s="1"/>
  <c r="I11" i="3"/>
  <c r="O61" i="1"/>
  <c r="P83" i="1" s="1"/>
  <c r="AD83" i="1" s="1"/>
  <c r="I18" i="3"/>
  <c r="N63" i="1"/>
  <c r="M62" i="1"/>
  <c r="N62" i="1"/>
  <c r="N14" i="1" s="1"/>
  <c r="K62" i="1"/>
  <c r="O62" i="1"/>
  <c r="L62" i="1"/>
  <c r="O63" i="1" l="1"/>
  <c r="I17" i="3"/>
  <c r="I20" i="3" s="1"/>
  <c r="N61" i="1"/>
  <c r="O14" i="1"/>
  <c r="AC75" i="1" s="1"/>
  <c r="K14" i="1"/>
  <c r="N75" i="1"/>
  <c r="L14" i="1"/>
  <c r="M14" i="1"/>
  <c r="O83" i="1" l="1"/>
  <c r="AC83" i="1" s="1"/>
  <c r="N83" i="1"/>
  <c r="C26" i="1"/>
  <c r="C8" i="1"/>
  <c r="F10" i="1" s="1"/>
  <c r="C9" i="1" l="1"/>
  <c r="D9" i="1"/>
  <c r="B9" i="3"/>
  <c r="L83" i="1"/>
  <c r="M83" i="1"/>
  <c r="K80" i="1"/>
  <c r="K81" i="1"/>
  <c r="L80" i="1"/>
  <c r="L81" i="1"/>
  <c r="M81" i="1"/>
  <c r="M80" i="1"/>
  <c r="C24" i="1" l="1"/>
  <c r="C32" i="1" s="1"/>
  <c r="C33" i="1" s="1"/>
  <c r="M75" i="1"/>
  <c r="L75" i="1"/>
  <c r="K82" i="1"/>
  <c r="B11" i="3"/>
  <c r="B12" i="3"/>
  <c r="M82" i="1"/>
  <c r="L82" i="1"/>
  <c r="M74" i="1"/>
  <c r="M73" i="1"/>
  <c r="L73" i="1"/>
  <c r="Q74" i="1"/>
  <c r="B13" i="3" l="1"/>
  <c r="B22" i="3"/>
  <c r="C31" i="1"/>
  <c r="B21" i="3"/>
  <c r="O74" i="1" l="1"/>
  <c r="B24" i="3"/>
  <c r="L74" i="1"/>
  <c r="B25" i="3"/>
  <c r="K83" i="1"/>
  <c r="C35" i="1"/>
  <c r="F37" i="1" s="1"/>
  <c r="K74" i="1" l="1"/>
  <c r="K75" i="1"/>
  <c r="K73" i="1"/>
  <c r="C36" i="1"/>
  <c r="B26" i="3"/>
  <c r="D31" i="1" l="1"/>
  <c r="D35" i="1"/>
  <c r="D36" i="1" l="1"/>
  <c r="E36" i="1"/>
  <c r="P74" i="1"/>
  <c r="D19" i="1"/>
  <c r="G24" i="1" l="1"/>
  <c r="G32" i="1" s="1"/>
  <c r="G35" i="1" l="1"/>
  <c r="S94" i="1"/>
  <c r="G31" i="1"/>
  <c r="G33" i="1" l="1"/>
</calcChain>
</file>

<file path=xl/sharedStrings.xml><?xml version="1.0" encoding="utf-8"?>
<sst xmlns="http://schemas.openxmlformats.org/spreadsheetml/2006/main" count="337" uniqueCount="216">
  <si>
    <t>Income Statement</t>
  </si>
  <si>
    <t>Y/E, Mar (Rs. mn)</t>
  </si>
  <si>
    <t>FY16</t>
  </si>
  <si>
    <t>FY17</t>
  </si>
  <si>
    <t>FY18</t>
  </si>
  <si>
    <t>FY19</t>
  </si>
  <si>
    <t>FY20</t>
  </si>
  <si>
    <t>Net Income</t>
  </si>
  <si>
    <t>Growth (%)</t>
  </si>
  <si>
    <t>CAGR (%) - 3 Years</t>
  </si>
  <si>
    <t>Expenditure</t>
  </si>
  <si>
    <t>Cost of materials consumed</t>
  </si>
  <si>
    <t>Other Expenses</t>
  </si>
  <si>
    <t>EBITDA</t>
  </si>
  <si>
    <t>EBITDA margin (%)</t>
  </si>
  <si>
    <t>Depreciation</t>
  </si>
  <si>
    <t>Other Income</t>
  </si>
  <si>
    <t>PBT</t>
  </si>
  <si>
    <t>Effective tax rate (%)</t>
  </si>
  <si>
    <t>PAT</t>
  </si>
  <si>
    <t>PAT margin (%)</t>
  </si>
  <si>
    <t>Other Comprehensive Income</t>
  </si>
  <si>
    <t>EPS</t>
  </si>
  <si>
    <t>Y/E, Mar (Rs. Mn)</t>
  </si>
  <si>
    <t>Purchase of stock-in-trade</t>
  </si>
  <si>
    <t>Changes in Inventory of finished goods, work in progress and stock in trade</t>
  </si>
  <si>
    <t>Finance Cost</t>
  </si>
  <si>
    <t>Current Tax</t>
  </si>
  <si>
    <t>Deferred Tax</t>
  </si>
  <si>
    <t>Tax Expenses</t>
  </si>
  <si>
    <t>(A) Share Capital</t>
  </si>
  <si>
    <t>(B) Other Equity</t>
  </si>
  <si>
    <t>Non Controlling Interest</t>
  </si>
  <si>
    <t>Non Current Liabilities</t>
  </si>
  <si>
    <t>(A) Financial Liabilities</t>
  </si>
  <si>
    <t>(i) Borrowings</t>
  </si>
  <si>
    <t>(B) Provisions</t>
  </si>
  <si>
    <t>(C) Deferred tax liabilities (Net)</t>
  </si>
  <si>
    <t>Total - Non – Current Liabilities</t>
  </si>
  <si>
    <t>Current Liabilities</t>
  </si>
  <si>
    <t>Financial Liabilities</t>
  </si>
  <si>
    <t>(ii) Trade Payables</t>
  </si>
  <si>
    <t>(iii) Other Financial Liabilities</t>
  </si>
  <si>
    <t>(D) Other current liabilities</t>
  </si>
  <si>
    <t>(E) Provisions</t>
  </si>
  <si>
    <t>(F) Current tax liabilities (Net)</t>
  </si>
  <si>
    <t>Total – Current Liabilities</t>
  </si>
  <si>
    <t>Total Equity and Liabilities</t>
  </si>
  <si>
    <t>(A) Property plant &amp; Equipment</t>
  </si>
  <si>
    <t xml:space="preserve">(B) Capital Work in Progress </t>
  </si>
  <si>
    <t>(i) Investments</t>
  </si>
  <si>
    <t>(ii) Other financial assets</t>
  </si>
  <si>
    <t>Total - Non – Current Assets</t>
  </si>
  <si>
    <t>Current Assets</t>
  </si>
  <si>
    <t>(A) Inventories</t>
  </si>
  <si>
    <t>(B) Financial assets</t>
  </si>
  <si>
    <t>(ii) Trade receivables</t>
  </si>
  <si>
    <t>iii. Cash and cash equivalents</t>
  </si>
  <si>
    <t>iv. Bank balances other than (iii) above</t>
  </si>
  <si>
    <t>(D) Current Tax Assets (Net)</t>
  </si>
  <si>
    <t>Total current assets</t>
  </si>
  <si>
    <t>Total Assets</t>
  </si>
  <si>
    <t xml:space="preserve">Assets (INR Mn) </t>
  </si>
  <si>
    <t>Networth/Shareholders Fund/ Book Value</t>
  </si>
  <si>
    <t>Long Term Debt</t>
  </si>
  <si>
    <t>Short Term Debt</t>
  </si>
  <si>
    <t>Loans</t>
  </si>
  <si>
    <t>Capital Employed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</si>
  <si>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</si>
  <si>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</si>
  <si>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</si>
  <si>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</si>
  <si>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</si>
  <si>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</si>
  <si>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</si>
  <si>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</si>
  <si>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</si>
  <si>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</si>
  <si>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</si>
  <si>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</si>
  <si>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</si>
  <si>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</si>
  <si>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</si>
  <si>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</si>
  <si>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</si>
  <si>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</si>
  <si>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</si>
  <si>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</si>
  <si>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Cash Flow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</si>
  <si>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</si>
  <si>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</si>
  <si>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</si>
  <si>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</si>
  <si>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</si>
  <si>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</si>
  <si>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</si>
  <si>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</si>
  <si>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</si>
  <si>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</si>
  <si>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No. of Shares</t>
  </si>
  <si>
    <t>Market Cap</t>
  </si>
  <si>
    <t>Total Debt</t>
  </si>
  <si>
    <t>Cash</t>
  </si>
  <si>
    <t>EV</t>
  </si>
  <si>
    <t>FY15</t>
  </si>
  <si>
    <t>Net Working Capital</t>
  </si>
  <si>
    <t>INR Mn</t>
  </si>
  <si>
    <t>P&amp;L Comparision</t>
  </si>
  <si>
    <t>Total Income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</si>
  <si>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</si>
  <si>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</si>
  <si>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</si>
  <si>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</si>
  <si>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</si>
  <si>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</si>
  <si>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</si>
  <si>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</si>
  <si>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</t>
  </si>
  <si>
    <t>Stock P/E</t>
  </si>
  <si>
    <t>Price/Book Value</t>
  </si>
  <si>
    <t>EV/ EBITDA</t>
  </si>
  <si>
    <t>OPERATIONAL RATIOS COMPARISION</t>
  </si>
  <si>
    <t>CMP (As on 31.03.2020)</t>
  </si>
  <si>
    <t>Book Value</t>
  </si>
  <si>
    <t>Book Value per Share</t>
  </si>
  <si>
    <t>ROE</t>
  </si>
  <si>
    <t>ROCE</t>
  </si>
  <si>
    <t>Fixed Asset Turnover</t>
  </si>
  <si>
    <t>Receivable days</t>
  </si>
  <si>
    <t>Payable days</t>
  </si>
  <si>
    <t>Cash Conversion Cycle</t>
  </si>
  <si>
    <t>Gross Debt/Equity</t>
  </si>
  <si>
    <t>Net Debt/Equity</t>
  </si>
  <si>
    <t>Interest Coverage Ratio</t>
  </si>
  <si>
    <t>Interest Cost (%)</t>
  </si>
  <si>
    <t>ACE</t>
  </si>
  <si>
    <t>Escorts</t>
  </si>
  <si>
    <t>BEML</t>
  </si>
  <si>
    <t>CAGR 3 YRS</t>
  </si>
  <si>
    <t>VST Tillers</t>
  </si>
  <si>
    <t>M&amp;M</t>
  </si>
  <si>
    <t>Balance Sheet</t>
  </si>
  <si>
    <t>Net Worth</t>
  </si>
  <si>
    <t>Non Current Asset</t>
  </si>
  <si>
    <t>Current Asset</t>
  </si>
  <si>
    <t>Cash &amp; Bank Balances</t>
  </si>
  <si>
    <t>Current Liabilites</t>
  </si>
  <si>
    <t>NET CURRENT ASSETS</t>
  </si>
  <si>
    <t>Asset T/O ratio</t>
  </si>
  <si>
    <t>DPS</t>
  </si>
  <si>
    <t>EBITDA 2020</t>
  </si>
  <si>
    <t>EBITDA 2017</t>
  </si>
  <si>
    <t>Depreciation 2020</t>
  </si>
  <si>
    <t>Interest 2020</t>
  </si>
  <si>
    <t>Depreciation 2017</t>
  </si>
  <si>
    <t>Interest 2017</t>
  </si>
  <si>
    <t>PBT 2020</t>
  </si>
  <si>
    <t>PBT 2017</t>
  </si>
  <si>
    <t>PAT 2020</t>
  </si>
  <si>
    <t>PAT 2017</t>
  </si>
  <si>
    <t>EPS 2020</t>
  </si>
  <si>
    <t>Long term loans and advances</t>
  </si>
  <si>
    <t>Income 2020</t>
  </si>
  <si>
    <t>Income 2017</t>
  </si>
  <si>
    <t>Inventories 2020</t>
  </si>
  <si>
    <t>Inventories 2017</t>
  </si>
  <si>
    <t>Sundry Debtors 2020</t>
  </si>
  <si>
    <t>Sundry Debtors 2017</t>
  </si>
  <si>
    <t>Trade Payables 2020</t>
  </si>
  <si>
    <t>Trade Payables 2017</t>
  </si>
  <si>
    <t>Particulars</t>
  </si>
  <si>
    <t>FY21</t>
  </si>
  <si>
    <t>FY22</t>
  </si>
  <si>
    <t>(C) Right of use asset</t>
  </si>
  <si>
    <t>(vi) Other current financial assets</t>
  </si>
  <si>
    <t>(D) Investment properties</t>
  </si>
  <si>
    <t>(E) Intangible assets</t>
  </si>
  <si>
    <t>(F) Financial assets</t>
  </si>
  <si>
    <t>(G) Other non-current assets</t>
  </si>
  <si>
    <t>(H) Non-current tax assets (Net)</t>
  </si>
  <si>
    <t>(ii) Lease liabilities</t>
  </si>
  <si>
    <t>(iv) Lease liabilities</t>
  </si>
  <si>
    <t>TTM EPS</t>
  </si>
  <si>
    <t>Based on TTM</t>
  </si>
  <si>
    <t>FY23</t>
  </si>
  <si>
    <t xml:space="preserve">    -</t>
  </si>
  <si>
    <t xml:space="preserve">  -</t>
  </si>
  <si>
    <t xml:space="preserve"> </t>
  </si>
  <si>
    <t xml:space="preserve">   </t>
  </si>
  <si>
    <t>(v) Assets classified as held for sale</t>
  </si>
  <si>
    <t xml:space="preserve">India Nippon Electricals Ltd. (Consolidated) </t>
  </si>
  <si>
    <t>Other current assets</t>
  </si>
  <si>
    <t>Revenue from Operations</t>
  </si>
  <si>
    <t>Other Operating Expenses</t>
  </si>
  <si>
    <t>Employee Benefit Expenses</t>
  </si>
  <si>
    <t>Share of Net (Loss) of Associate &amp; Others</t>
  </si>
  <si>
    <t>Total Comprehensive Income</t>
  </si>
  <si>
    <t>Income tax relating to earlier year</t>
  </si>
  <si>
    <t>Deferred tax relating to earlier years</t>
  </si>
  <si>
    <t>Adjustments for EBITDTA Operations)</t>
  </si>
  <si>
    <t>Investment written off (included in other expenses)</t>
  </si>
  <si>
    <t>Net gain on foreign currency transactions (included in other income)</t>
  </si>
  <si>
    <t>VAT provision reversal (included in other income)</t>
  </si>
  <si>
    <t>Derecognition of RoU (included in other income)</t>
  </si>
  <si>
    <t>To be excluded from other income</t>
  </si>
  <si>
    <t>To be excluded from other expenses</t>
  </si>
  <si>
    <t>H1-FY24</t>
  </si>
  <si>
    <t>9M-FY24</t>
  </si>
  <si>
    <t>Capital employed (operations)</t>
  </si>
  <si>
    <t>Non-current assets</t>
  </si>
  <si>
    <t>Current assets</t>
  </si>
  <si>
    <t>Current liabilities</t>
  </si>
  <si>
    <t>Loans/Borrowings</t>
  </si>
  <si>
    <t>EBITDA (operations)</t>
  </si>
  <si>
    <t>NA</t>
  </si>
  <si>
    <t>5.12.23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</si>
</sst>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9">
    <xf numFmtId="0" fontId="0" fillId="0" borderId="0" xfId="0"/>
    <xf numFmtId="0" fontId="3" fillId="0" borderId="1" xfId="0" applyFont="1" applyBorder="1"/>
    <xf numFmtId="0" fontId="0" fillId="0" borderId="1" xfId="0" applyBorder="1"/>
    <xf numFmtId="2" fontId="3" fillId="0" borderId="1" xfId="0" applyNumberFormat="1" applyFont="1" applyBorder="1"/>
    <xf numFmtId="2" fontId="0" fillId="0" borderId="0" xfId="0" applyNumberFormat="1"/>
    <xf numFmtId="1" fontId="0" fillId="0" borderId="0" xfId="0" applyNumberFormat="1"/>
    <xf numFmtId="0" fontId="3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3" fillId="6" borderId="4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165" fontId="0" fillId="3" borderId="1" xfId="2" applyNumberFormat="1" applyFont="1" applyFill="1" applyBorder="1" applyAlignment="1">
      <alignment vertical="top"/>
    </xf>
    <xf numFmtId="165" fontId="0" fillId="3" borderId="1" xfId="2" applyNumberFormat="1" applyFont="1" applyFill="1" applyBorder="1" applyAlignment="1">
      <alignment horizontal="right" vertical="top"/>
    </xf>
    <xf numFmtId="166" fontId="3" fillId="0" borderId="1" xfId="3" applyNumberFormat="1" applyFont="1" applyBorder="1"/>
    <xf numFmtId="166" fontId="0" fillId="0" borderId="1" xfId="3" applyNumberFormat="1" applyFont="1" applyBorder="1"/>
    <xf numFmtId="166" fontId="3" fillId="3" borderId="1" xfId="3" applyNumberFormat="1" applyFont="1" applyFill="1" applyBorder="1"/>
    <xf numFmtId="10" fontId="6" fillId="3" borderId="1" xfId="2" applyNumberFormat="1" applyFont="1" applyFill="1" applyBorder="1"/>
    <xf numFmtId="10" fontId="3" fillId="3" borderId="1" xfId="2" applyNumberFormat="1" applyFont="1" applyFill="1" applyBorder="1"/>
    <xf numFmtId="166" fontId="0" fillId="0" borderId="7" xfId="3" applyNumberFormat="1" applyFont="1" applyBorder="1"/>
    <xf numFmtId="0" fontId="3" fillId="0" borderId="0" xfId="0" applyFont="1"/>
    <xf numFmtId="0" fontId="3" fillId="0" borderId="5" xfId="0" applyFont="1" applyBorder="1"/>
    <xf numFmtId="0" fontId="0" fillId="0" borderId="5" xfId="0" applyBorder="1"/>
    <xf numFmtId="0" fontId="3" fillId="3" borderId="5" xfId="0" applyFont="1" applyFill="1" applyBorder="1"/>
    <xf numFmtId="9" fontId="0" fillId="0" borderId="7" xfId="2" applyFont="1" applyBorder="1"/>
    <xf numFmtId="165" fontId="6" fillId="3" borderId="1" xfId="2" applyNumberFormat="1" applyFont="1" applyFill="1" applyBorder="1" applyAlignment="1">
      <alignment horizontal="right"/>
    </xf>
    <xf numFmtId="166" fontId="0" fillId="3" borderId="7" xfId="3" applyNumberFormat="1" applyFont="1" applyFill="1" applyBorder="1"/>
    <xf numFmtId="10" fontId="0" fillId="0" borderId="1" xfId="2" applyNumberFormat="1" applyFont="1" applyBorder="1"/>
    <xf numFmtId="10" fontId="0" fillId="3" borderId="1" xfId="2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1" fontId="0" fillId="0" borderId="8" xfId="0" applyNumberFormat="1" applyBorder="1"/>
    <xf numFmtId="0" fontId="0" fillId="0" borderId="7" xfId="0" applyBorder="1"/>
    <xf numFmtId="164" fontId="0" fillId="0" borderId="5" xfId="0" applyNumberFormat="1" applyBorder="1"/>
    <xf numFmtId="164" fontId="0" fillId="3" borderId="5" xfId="0" applyNumberFormat="1" applyFill="1" applyBorder="1"/>
    <xf numFmtId="165" fontId="0" fillId="3" borderId="5" xfId="0" applyNumberFormat="1" applyFill="1" applyBorder="1"/>
    <xf numFmtId="1" fontId="9" fillId="3" borderId="1" xfId="0" applyNumberFormat="1" applyFont="1" applyFill="1" applyBorder="1"/>
    <xf numFmtId="0" fontId="9" fillId="0" borderId="6" xfId="0" applyFont="1" applyBorder="1"/>
    <xf numFmtId="2" fontId="0" fillId="0" borderId="8" xfId="0" applyNumberFormat="1" applyBorder="1"/>
    <xf numFmtId="0" fontId="0" fillId="0" borderId="6" xfId="0" applyBorder="1"/>
    <xf numFmtId="166" fontId="0" fillId="0" borderId="0" xfId="0" applyNumberFormat="1"/>
    <xf numFmtId="0" fontId="3" fillId="3" borderId="6" xfId="0" applyFont="1" applyFill="1" applyBorder="1"/>
    <xf numFmtId="166" fontId="3" fillId="3" borderId="7" xfId="3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0" borderId="3" xfId="0" applyFont="1" applyBorder="1" applyAlignment="1">
      <alignment horizontal="right"/>
    </xf>
    <xf numFmtId="0" fontId="3" fillId="0" borderId="9" xfId="0" applyFont="1" applyBorder="1"/>
    <xf numFmtId="0" fontId="0" fillId="0" borderId="3" xfId="0" applyBorder="1"/>
    <xf numFmtId="0" fontId="10" fillId="0" borderId="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66" fontId="0" fillId="0" borderId="1" xfId="3" applyNumberFormat="1" applyFont="1" applyFill="1" applyBorder="1"/>
    <xf numFmtId="9" fontId="0" fillId="3" borderId="1" xfId="2" applyFont="1" applyFill="1" applyBorder="1"/>
    <xf numFmtId="0" fontId="3" fillId="0" borderId="0" xfId="0" applyFont="1" applyAlignment="1">
      <alignment horizontal="right"/>
    </xf>
    <xf numFmtId="0" fontId="7" fillId="2" borderId="15" xfId="1" applyFont="1" applyFill="1" applyBorder="1"/>
    <xf numFmtId="0" fontId="3" fillId="2" borderId="14" xfId="1" applyFont="1" applyFill="1" applyBorder="1" applyAlignment="1">
      <alignment horizontal="center"/>
    </xf>
    <xf numFmtId="3" fontId="0" fillId="0" borderId="1" xfId="0" applyNumberFormat="1" applyBorder="1"/>
    <xf numFmtId="0" fontId="5" fillId="3" borderId="1" xfId="0" applyFont="1" applyFill="1" applyBorder="1"/>
    <xf numFmtId="0" fontId="8" fillId="0" borderId="1" xfId="1" applyFont="1" applyBorder="1"/>
    <xf numFmtId="3" fontId="3" fillId="3" borderId="1" xfId="0" applyNumberFormat="1" applyFont="1" applyFill="1" applyBorder="1"/>
    <xf numFmtId="0" fontId="7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0" fillId="0" borderId="1" xfId="0" applyNumberFormat="1" applyBorder="1"/>
    <xf numFmtId="0" fontId="7" fillId="2" borderId="14" xfId="1" applyFont="1" applyFill="1" applyBorder="1"/>
    <xf numFmtId="0" fontId="0" fillId="0" borderId="4" xfId="0" applyBorder="1"/>
    <xf numFmtId="166" fontId="0" fillId="0" borderId="17" xfId="3" applyNumberFormat="1" applyFont="1" applyBorder="1"/>
    <xf numFmtId="3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3" fillId="0" borderId="10" xfId="0" applyFont="1" applyBorder="1" applyAlignment="1">
      <alignment horizontal="center"/>
    </xf>
    <xf numFmtId="0" fontId="3" fillId="3" borderId="9" xfId="0" applyFont="1" applyFill="1" applyBorder="1"/>
    <xf numFmtId="166" fontId="3" fillId="3" borderId="3" xfId="3" applyNumberFormat="1" applyFont="1" applyFill="1" applyBorder="1"/>
    <xf numFmtId="4" fontId="0" fillId="0" borderId="7" xfId="0" applyNumberFormat="1" applyBorder="1"/>
    <xf numFmtId="0" fontId="3" fillId="3" borderId="15" xfId="0" applyFont="1" applyFill="1" applyBorder="1"/>
    <xf numFmtId="166" fontId="3" fillId="3" borderId="14" xfId="3" applyNumberFormat="1" applyFont="1" applyFill="1" applyBorder="1"/>
    <xf numFmtId="3" fontId="0" fillId="0" borderId="23" xfId="0" applyNumberFormat="1" applyBorder="1"/>
    <xf numFmtId="0" fontId="0" fillId="3" borderId="8" xfId="0" applyFill="1" applyBorder="1"/>
    <xf numFmtId="10" fontId="0" fillId="0" borderId="8" xfId="2" applyNumberFormat="1" applyFont="1" applyBorder="1"/>
    <xf numFmtId="1" fontId="9" fillId="3" borderId="8" xfId="0" applyNumberFormat="1" applyFont="1" applyFill="1" applyBorder="1"/>
    <xf numFmtId="3" fontId="3" fillId="0" borderId="1" xfId="0" applyNumberFormat="1" applyFont="1" applyBorder="1"/>
    <xf numFmtId="0" fontId="3" fillId="3" borderId="24" xfId="0" applyFont="1" applyFill="1" applyBorder="1"/>
    <xf numFmtId="166" fontId="3" fillId="3" borderId="2" xfId="3" applyNumberFormat="1" applyFont="1" applyFill="1" applyBorder="1"/>
    <xf numFmtId="0" fontId="3" fillId="3" borderId="4" xfId="0" applyFont="1" applyFill="1" applyBorder="1"/>
    <xf numFmtId="166" fontId="3" fillId="3" borderId="17" xfId="3" applyNumberFormat="1" applyFont="1" applyFill="1" applyBorder="1"/>
    <xf numFmtId="0" fontId="3" fillId="0" borderId="3" xfId="0" applyFont="1" applyBorder="1"/>
    <xf numFmtId="0" fontId="0" fillId="0" borderId="10" xfId="0" applyBorder="1"/>
    <xf numFmtId="0" fontId="0" fillId="0" borderId="11" xfId="0" applyBorder="1"/>
    <xf numFmtId="166" fontId="3" fillId="0" borderId="1" xfId="3" applyNumberFormat="1" applyFont="1" applyFill="1" applyBorder="1"/>
    <xf numFmtId="3" fontId="3" fillId="3" borderId="7" xfId="0" applyNumberFormat="1" applyFont="1" applyFill="1" applyBorder="1"/>
    <xf numFmtId="0" fontId="3" fillId="0" borderId="4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166" fontId="0" fillId="0" borderId="26" xfId="3" applyNumberFormat="1" applyFont="1" applyBorder="1"/>
    <xf numFmtId="166" fontId="0" fillId="0" borderId="27" xfId="3" applyNumberFormat="1" applyFont="1" applyBorder="1"/>
    <xf numFmtId="166" fontId="3" fillId="3" borderId="28" xfId="3" applyNumberFormat="1" applyFont="1" applyFill="1" applyBorder="1"/>
    <xf numFmtId="166" fontId="0" fillId="0" borderId="29" xfId="3" applyNumberFormat="1" applyFont="1" applyBorder="1"/>
    <xf numFmtId="166" fontId="0" fillId="0" borderId="30" xfId="3" applyNumberFormat="1" applyFont="1" applyBorder="1"/>
    <xf numFmtId="166" fontId="3" fillId="3" borderId="31" xfId="3" applyNumberFormat="1" applyFont="1" applyFill="1" applyBorder="1"/>
    <xf numFmtId="166" fontId="0" fillId="0" borderId="25" xfId="3" applyNumberFormat="1" applyFont="1" applyFill="1" applyBorder="1"/>
    <xf numFmtId="166" fontId="0" fillId="0" borderId="29" xfId="3" applyNumberFormat="1" applyFont="1" applyFill="1" applyBorder="1"/>
    <xf numFmtId="166" fontId="0" fillId="0" borderId="30" xfId="3" applyNumberFormat="1" applyFont="1" applyFill="1" applyBorder="1"/>
    <xf numFmtId="166" fontId="0" fillId="0" borderId="32" xfId="3" applyNumberFormat="1" applyFont="1" applyFill="1" applyBorder="1"/>
    <xf numFmtId="166" fontId="0" fillId="0" borderId="33" xfId="3" applyNumberFormat="1" applyFont="1" applyFill="1" applyBorder="1"/>
    <xf numFmtId="166" fontId="3" fillId="3" borderId="34" xfId="3" applyNumberFormat="1" applyFont="1" applyFill="1" applyBorder="1"/>
    <xf numFmtId="166" fontId="0" fillId="0" borderId="26" xfId="3" applyNumberFormat="1" applyFont="1" applyFill="1" applyBorder="1"/>
    <xf numFmtId="166" fontId="0" fillId="0" borderId="27" xfId="3" applyNumberFormat="1" applyFont="1" applyFill="1" applyBorder="1"/>
    <xf numFmtId="4" fontId="0" fillId="0" borderId="16" xfId="0" applyNumberFormat="1" applyBorder="1"/>
    <xf numFmtId="3" fontId="0" fillId="0" borderId="7" xfId="0" applyNumberFormat="1" applyBorder="1"/>
    <xf numFmtId="1" fontId="0" fillId="3" borderId="1" xfId="0" applyNumberFormat="1" applyFill="1" applyBorder="1"/>
    <xf numFmtId="9" fontId="0" fillId="3" borderId="7" xfId="2" applyFont="1" applyFill="1" applyBorder="1"/>
    <xf numFmtId="9" fontId="0" fillId="3" borderId="18" xfId="2" applyFont="1" applyFill="1" applyBorder="1"/>
    <xf numFmtId="49" fontId="0" fillId="0" borderId="35" xfId="3" applyNumberFormat="1" applyFont="1" applyBorder="1" applyAlignment="1">
      <alignment horizontal="left" vertical="center" indent="3"/>
    </xf>
    <xf numFmtId="43" fontId="0" fillId="0" borderId="0" xfId="3" applyFont="1"/>
    <xf numFmtId="49" fontId="0" fillId="0" borderId="0" xfId="3" applyNumberFormat="1" applyFont="1" applyFill="1" applyBorder="1" applyAlignment="1">
      <alignment horizontal="left" vertical="center" indent="3"/>
    </xf>
    <xf numFmtId="43" fontId="0" fillId="0" borderId="0" xfId="0" applyNumberFormat="1"/>
    <xf numFmtId="10" fontId="12" fillId="3" borderId="1" xfId="2" applyNumberFormat="1" applyFont="1" applyFill="1" applyBorder="1"/>
    <xf numFmtId="49" fontId="11" fillId="0" borderId="0" xfId="3" applyNumberFormat="1" applyFont="1" applyFill="1" applyBorder="1" applyAlignment="1">
      <alignment horizontal="left" vertical="center" indent="3"/>
    </xf>
    <xf numFmtId="0" fontId="12" fillId="0" borderId="0" xfId="0" applyFont="1"/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0" borderId="23" xfId="0" applyFont="1" applyBorder="1" applyAlignment="1">
      <alignment horizontal="right"/>
    </xf>
    <xf numFmtId="166" fontId="0" fillId="0" borderId="36" xfId="3" applyNumberFormat="1" applyFont="1" applyFill="1" applyBorder="1"/>
    <xf numFmtId="166" fontId="0" fillId="3" borderId="16" xfId="3" applyNumberFormat="1" applyFont="1" applyFill="1" applyBorder="1"/>
    <xf numFmtId="0" fontId="3" fillId="3" borderId="2" xfId="0" applyFont="1" applyFill="1" applyBorder="1" applyAlignment="1">
      <alignment horizontal="right"/>
    </xf>
    <xf numFmtId="0" fontId="3" fillId="2" borderId="35" xfId="1" applyFont="1" applyFill="1" applyBorder="1" applyAlignment="1">
      <alignment horizontal="center"/>
    </xf>
    <xf numFmtId="3" fontId="0" fillId="0" borderId="16" xfId="0" applyNumberFormat="1" applyBorder="1"/>
    <xf numFmtId="166" fontId="3" fillId="3" borderId="35" xfId="3" applyNumberFormat="1" applyFont="1" applyFill="1" applyBorder="1"/>
    <xf numFmtId="166" fontId="0" fillId="0" borderId="23" xfId="3" applyNumberFormat="1" applyFont="1" applyBorder="1"/>
    <xf numFmtId="166" fontId="0" fillId="0" borderId="36" xfId="3" applyNumberFormat="1" applyFont="1" applyBorder="1"/>
    <xf numFmtId="166" fontId="0" fillId="0" borderId="16" xfId="3" applyNumberFormat="1" applyFont="1" applyBorder="1"/>
    <xf numFmtId="166" fontId="3" fillId="3" borderId="39" xfId="3" applyNumberFormat="1" applyFont="1" applyFill="1" applyBorder="1"/>
    <xf numFmtId="166" fontId="3" fillId="3" borderId="36" xfId="3" applyNumberFormat="1" applyFont="1" applyFill="1" applyBorder="1"/>
    <xf numFmtId="2" fontId="3" fillId="0" borderId="36" xfId="0" applyNumberFormat="1" applyFont="1" applyBorder="1"/>
    <xf numFmtId="1" fontId="0" fillId="0" borderId="36" xfId="0" applyNumberFormat="1" applyBorder="1"/>
    <xf numFmtId="0" fontId="0" fillId="0" borderId="36" xfId="0" applyBorder="1"/>
    <xf numFmtId="3" fontId="0" fillId="0" borderId="36" xfId="0" applyNumberFormat="1" applyBorder="1"/>
    <xf numFmtId="166" fontId="3" fillId="3" borderId="38" xfId="3" applyNumberFormat="1" applyFont="1" applyFill="1" applyBorder="1"/>
    <xf numFmtId="0" fontId="0" fillId="0" borderId="39" xfId="0" applyBorder="1"/>
    <xf numFmtId="166" fontId="3" fillId="3" borderId="23" xfId="3" applyNumberFormat="1" applyFont="1" applyFill="1" applyBorder="1"/>
    <xf numFmtId="3" fontId="3" fillId="3" borderId="16" xfId="0" applyNumberFormat="1" applyFont="1" applyFill="1" applyBorder="1"/>
    <xf numFmtId="0" fontId="3" fillId="8" borderId="0" xfId="0" applyFont="1" applyFill="1"/>
    <xf numFmtId="166" fontId="3" fillId="8" borderId="0" xfId="0" applyNumberFormat="1" applyFont="1" applyFill="1"/>
    <xf numFmtId="0" fontId="3" fillId="9" borderId="0" xfId="0" applyFont="1" applyFill="1"/>
    <xf numFmtId="165" fontId="3" fillId="9" borderId="0" xfId="2" applyNumberFormat="1" applyFont="1" applyFill="1"/>
    <xf numFmtId="165" fontId="0" fillId="0" borderId="0" xfId="2" applyNumberFormat="1" applyFont="1"/>
    <xf numFmtId="0" fontId="0" fillId="3" borderId="33" xfId="0" applyFill="1" applyBorder="1"/>
    <xf numFmtId="0" fontId="0" fillId="10" borderId="33" xfId="0" applyFill="1" applyBorder="1"/>
    <xf numFmtId="2" fontId="0" fillId="10" borderId="33" xfId="0" applyNumberFormat="1" applyFill="1" applyBorder="1"/>
    <xf numFmtId="2" fontId="0" fillId="0" borderId="33" xfId="0" applyNumberFormat="1" applyBorder="1"/>
    <xf numFmtId="2" fontId="0" fillId="3" borderId="33" xfId="0" applyNumberFormat="1" applyFill="1" applyBorder="1"/>
    <xf numFmtId="2" fontId="0" fillId="3" borderId="8" xfId="0" applyNumberFormat="1" applyFill="1" applyBorder="1"/>
    <xf numFmtId="2" fontId="0" fillId="3" borderId="8" xfId="0" applyNumberFormat="1" applyFill="1" applyBorder="1" applyAlignment="1">
      <alignment horizontal="right"/>
    </xf>
    <xf numFmtId="10" fontId="0" fillId="11" borderId="1" xfId="2" applyNumberFormat="1" applyFont="1" applyFill="1" applyBorder="1"/>
    <xf numFmtId="10" fontId="0" fillId="11" borderId="33" xfId="2" applyNumberFormat="1" applyFont="1" applyFill="1" applyBorder="1" applyAlignment="1">
      <alignment horizontal="right"/>
    </xf>
    <xf numFmtId="10" fontId="0" fillId="0" borderId="33" xfId="2" applyNumberFormat="1" applyFon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9" fillId="3" borderId="8" xfId="0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Percent" xfId="2" builtinId="5"/>
    <cellStyle name="Style 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7"/>
  <sheetViews>
    <sheetView tabSelected="1" zoomScale="87" zoomScaleNormal="87" zoomScaleSheetLayoutView="9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G26" sqref="G26"/>
    </sheetView>
  </sheetViews>
  <sheetFormatPr defaultRowHeight="15" x14ac:dyDescent="0.25"/>
  <cols>
    <col min="1" max="1" width="28.5703125" customWidth="1"/>
    <col min="2" max="2" width="11.5703125" bestFit="1" customWidth="1"/>
    <col min="3" max="7" width="12.85546875" bestFit="1" customWidth="1"/>
    <col min="8" max="8" width="2.7109375" customWidth="1"/>
    <col min="9" max="9" width="39.28515625" bestFit="1" customWidth="1"/>
    <col min="10" max="11" width="6.42578125" hidden="1" customWidth="1"/>
    <col min="12" max="12" width="0.140625" customWidth="1"/>
    <col min="13" max="13" width="0.5703125" customWidth="1"/>
    <col min="14" max="16" width="9" bestFit="1" customWidth="1"/>
    <col min="17" max="17" width="8" bestFit="1" customWidth="1"/>
    <col min="18" max="18" width="8.28515625" bestFit="1" customWidth="1"/>
    <col min="19" max="19" width="8.7109375" bestFit="1" customWidth="1"/>
    <col min="20" max="20" width="13.28515625" bestFit="1" customWidth="1"/>
    <col min="29" max="29" width="13.140625" bestFit="1" customWidth="1"/>
    <col min="33" max="33" width="5" bestFit="1" customWidth="1"/>
  </cols>
  <sheetData>
    <row r="1" spans="1:19" ht="15.75" thickBot="1" x14ac:dyDescent="0.3"/>
    <row r="2" spans="1:19" ht="15.75" thickBot="1" x14ac:dyDescent="0.3">
      <c r="A2" s="170" t="s">
        <v>190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</row>
    <row r="4" spans="1:19" x14ac:dyDescent="0.25">
      <c r="A4" s="173" t="s">
        <v>0</v>
      </c>
      <c r="B4" s="173"/>
      <c r="C4" s="173"/>
      <c r="D4" s="173"/>
      <c r="E4" s="173"/>
      <c r="F4" s="173"/>
      <c r="G4" s="173"/>
      <c r="I4" s="176" t="s">
        <v>141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19" ht="15.75" thickBot="1" x14ac:dyDescent="0.3">
      <c r="A5" s="66" t="s">
        <v>23</v>
      </c>
      <c r="B5" s="67" t="s">
        <v>5</v>
      </c>
      <c r="C5" s="67" t="s">
        <v>6</v>
      </c>
      <c r="D5" s="67" t="s">
        <v>171</v>
      </c>
      <c r="E5" s="67" t="s">
        <v>172</v>
      </c>
      <c r="F5" s="67" t="s">
        <v>184</v>
      </c>
      <c r="G5" s="67" t="s">
        <v>207</v>
      </c>
      <c r="I5" s="60" t="s">
        <v>1</v>
      </c>
      <c r="J5" s="72" t="s">
        <v>104</v>
      </c>
      <c r="K5" s="61" t="s">
        <v>2</v>
      </c>
      <c r="L5" s="61" t="s">
        <v>3</v>
      </c>
      <c r="M5" s="61" t="s">
        <v>4</v>
      </c>
      <c r="N5" s="61" t="s">
        <v>5</v>
      </c>
      <c r="O5" s="61" t="s">
        <v>6</v>
      </c>
      <c r="P5" s="61" t="s">
        <v>171</v>
      </c>
      <c r="Q5" s="61" t="s">
        <v>172</v>
      </c>
      <c r="R5" s="134" t="s">
        <v>184</v>
      </c>
      <c r="S5" s="67" t="s">
        <v>206</v>
      </c>
    </row>
    <row r="6" spans="1:19" x14ac:dyDescent="0.25">
      <c r="A6" s="1" t="s">
        <v>192</v>
      </c>
      <c r="B6" s="18">
        <v>5252</v>
      </c>
      <c r="C6" s="18">
        <v>4788</v>
      </c>
      <c r="D6" s="18">
        <v>4812</v>
      </c>
      <c r="E6" s="89">
        <v>5663</v>
      </c>
      <c r="F6" s="89">
        <v>6563</v>
      </c>
      <c r="G6" s="89">
        <v>5284</v>
      </c>
      <c r="H6" s="24"/>
      <c r="I6" s="73" t="s">
        <v>30</v>
      </c>
      <c r="J6" s="74">
        <v>197.88</v>
      </c>
      <c r="K6" s="74">
        <v>234.64599999999999</v>
      </c>
      <c r="L6" s="74">
        <v>234.64599999999999</v>
      </c>
      <c r="M6" s="74">
        <v>234.64599999999999</v>
      </c>
      <c r="N6" s="75">
        <v>113</v>
      </c>
      <c r="O6" s="75">
        <v>113</v>
      </c>
      <c r="P6" s="85">
        <v>113</v>
      </c>
      <c r="Q6" s="75">
        <v>113</v>
      </c>
      <c r="R6" s="85">
        <v>113</v>
      </c>
      <c r="S6" s="62">
        <v>113</v>
      </c>
    </row>
    <row r="7" spans="1:19" ht="15.75" thickBot="1" x14ac:dyDescent="0.3">
      <c r="A7" s="2" t="s">
        <v>16</v>
      </c>
      <c r="B7" s="19">
        <f>147-B71-B75</f>
        <v>135.547</v>
      </c>
      <c r="C7" s="19">
        <f>263-C71-C75</f>
        <v>260.44800000000004</v>
      </c>
      <c r="D7" s="19">
        <f>162-D71-D75</f>
        <v>151.52799999999999</v>
      </c>
      <c r="E7" s="62">
        <f>253-E71-E75</f>
        <v>251.93799999999999</v>
      </c>
      <c r="F7" s="62">
        <f>226-F71-F75</f>
        <v>175.82900000000001</v>
      </c>
      <c r="G7" s="62">
        <v>166</v>
      </c>
      <c r="I7" s="45" t="s">
        <v>31</v>
      </c>
      <c r="J7" s="23">
        <v>2717.3919999999998</v>
      </c>
      <c r="K7" s="23">
        <v>2956.4349999999999</v>
      </c>
      <c r="L7" s="23">
        <v>3105.165</v>
      </c>
      <c r="M7" s="23">
        <v>3586.8150000000001</v>
      </c>
      <c r="N7" s="82">
        <v>3891</v>
      </c>
      <c r="O7" s="82">
        <v>4085</v>
      </c>
      <c r="P7" s="116">
        <v>4397</v>
      </c>
      <c r="Q7" s="117">
        <v>4939</v>
      </c>
      <c r="R7" s="135">
        <v>5490</v>
      </c>
      <c r="S7" s="62">
        <v>5756</v>
      </c>
    </row>
    <row r="8" spans="1:19" ht="15.75" thickBot="1" x14ac:dyDescent="0.3">
      <c r="A8" s="51" t="s">
        <v>7</v>
      </c>
      <c r="B8" s="20">
        <f t="shared" ref="B8:C8" si="0">B6+B7</f>
        <v>5387.5469999999996</v>
      </c>
      <c r="C8" s="20">
        <f t="shared" si="0"/>
        <v>5048.4480000000003</v>
      </c>
      <c r="D8" s="20">
        <f>D6+D7</f>
        <v>4963.5280000000002</v>
      </c>
      <c r="E8" s="20">
        <f>E6+E7</f>
        <v>5914.9380000000001</v>
      </c>
      <c r="F8" s="20">
        <f>F6+F7</f>
        <v>6738.8289999999997</v>
      </c>
      <c r="G8" s="20">
        <f>G6+G7</f>
        <v>5450</v>
      </c>
      <c r="I8" s="83" t="s">
        <v>63</v>
      </c>
      <c r="J8" s="84">
        <f>SUM(J6:J7)</f>
        <v>2915.2719999999999</v>
      </c>
      <c r="K8" s="84">
        <f>SUM(K6:K7)</f>
        <v>3191.0810000000001</v>
      </c>
      <c r="L8" s="84">
        <f t="shared" ref="L8:O8" si="1">SUM(L6:L7)</f>
        <v>3339.8110000000001</v>
      </c>
      <c r="M8" s="84">
        <f t="shared" si="1"/>
        <v>3821.4610000000002</v>
      </c>
      <c r="N8" s="84">
        <f t="shared" si="1"/>
        <v>4004</v>
      </c>
      <c r="O8" s="84">
        <f t="shared" si="1"/>
        <v>4198</v>
      </c>
      <c r="P8" s="84">
        <f>SUM(P6:P7)</f>
        <v>4510</v>
      </c>
      <c r="Q8" s="84">
        <f>SUM(Q6:Q7)</f>
        <v>5052</v>
      </c>
      <c r="R8" s="136">
        <f>SUM(R6:R7)</f>
        <v>5603</v>
      </c>
      <c r="S8" s="65">
        <f>S7+S6</f>
        <v>5869</v>
      </c>
    </row>
    <row r="9" spans="1:19" x14ac:dyDescent="0.25">
      <c r="A9" s="63" t="s">
        <v>8</v>
      </c>
      <c r="B9" s="29"/>
      <c r="C9" s="29">
        <f>+C8/B8-1</f>
        <v>-6.2941260651647069E-2</v>
      </c>
      <c r="D9" s="29">
        <f>+D8/C8-1</f>
        <v>-1.6821011130549457E-2</v>
      </c>
      <c r="E9" s="29">
        <f>E8/D8-1</f>
        <v>0.19168019199246977</v>
      </c>
      <c r="F9" s="29">
        <f>F8/E8-1</f>
        <v>0.13928987928529413</v>
      </c>
      <c r="G9" s="29"/>
      <c r="I9" s="73" t="s">
        <v>32</v>
      </c>
      <c r="J9" s="74">
        <v>4.13</v>
      </c>
      <c r="K9" s="74">
        <v>3.39</v>
      </c>
      <c r="L9" s="74">
        <v>3.0910000000000002</v>
      </c>
      <c r="M9" s="74">
        <v>3.0790000000000002</v>
      </c>
      <c r="N9" s="74"/>
      <c r="O9" s="74"/>
      <c r="P9" s="74"/>
      <c r="Q9" s="74"/>
      <c r="R9" s="137"/>
      <c r="S9" s="2"/>
    </row>
    <row r="10" spans="1:19" x14ac:dyDescent="0.25">
      <c r="A10" s="63" t="s">
        <v>9</v>
      </c>
      <c r="B10" s="29"/>
      <c r="C10" s="29"/>
      <c r="D10" s="29"/>
      <c r="E10" s="29">
        <f>((E8/B8)^(1/3)-1)</f>
        <v>3.1619893285841583E-2</v>
      </c>
      <c r="F10" s="29">
        <f>((F8/C8)^(1/3)-1)</f>
        <v>0.10105458468162887</v>
      </c>
      <c r="G10" s="29"/>
      <c r="I10" s="26" t="s">
        <v>64</v>
      </c>
      <c r="J10" s="19">
        <v>317.31900000000002</v>
      </c>
      <c r="K10" s="19">
        <v>541.88300000000004</v>
      </c>
      <c r="L10" s="19">
        <v>678.76199999999994</v>
      </c>
      <c r="M10" s="19">
        <v>636.74099999999999</v>
      </c>
      <c r="N10" s="19">
        <v>0</v>
      </c>
      <c r="O10" s="19">
        <v>0</v>
      </c>
      <c r="P10" s="19">
        <v>0</v>
      </c>
      <c r="Q10" s="19">
        <v>0</v>
      </c>
      <c r="R10" s="138">
        <v>0</v>
      </c>
      <c r="S10" s="138">
        <v>0</v>
      </c>
    </row>
    <row r="11" spans="1:19" ht="15.75" thickBot="1" x14ac:dyDescent="0.3">
      <c r="A11" s="51" t="s">
        <v>10</v>
      </c>
      <c r="B11" s="20">
        <f>SUM(B12:B17)</f>
        <v>4469.5469999999996</v>
      </c>
      <c r="C11" s="20">
        <f>SUM(C12:C17)</f>
        <v>4219.4480000000003</v>
      </c>
      <c r="D11" s="20">
        <f t="shared" ref="D11" si="2">SUM(D12:D17)</f>
        <v>4348.5280000000002</v>
      </c>
      <c r="E11" s="20">
        <f>SUM(E12:E17)</f>
        <v>5165.9380000000001</v>
      </c>
      <c r="F11" s="20">
        <f>SUM(F12:F17)</f>
        <v>5984.8289999999997</v>
      </c>
      <c r="G11" s="20">
        <f>SUM(G12:G17)</f>
        <v>4836.1000000000004</v>
      </c>
      <c r="I11" s="45" t="s">
        <v>65</v>
      </c>
      <c r="J11" s="23">
        <v>858.25300000000004</v>
      </c>
      <c r="K11" s="23">
        <v>824.23699999999997</v>
      </c>
      <c r="L11" s="23">
        <v>248.01300000000001</v>
      </c>
      <c r="M11" s="23">
        <v>5.7430000000000003</v>
      </c>
      <c r="N11" s="23">
        <v>0</v>
      </c>
      <c r="O11" s="23">
        <v>0</v>
      </c>
      <c r="P11" s="23">
        <v>0</v>
      </c>
      <c r="Q11" s="23">
        <v>0</v>
      </c>
      <c r="R11" s="139">
        <v>0</v>
      </c>
      <c r="S11" s="138">
        <v>0</v>
      </c>
    </row>
    <row r="12" spans="1:19" x14ac:dyDescent="0.25">
      <c r="A12" s="2" t="s">
        <v>11</v>
      </c>
      <c r="B12" s="19">
        <v>3423</v>
      </c>
      <c r="C12" s="19">
        <v>3143</v>
      </c>
      <c r="D12" s="19">
        <v>3263</v>
      </c>
      <c r="E12" s="62">
        <v>3859</v>
      </c>
      <c r="F12" s="62">
        <v>4412</v>
      </c>
      <c r="G12" s="62">
        <v>3556</v>
      </c>
      <c r="I12" s="80" t="s">
        <v>66</v>
      </c>
      <c r="J12" s="81">
        <f>J10+J11</f>
        <v>1175.5720000000001</v>
      </c>
      <c r="K12" s="81">
        <f>K10+K11</f>
        <v>1366.12</v>
      </c>
      <c r="L12" s="81">
        <f t="shared" ref="L12:M12" si="3">L10+L11</f>
        <v>926.77499999999998</v>
      </c>
      <c r="M12" s="81">
        <f t="shared" si="3"/>
        <v>642.48400000000004</v>
      </c>
      <c r="N12" s="81">
        <v>0</v>
      </c>
      <c r="O12" s="81">
        <v>0</v>
      </c>
      <c r="P12" s="81">
        <v>0</v>
      </c>
      <c r="Q12" s="81">
        <f>Q10+Q11</f>
        <v>0</v>
      </c>
      <c r="R12" s="140">
        <f>R10+R11</f>
        <v>0</v>
      </c>
      <c r="S12" s="138">
        <v>0</v>
      </c>
    </row>
    <row r="13" spans="1:19" x14ac:dyDescent="0.25">
      <c r="A13" s="2" t="s">
        <v>24</v>
      </c>
      <c r="B13" s="19">
        <v>0</v>
      </c>
      <c r="C13" s="19">
        <v>0</v>
      </c>
      <c r="D13" s="19">
        <v>0</v>
      </c>
      <c r="E13" s="62">
        <v>113</v>
      </c>
      <c r="F13" s="62">
        <v>165</v>
      </c>
      <c r="G13" s="62">
        <v>167.3</v>
      </c>
      <c r="I13" s="27" t="s">
        <v>67</v>
      </c>
      <c r="J13" s="20">
        <f t="shared" ref="J13:M13" si="4">+J8+J9+J20+J21+J10</f>
        <v>3335.8420000000001</v>
      </c>
      <c r="K13" s="20">
        <f t="shared" si="4"/>
        <v>3848.4470000000001</v>
      </c>
      <c r="L13" s="20">
        <f t="shared" si="4"/>
        <v>4139.7920000000004</v>
      </c>
      <c r="M13" s="20">
        <f t="shared" si="4"/>
        <v>4663.8350000000009</v>
      </c>
      <c r="N13" s="20">
        <f>+N8+N9+N20+N21+N10</f>
        <v>4065</v>
      </c>
      <c r="O13" s="20">
        <f>O8+O22</f>
        <v>4344</v>
      </c>
      <c r="P13" s="20">
        <f>P8+P22</f>
        <v>4688.1000000000004</v>
      </c>
      <c r="Q13" s="20">
        <f>Q8+Q22</f>
        <v>5326</v>
      </c>
      <c r="R13" s="141">
        <f>R8+R22</f>
        <v>5963</v>
      </c>
      <c r="S13" s="141">
        <f>S8+S22</f>
        <v>6220</v>
      </c>
    </row>
    <row r="14" spans="1:19" x14ac:dyDescent="0.25">
      <c r="A14" s="64" t="s">
        <v>25</v>
      </c>
      <c r="B14" s="19">
        <v>-5</v>
      </c>
      <c r="C14" s="19">
        <v>3</v>
      </c>
      <c r="D14" s="19">
        <v>-13</v>
      </c>
      <c r="E14" s="57">
        <v>-18</v>
      </c>
      <c r="F14" s="2">
        <v>-32</v>
      </c>
      <c r="G14" s="57">
        <v>-46.7</v>
      </c>
      <c r="I14" s="27" t="s">
        <v>67</v>
      </c>
      <c r="J14" s="20">
        <f t="shared" ref="J14:R14" si="5">J62-J34-J11</f>
        <v>3335.8420000000001</v>
      </c>
      <c r="K14" s="20">
        <f t="shared" si="5"/>
        <v>3667.9179999999997</v>
      </c>
      <c r="L14" s="20">
        <f t="shared" si="5"/>
        <v>3921.8620000000001</v>
      </c>
      <c r="M14" s="20">
        <f t="shared" si="5"/>
        <v>4298.7659999999996</v>
      </c>
      <c r="N14" s="20">
        <f>N62-N34-N11</f>
        <v>2717</v>
      </c>
      <c r="O14" s="20">
        <f t="shared" si="5"/>
        <v>2913.3</v>
      </c>
      <c r="P14" s="20">
        <f t="shared" si="5"/>
        <v>3361.5</v>
      </c>
      <c r="Q14" s="20">
        <f>Q62-Q34-Q11</f>
        <v>3999</v>
      </c>
      <c r="R14" s="141">
        <f t="shared" si="5"/>
        <v>4440</v>
      </c>
      <c r="S14" s="141">
        <f>S62-S34-S11</f>
        <v>4411</v>
      </c>
    </row>
    <row r="15" spans="1:19" x14ac:dyDescent="0.25">
      <c r="A15" s="2" t="s">
        <v>194</v>
      </c>
      <c r="B15" s="19">
        <v>575</v>
      </c>
      <c r="C15" s="19">
        <v>604</v>
      </c>
      <c r="D15" s="19">
        <v>661</v>
      </c>
      <c r="E15" s="57">
        <v>679</v>
      </c>
      <c r="F15" s="62">
        <v>797</v>
      </c>
      <c r="G15" s="62">
        <v>645.9</v>
      </c>
      <c r="I15" s="25"/>
      <c r="J15" s="3"/>
      <c r="K15" s="3"/>
      <c r="L15" s="3"/>
      <c r="M15" s="3"/>
      <c r="N15" s="3"/>
      <c r="O15" s="3"/>
      <c r="P15" s="3"/>
      <c r="Q15" s="3"/>
      <c r="R15" s="142"/>
      <c r="S15" s="2"/>
    </row>
    <row r="16" spans="1:19" x14ac:dyDescent="0.25">
      <c r="A16" s="2" t="s">
        <v>12</v>
      </c>
      <c r="B16" s="19">
        <v>262</v>
      </c>
      <c r="C16" s="19">
        <v>229</v>
      </c>
      <c r="D16" s="19">
        <v>216</v>
      </c>
      <c r="E16" s="62">
        <v>256</v>
      </c>
      <c r="F16" s="62">
        <v>289</v>
      </c>
      <c r="G16" s="62">
        <v>207</v>
      </c>
      <c r="I16" s="25" t="s">
        <v>33</v>
      </c>
      <c r="J16" s="1"/>
      <c r="K16" s="2"/>
      <c r="L16" s="2"/>
      <c r="M16" s="2"/>
      <c r="N16" s="35"/>
      <c r="O16" s="35"/>
      <c r="P16" s="36"/>
      <c r="Q16" s="36"/>
      <c r="R16" s="143"/>
      <c r="S16" s="2"/>
    </row>
    <row r="17" spans="1:20" x14ac:dyDescent="0.25">
      <c r="A17" s="2" t="s">
        <v>193</v>
      </c>
      <c r="B17" s="19">
        <f>226-B71-B75</f>
        <v>214.547</v>
      </c>
      <c r="C17" s="19">
        <f>243-C71-C75</f>
        <v>240.44799999999998</v>
      </c>
      <c r="D17" s="19">
        <f>232-D71-D75</f>
        <v>221.52799999999999</v>
      </c>
      <c r="E17" s="62">
        <f>278-E71-E75</f>
        <v>276.93799999999999</v>
      </c>
      <c r="F17" s="62">
        <f>404-F71-F75</f>
        <v>353.82899999999995</v>
      </c>
      <c r="G17" s="62">
        <v>306.60000000000002</v>
      </c>
      <c r="I17" s="26" t="s">
        <v>34</v>
      </c>
      <c r="J17" s="2"/>
      <c r="K17" s="2"/>
      <c r="L17" s="2"/>
      <c r="M17" s="2"/>
      <c r="N17" s="35"/>
      <c r="O17" s="35"/>
      <c r="P17" s="36"/>
      <c r="Q17" s="36"/>
      <c r="R17" s="143"/>
      <c r="S17" s="2"/>
    </row>
    <row r="18" spans="1:20" x14ac:dyDescent="0.25">
      <c r="A18" s="51" t="s">
        <v>13</v>
      </c>
      <c r="B18" s="20">
        <f t="shared" ref="B18:F18" si="6">B6-B11</f>
        <v>782.45300000000043</v>
      </c>
      <c r="C18" s="20">
        <f t="shared" si="6"/>
        <v>568.55199999999968</v>
      </c>
      <c r="D18" s="20">
        <f t="shared" si="6"/>
        <v>463.47199999999975</v>
      </c>
      <c r="E18" s="20">
        <f t="shared" si="6"/>
        <v>497.0619999999999</v>
      </c>
      <c r="F18" s="20">
        <f t="shared" si="6"/>
        <v>578.17100000000028</v>
      </c>
      <c r="G18" s="20">
        <f>G6-G11</f>
        <v>447.89999999999964</v>
      </c>
      <c r="I18" s="26" t="s">
        <v>35</v>
      </c>
      <c r="J18" s="2"/>
      <c r="K18" s="2"/>
      <c r="L18" s="2"/>
      <c r="M18" s="2"/>
      <c r="N18" s="35"/>
      <c r="O18" s="35"/>
      <c r="P18" s="36"/>
      <c r="Q18" s="36"/>
      <c r="R18" s="143"/>
      <c r="S18" s="2"/>
    </row>
    <row r="19" spans="1:20" x14ac:dyDescent="0.25">
      <c r="A19" s="63" t="s">
        <v>8</v>
      </c>
      <c r="B19" s="29"/>
      <c r="C19" s="29">
        <f>(+C18/B18-1)*-1</f>
        <v>0.27337233035083341</v>
      </c>
      <c r="D19" s="29">
        <f t="shared" ref="D19" si="7">+D18/C18-1</f>
        <v>-0.18482038582222904</v>
      </c>
      <c r="E19" s="29">
        <f>+E18/D18-1</f>
        <v>7.2474712603997959E-2</v>
      </c>
      <c r="F19" s="29">
        <f>+F18/E18-1</f>
        <v>0.16317682703566239</v>
      </c>
      <c r="G19" s="29"/>
      <c r="I19" s="26" t="s">
        <v>180</v>
      </c>
      <c r="J19" s="2"/>
      <c r="K19" s="2"/>
      <c r="L19" s="2"/>
      <c r="M19" s="2"/>
      <c r="N19" s="35">
        <v>0</v>
      </c>
      <c r="O19" s="2">
        <v>41</v>
      </c>
      <c r="P19" s="36">
        <v>35.1</v>
      </c>
      <c r="Q19" s="36">
        <v>33</v>
      </c>
      <c r="R19" s="143">
        <v>29</v>
      </c>
      <c r="S19" s="2">
        <v>25</v>
      </c>
    </row>
    <row r="20" spans="1:20" x14ac:dyDescent="0.25">
      <c r="A20" s="63" t="s">
        <v>9</v>
      </c>
      <c r="B20" s="29"/>
      <c r="C20" s="29"/>
      <c r="D20" s="29"/>
      <c r="E20" s="29">
        <f>(((E18/B18)^(1/3)-1))*-1</f>
        <v>0.14035837924184502</v>
      </c>
      <c r="F20" s="29">
        <f>+((F18/C18)^(1/3)-1)</f>
        <v>5.6079643842641413E-3</v>
      </c>
      <c r="G20" s="29"/>
      <c r="I20" s="26" t="s">
        <v>36</v>
      </c>
      <c r="J20" s="19">
        <v>12.811</v>
      </c>
      <c r="K20" s="19">
        <v>70.573999999999998</v>
      </c>
      <c r="L20" s="19">
        <v>76.641000000000005</v>
      </c>
      <c r="M20" s="19">
        <v>115.13</v>
      </c>
      <c r="N20" s="2">
        <v>35</v>
      </c>
      <c r="O20" s="2">
        <v>38</v>
      </c>
      <c r="P20" s="2">
        <v>25</v>
      </c>
      <c r="Q20" s="57">
        <v>26</v>
      </c>
      <c r="R20" s="131">
        <v>32</v>
      </c>
      <c r="S20" s="2">
        <v>35</v>
      </c>
    </row>
    <row r="21" spans="1:20" x14ac:dyDescent="0.25">
      <c r="A21" s="51" t="s">
        <v>14</v>
      </c>
      <c r="B21" s="125">
        <f>B18/B6</f>
        <v>0.1489819116527038</v>
      </c>
      <c r="C21" s="125">
        <f t="shared" ref="C21:G21" si="8">C18/C6</f>
        <v>0.11874519632414363</v>
      </c>
      <c r="D21" s="125">
        <f t="shared" si="8"/>
        <v>9.6315876974231038E-2</v>
      </c>
      <c r="E21" s="125">
        <f t="shared" si="8"/>
        <v>8.7773618223556407E-2</v>
      </c>
      <c r="F21" s="125">
        <f t="shared" si="8"/>
        <v>8.8095535578241693E-2</v>
      </c>
      <c r="G21" s="125">
        <f t="shared" si="8"/>
        <v>8.4765329295987818E-2</v>
      </c>
      <c r="I21" s="26" t="s">
        <v>37</v>
      </c>
      <c r="J21" s="19">
        <v>86.31</v>
      </c>
      <c r="K21" s="19">
        <v>41.518999999999998</v>
      </c>
      <c r="L21" s="19">
        <v>41.487000000000002</v>
      </c>
      <c r="M21" s="19">
        <v>87.424000000000007</v>
      </c>
      <c r="N21" s="2">
        <v>26</v>
      </c>
      <c r="O21" s="2">
        <v>67</v>
      </c>
      <c r="P21" s="62">
        <v>118</v>
      </c>
      <c r="Q21" s="57">
        <v>215</v>
      </c>
      <c r="R21" s="131">
        <v>299</v>
      </c>
      <c r="S21" s="2">
        <v>291</v>
      </c>
    </row>
    <row r="22" spans="1:20" x14ac:dyDescent="0.25">
      <c r="A22" s="2" t="s">
        <v>15</v>
      </c>
      <c r="B22" s="19">
        <v>77</v>
      </c>
      <c r="C22" s="19">
        <v>94</v>
      </c>
      <c r="D22" s="19">
        <v>103</v>
      </c>
      <c r="E22" s="62">
        <v>129</v>
      </c>
      <c r="F22" s="62">
        <v>146</v>
      </c>
      <c r="G22" s="62">
        <v>112.7</v>
      </c>
      <c r="I22" s="27" t="s">
        <v>38</v>
      </c>
      <c r="J22" s="20">
        <f>SUM(J18:J21)</f>
        <v>99.121000000000009</v>
      </c>
      <c r="K22" s="20">
        <f>SUM(K18:K21)</f>
        <v>112.09299999999999</v>
      </c>
      <c r="L22" s="20">
        <f t="shared" ref="L22:M22" si="9">SUM(L18:L21)</f>
        <v>118.12800000000001</v>
      </c>
      <c r="M22" s="20">
        <f t="shared" si="9"/>
        <v>202.554</v>
      </c>
      <c r="N22" s="20">
        <f>SUM(N19:N21)</f>
        <v>61</v>
      </c>
      <c r="O22" s="20">
        <f>SUM(O19:O21)</f>
        <v>146</v>
      </c>
      <c r="P22" s="20">
        <f>P19+P20+P21</f>
        <v>178.1</v>
      </c>
      <c r="Q22" s="20">
        <f>SUM(Q18:Q21)</f>
        <v>274</v>
      </c>
      <c r="R22" s="141">
        <f>SUM(R18:R21)</f>
        <v>360</v>
      </c>
      <c r="S22" s="141">
        <f>SUM(S18:S21)</f>
        <v>351</v>
      </c>
    </row>
    <row r="23" spans="1:20" x14ac:dyDescent="0.25">
      <c r="A23" s="2" t="s">
        <v>26</v>
      </c>
      <c r="B23" s="19">
        <v>1</v>
      </c>
      <c r="C23" s="19">
        <v>6</v>
      </c>
      <c r="D23" s="19">
        <v>6</v>
      </c>
      <c r="E23" s="2">
        <v>5</v>
      </c>
      <c r="F23" s="2">
        <v>4</v>
      </c>
      <c r="G23" s="2">
        <v>3</v>
      </c>
      <c r="I23" s="25" t="s">
        <v>39</v>
      </c>
      <c r="J23" s="1"/>
      <c r="K23" s="2"/>
      <c r="L23" s="2"/>
      <c r="M23" s="2"/>
      <c r="N23" s="35"/>
      <c r="O23" s="35"/>
      <c r="P23" s="36"/>
      <c r="Q23" s="36"/>
      <c r="R23" s="143"/>
      <c r="S23" s="2"/>
    </row>
    <row r="24" spans="1:20" x14ac:dyDescent="0.25">
      <c r="A24" s="51" t="s">
        <v>17</v>
      </c>
      <c r="B24" s="20">
        <f>B18-B22-B23+B7</f>
        <v>840.00000000000045</v>
      </c>
      <c r="C24" s="65">
        <f>C18-C22-C23+C7</f>
        <v>728.99999999999977</v>
      </c>
      <c r="D24" s="65">
        <f>D18-D22-D23+D7</f>
        <v>505.99999999999977</v>
      </c>
      <c r="E24" s="65">
        <f>E18-E22-E23+E7</f>
        <v>614.99999999999989</v>
      </c>
      <c r="F24" s="65">
        <f>F18-F22-F23+F7</f>
        <v>604.00000000000023</v>
      </c>
      <c r="G24" s="65">
        <f t="shared" ref="G24" si="10">G18-G22-G23+G7</f>
        <v>498.19999999999965</v>
      </c>
      <c r="I24" s="26" t="s">
        <v>40</v>
      </c>
      <c r="J24" s="2"/>
      <c r="K24" s="2"/>
      <c r="L24" s="2"/>
      <c r="M24" s="2"/>
      <c r="N24" s="35"/>
      <c r="O24" s="35"/>
      <c r="P24" s="36"/>
      <c r="Q24" s="2"/>
      <c r="R24" s="144"/>
      <c r="S24" s="2"/>
    </row>
    <row r="25" spans="1:20" x14ac:dyDescent="0.25">
      <c r="A25" t="s">
        <v>195</v>
      </c>
      <c r="B25" s="19">
        <v>10</v>
      </c>
      <c r="C25" s="19">
        <v>17</v>
      </c>
      <c r="D25" s="19">
        <v>0</v>
      </c>
      <c r="E25" s="2"/>
      <c r="F25" s="62"/>
      <c r="G25" s="62"/>
      <c r="I25" s="26" t="s">
        <v>35</v>
      </c>
      <c r="J25" s="2"/>
      <c r="K25" s="2"/>
      <c r="L25" s="2"/>
      <c r="M25" s="2"/>
      <c r="N25" s="35"/>
      <c r="O25" s="35"/>
      <c r="P25" s="36"/>
      <c r="Q25" s="36" t="s">
        <v>185</v>
      </c>
      <c r="R25" s="143" t="s">
        <v>186</v>
      </c>
      <c r="S25" s="2"/>
    </row>
    <row r="26" spans="1:20" x14ac:dyDescent="0.25">
      <c r="A26" s="1" t="s">
        <v>29</v>
      </c>
      <c r="B26" s="18">
        <f t="shared" ref="B26:D26" si="11">SUM(B27:B30)</f>
        <v>245</v>
      </c>
      <c r="C26" s="18">
        <f t="shared" si="11"/>
        <v>169</v>
      </c>
      <c r="D26" s="18">
        <f t="shared" si="11"/>
        <v>110</v>
      </c>
      <c r="E26" s="97">
        <f>SUM(E27:E30)</f>
        <v>112</v>
      </c>
      <c r="F26" s="97">
        <f>SUM(F27:F30)</f>
        <v>122</v>
      </c>
      <c r="G26" s="97">
        <v>108.9</v>
      </c>
      <c r="I26" s="26" t="s">
        <v>41</v>
      </c>
      <c r="J26" s="19">
        <v>1168.681</v>
      </c>
      <c r="K26" s="19">
        <v>1129.114</v>
      </c>
      <c r="L26" s="19">
        <v>1473.941</v>
      </c>
      <c r="M26" s="19">
        <v>2359.0329999999999</v>
      </c>
      <c r="N26" s="19">
        <f>206+546</f>
        <v>752</v>
      </c>
      <c r="O26" s="19">
        <f>177+584</f>
        <v>761</v>
      </c>
      <c r="P26" s="19">
        <f>226+694</f>
        <v>920</v>
      </c>
      <c r="Q26" s="57">
        <f>257+644</f>
        <v>901</v>
      </c>
      <c r="R26" s="131">
        <f>292+663</f>
        <v>955</v>
      </c>
      <c r="S26" s="2">
        <v>1247</v>
      </c>
      <c r="T26" s="46"/>
    </row>
    <row r="27" spans="1:20" x14ac:dyDescent="0.25">
      <c r="A27" s="2" t="s">
        <v>27</v>
      </c>
      <c r="B27" s="19">
        <v>222</v>
      </c>
      <c r="C27" s="19">
        <v>173</v>
      </c>
      <c r="D27" s="19">
        <v>103</v>
      </c>
      <c r="E27" s="2">
        <v>58</v>
      </c>
      <c r="F27" s="62">
        <v>116</v>
      </c>
      <c r="G27" s="62">
        <v>104.9</v>
      </c>
      <c r="I27" s="26" t="s">
        <v>42</v>
      </c>
      <c r="J27" s="19">
        <v>617.91700000000003</v>
      </c>
      <c r="K27" s="19">
        <v>534.01900000000001</v>
      </c>
      <c r="L27" s="19">
        <v>687.08</v>
      </c>
      <c r="M27" s="19">
        <v>838.90700000000004</v>
      </c>
      <c r="N27" s="71">
        <v>109</v>
      </c>
      <c r="O27" s="2">
        <v>37</v>
      </c>
      <c r="P27" s="71">
        <v>172</v>
      </c>
      <c r="Q27" s="57">
        <v>28</v>
      </c>
      <c r="R27" s="131">
        <v>27</v>
      </c>
      <c r="S27" s="2">
        <v>22</v>
      </c>
    </row>
    <row r="28" spans="1:20" x14ac:dyDescent="0.25">
      <c r="A28" t="s">
        <v>197</v>
      </c>
      <c r="B28" s="19"/>
      <c r="C28" s="19">
        <v>0</v>
      </c>
      <c r="D28" s="19">
        <v>-39</v>
      </c>
      <c r="E28" s="2"/>
      <c r="F28" s="62"/>
      <c r="G28" s="62"/>
      <c r="I28" s="26"/>
      <c r="J28" s="19"/>
      <c r="K28" s="19"/>
      <c r="L28" s="19"/>
      <c r="M28" s="19"/>
      <c r="N28" s="71"/>
      <c r="O28" s="2"/>
      <c r="P28" s="71"/>
      <c r="Q28" s="57"/>
      <c r="R28" s="131"/>
      <c r="S28" s="2"/>
    </row>
    <row r="29" spans="1:20" x14ac:dyDescent="0.25">
      <c r="A29" t="s">
        <v>198</v>
      </c>
      <c r="B29" s="19"/>
      <c r="C29" s="19">
        <v>0</v>
      </c>
      <c r="D29" s="19">
        <v>39</v>
      </c>
      <c r="E29" s="2"/>
      <c r="F29" s="62"/>
      <c r="G29" s="62"/>
      <c r="I29" s="26"/>
      <c r="J29" s="19"/>
      <c r="K29" s="19"/>
      <c r="L29" s="19"/>
      <c r="M29" s="19"/>
      <c r="N29" s="71"/>
      <c r="O29" s="2"/>
      <c r="P29" s="71"/>
      <c r="Q29" s="57"/>
      <c r="R29" s="131"/>
      <c r="S29" s="2"/>
    </row>
    <row r="30" spans="1:20" x14ac:dyDescent="0.25">
      <c r="A30" s="2" t="s">
        <v>28</v>
      </c>
      <c r="B30" s="19">
        <v>23</v>
      </c>
      <c r="C30" s="19">
        <v>-4</v>
      </c>
      <c r="D30" s="19">
        <v>7</v>
      </c>
      <c r="E30" s="2">
        <v>54</v>
      </c>
      <c r="F30" s="2">
        <v>6</v>
      </c>
      <c r="G30" s="57">
        <v>4</v>
      </c>
      <c r="I30" s="26" t="s">
        <v>181</v>
      </c>
      <c r="J30" s="19"/>
      <c r="K30" s="19"/>
      <c r="L30" s="19"/>
      <c r="M30" s="19"/>
      <c r="N30" s="19">
        <v>0</v>
      </c>
      <c r="O30" s="19">
        <v>10</v>
      </c>
      <c r="P30" s="19">
        <v>11</v>
      </c>
      <c r="Q30" s="57">
        <v>6</v>
      </c>
      <c r="R30" s="131">
        <v>7</v>
      </c>
      <c r="S30" s="2">
        <v>7</v>
      </c>
    </row>
    <row r="31" spans="1:20" x14ac:dyDescent="0.25">
      <c r="A31" s="63" t="s">
        <v>18</v>
      </c>
      <c r="B31" s="58">
        <f t="shared" ref="B31:D31" si="12">B26/B24</f>
        <v>0.29166666666666652</v>
      </c>
      <c r="C31" s="58">
        <f t="shared" si="12"/>
        <v>0.23182441700960227</v>
      </c>
      <c r="D31" s="58">
        <f t="shared" si="12"/>
        <v>0.21739130434782619</v>
      </c>
      <c r="E31" s="58">
        <f>E26/E24</f>
        <v>0.18211382113821142</v>
      </c>
      <c r="F31" s="58">
        <f>F26/F24</f>
        <v>0.20198675496688734</v>
      </c>
      <c r="G31" s="58">
        <f>G26/G24</f>
        <v>0.21858691288639118</v>
      </c>
      <c r="I31" s="26" t="s">
        <v>43</v>
      </c>
      <c r="J31" s="19">
        <v>39.911999999999999</v>
      </c>
      <c r="K31" s="19">
        <v>134.035</v>
      </c>
      <c r="L31" s="19">
        <v>191.47200000000001</v>
      </c>
      <c r="M31" s="19">
        <v>239.31299999999999</v>
      </c>
      <c r="N31" s="62">
        <v>145</v>
      </c>
      <c r="O31" s="62">
        <v>120</v>
      </c>
      <c r="P31" s="62">
        <v>130</v>
      </c>
      <c r="Q31" s="62">
        <v>142</v>
      </c>
      <c r="R31" s="145">
        <v>217</v>
      </c>
      <c r="S31" s="131">
        <v>0</v>
      </c>
    </row>
    <row r="32" spans="1:20" x14ac:dyDescent="0.25">
      <c r="A32" s="51" t="s">
        <v>19</v>
      </c>
      <c r="B32" s="20">
        <f t="shared" ref="B32:D32" si="13">B24-B25-B26</f>
        <v>585.00000000000045</v>
      </c>
      <c r="C32" s="20">
        <f t="shared" si="13"/>
        <v>542.99999999999977</v>
      </c>
      <c r="D32" s="20">
        <f t="shared" si="13"/>
        <v>395.99999999999977</v>
      </c>
      <c r="E32" s="20">
        <f>E24-E25-E26</f>
        <v>502.99999999999989</v>
      </c>
      <c r="F32" s="20">
        <f>F24-F25-F26</f>
        <v>482.00000000000023</v>
      </c>
      <c r="G32" s="20">
        <f>G24-G25-G26</f>
        <v>389.29999999999961</v>
      </c>
      <c r="I32" s="26" t="s">
        <v>44</v>
      </c>
      <c r="J32" s="19">
        <v>73.281000000000006</v>
      </c>
      <c r="K32" s="19">
        <v>12.839</v>
      </c>
      <c r="L32" s="19">
        <v>13.836</v>
      </c>
      <c r="M32" s="19">
        <v>22.213999999999999</v>
      </c>
      <c r="N32" s="2">
        <v>9</v>
      </c>
      <c r="O32" s="2">
        <v>7</v>
      </c>
      <c r="P32" s="2">
        <v>10</v>
      </c>
      <c r="Q32" s="57">
        <v>9</v>
      </c>
      <c r="R32" s="131">
        <v>9</v>
      </c>
      <c r="S32" s="2">
        <v>11</v>
      </c>
    </row>
    <row r="33" spans="1:33" x14ac:dyDescent="0.25">
      <c r="A33" s="51" t="s">
        <v>20</v>
      </c>
      <c r="B33" s="22">
        <f t="shared" ref="B33:D33" si="14">B32/B6</f>
        <v>0.11138613861386147</v>
      </c>
      <c r="C33" s="22">
        <f t="shared" si="14"/>
        <v>0.1134085213032581</v>
      </c>
      <c r="D33" s="22">
        <f t="shared" si="14"/>
        <v>8.2294264339152073E-2</v>
      </c>
      <c r="E33" s="22">
        <f>E32/E6</f>
        <v>8.882217905703689E-2</v>
      </c>
      <c r="F33" s="22">
        <f>F32/F6</f>
        <v>7.3442023464878894E-2</v>
      </c>
      <c r="G33" s="22">
        <f>G32/G6</f>
        <v>7.3675246025738009E-2</v>
      </c>
      <c r="I33" s="26" t="s">
        <v>45</v>
      </c>
      <c r="J33" s="19"/>
      <c r="K33" s="19">
        <v>0.24299999999999999</v>
      </c>
      <c r="L33" s="19">
        <v>12.641999999999999</v>
      </c>
      <c r="M33" s="19">
        <v>38.790999999999997</v>
      </c>
      <c r="N33" s="71">
        <v>17</v>
      </c>
      <c r="O33" s="2">
        <v>16</v>
      </c>
      <c r="P33" s="19">
        <v>0</v>
      </c>
      <c r="Q33" s="57"/>
      <c r="R33" s="131">
        <v>0</v>
      </c>
      <c r="S33" s="2">
        <v>234</v>
      </c>
    </row>
    <row r="34" spans="1:33" ht="15.75" thickBot="1" x14ac:dyDescent="0.3">
      <c r="A34" s="2" t="s">
        <v>21</v>
      </c>
      <c r="B34" s="19">
        <v>169</v>
      </c>
      <c r="C34" s="19">
        <f>-49</f>
        <v>-49</v>
      </c>
      <c r="D34" s="19">
        <v>39</v>
      </c>
      <c r="E34" s="62">
        <v>172</v>
      </c>
      <c r="F34" s="62">
        <v>298</v>
      </c>
      <c r="G34" s="62">
        <v>209</v>
      </c>
      <c r="I34" s="90" t="s">
        <v>46</v>
      </c>
      <c r="J34" s="91">
        <f t="shared" ref="J34:M34" si="15">SUM(J25:J33)</f>
        <v>1899.7909999999999</v>
      </c>
      <c r="K34" s="91">
        <f t="shared" si="15"/>
        <v>1810.25</v>
      </c>
      <c r="L34" s="91">
        <f t="shared" si="15"/>
        <v>2378.971</v>
      </c>
      <c r="M34" s="91">
        <f t="shared" si="15"/>
        <v>3498.2580000000003</v>
      </c>
      <c r="N34" s="91">
        <f>SUM(N23:N33)</f>
        <v>1032</v>
      </c>
      <c r="O34" s="91">
        <f t="shared" ref="O34" si="16">SUM(O23:O33)</f>
        <v>951</v>
      </c>
      <c r="P34" s="91">
        <f>SUM(P23:P33)</f>
        <v>1243</v>
      </c>
      <c r="Q34" s="91">
        <f>SUM(Q25:Q33)</f>
        <v>1086</v>
      </c>
      <c r="R34" s="146">
        <f>SUM(R25:R33)</f>
        <v>1215</v>
      </c>
      <c r="S34" s="146">
        <f>SUM(S25:S33)</f>
        <v>1521</v>
      </c>
    </row>
    <row r="35" spans="1:33" ht="15.75" thickBot="1" x14ac:dyDescent="0.3">
      <c r="A35" s="51" t="s">
        <v>196</v>
      </c>
      <c r="B35" s="20">
        <f>B32+B34</f>
        <v>754.00000000000045</v>
      </c>
      <c r="C35" s="20">
        <f>C32+SUM(C34:C34)</f>
        <v>493.99999999999977</v>
      </c>
      <c r="D35" s="20">
        <f>D32+SUM(D34:D34)</f>
        <v>434.99999999999977</v>
      </c>
      <c r="E35" s="20">
        <f>E32+SUM(E34:E34)</f>
        <v>674.99999999999989</v>
      </c>
      <c r="F35" s="20">
        <f>F32+SUM(F34:F34)</f>
        <v>780.00000000000023</v>
      </c>
      <c r="G35" s="20">
        <f>G32+SUM(G34:G34)</f>
        <v>598.29999999999961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2"/>
    </row>
    <row r="36" spans="1:33" x14ac:dyDescent="0.25">
      <c r="A36" s="63" t="s">
        <v>8</v>
      </c>
      <c r="B36" s="21"/>
      <c r="C36" s="21">
        <f>C35/B35-1</f>
        <v>-0.34482758620689724</v>
      </c>
      <c r="D36" s="21">
        <f t="shared" ref="D36" si="17">D35/C35-1</f>
        <v>-0.11943319838056687</v>
      </c>
      <c r="E36" s="21">
        <f>E35/D35-1</f>
        <v>0.55172413793103514</v>
      </c>
      <c r="F36" s="21">
        <f>F35/E35-1</f>
        <v>0.15555555555555611</v>
      </c>
      <c r="G36" s="21"/>
      <c r="I36" s="53" t="s">
        <v>62</v>
      </c>
      <c r="J36" s="94"/>
      <c r="K36" s="54"/>
      <c r="L36" s="54"/>
      <c r="M36" s="54"/>
      <c r="N36" s="54"/>
      <c r="O36" s="54"/>
      <c r="P36" s="54"/>
      <c r="Q36" s="54"/>
      <c r="R36" s="147"/>
      <c r="S36" s="2"/>
    </row>
    <row r="37" spans="1:33" x14ac:dyDescent="0.25">
      <c r="A37" s="63" t="s">
        <v>9</v>
      </c>
      <c r="B37" s="29"/>
      <c r="C37" s="29"/>
      <c r="D37" s="29"/>
      <c r="E37" s="29">
        <f>(((E35/B35)^(1/3)-1)*-1)</f>
        <v>3.6220963324037792E-2</v>
      </c>
      <c r="F37" s="29">
        <f>+((F35/C35)^(1/3)-1)</f>
        <v>0.16445457431121624</v>
      </c>
      <c r="G37" s="29"/>
      <c r="I37" s="26" t="s">
        <v>48</v>
      </c>
      <c r="J37" s="19">
        <v>2794.7750000000001</v>
      </c>
      <c r="K37" s="19">
        <v>3373.2649999999999</v>
      </c>
      <c r="L37" s="19">
        <v>3316.1669999999999</v>
      </c>
      <c r="M37" s="19">
        <v>3212.8989999999999</v>
      </c>
      <c r="N37" s="71">
        <v>591</v>
      </c>
      <c r="O37" s="71">
        <v>604</v>
      </c>
      <c r="P37" s="19">
        <v>715</v>
      </c>
      <c r="Q37" s="62">
        <v>1163</v>
      </c>
      <c r="R37" s="145">
        <v>1211</v>
      </c>
      <c r="S37" s="2">
        <v>1243</v>
      </c>
    </row>
    <row r="38" spans="1:33" x14ac:dyDescent="0.25">
      <c r="A38" s="1" t="s">
        <v>22</v>
      </c>
      <c r="B38" s="3">
        <v>25.88</v>
      </c>
      <c r="C38" s="3">
        <v>24.02</v>
      </c>
      <c r="D38" s="3">
        <v>17.52</v>
      </c>
      <c r="E38" s="1">
        <v>22.21</v>
      </c>
      <c r="F38" s="1">
        <v>21.32</v>
      </c>
      <c r="G38" s="1">
        <v>17.190000000000001</v>
      </c>
      <c r="I38" s="26" t="s">
        <v>49</v>
      </c>
      <c r="J38" s="19">
        <v>69.36</v>
      </c>
      <c r="K38" s="19">
        <v>18.068999999999999</v>
      </c>
      <c r="L38" s="19">
        <v>70.930999999999997</v>
      </c>
      <c r="M38" s="19">
        <v>51.779000000000003</v>
      </c>
      <c r="N38" s="2">
        <v>69</v>
      </c>
      <c r="O38" s="71">
        <v>132</v>
      </c>
      <c r="P38" s="19">
        <v>339</v>
      </c>
      <c r="Q38" s="2">
        <v>51</v>
      </c>
      <c r="R38" s="145">
        <v>128</v>
      </c>
      <c r="S38" s="2">
        <v>155</v>
      </c>
    </row>
    <row r="39" spans="1:33" x14ac:dyDescent="0.25">
      <c r="A39" s="33" t="s">
        <v>8</v>
      </c>
      <c r="B39" s="29"/>
      <c r="C39" s="29">
        <f>+C38/B38-1</f>
        <v>-7.1870170015455925E-2</v>
      </c>
      <c r="D39" s="29">
        <f t="shared" ref="D39" si="18">+D38/C38-1</f>
        <v>-0.27060782681099083</v>
      </c>
      <c r="E39" s="29">
        <f>+E38/D38-1</f>
        <v>0.26769406392694073</v>
      </c>
      <c r="F39" s="29">
        <f>+F38/E38-1</f>
        <v>-4.0072039621791955E-2</v>
      </c>
      <c r="G39" s="29"/>
      <c r="I39" s="26" t="s">
        <v>173</v>
      </c>
      <c r="J39" s="19"/>
      <c r="K39" s="19"/>
      <c r="L39" s="19"/>
      <c r="M39" s="19"/>
      <c r="N39" s="19"/>
      <c r="O39" s="71">
        <v>140</v>
      </c>
      <c r="P39" s="19">
        <v>131</v>
      </c>
      <c r="Q39" s="62">
        <v>122</v>
      </c>
      <c r="R39" s="145">
        <v>118</v>
      </c>
      <c r="S39" s="2">
        <v>113</v>
      </c>
    </row>
    <row r="40" spans="1:33" x14ac:dyDescent="0.25">
      <c r="A40" s="33" t="s">
        <v>9</v>
      </c>
      <c r="B40" s="29"/>
      <c r="C40" s="29"/>
      <c r="D40" s="29"/>
      <c r="E40" s="29">
        <f>+((E38/B38)^(1/3)-1)</f>
        <v>-4.9698469202234641E-2</v>
      </c>
      <c r="F40" s="29">
        <f>+((F38/C38)^(1/3)-1)</f>
        <v>-3.8967519995541378E-2</v>
      </c>
      <c r="G40" s="29"/>
      <c r="I40" s="26" t="s">
        <v>175</v>
      </c>
      <c r="J40" s="19">
        <v>96.061000000000007</v>
      </c>
      <c r="K40" s="19">
        <v>111.235</v>
      </c>
      <c r="L40" s="19">
        <v>109.246</v>
      </c>
      <c r="M40" s="19">
        <v>127.5</v>
      </c>
      <c r="N40" s="2">
        <v>54</v>
      </c>
      <c r="O40" s="2">
        <v>51</v>
      </c>
      <c r="P40" s="19">
        <v>56</v>
      </c>
      <c r="Q40" s="62" t="s">
        <v>187</v>
      </c>
      <c r="R40" s="145" t="s">
        <v>188</v>
      </c>
      <c r="S40" s="2"/>
    </row>
    <row r="41" spans="1:33" x14ac:dyDescent="0.25">
      <c r="I41" s="26" t="s">
        <v>176</v>
      </c>
      <c r="J41" s="19">
        <v>37.162999999999997</v>
      </c>
      <c r="K41" s="19">
        <v>36.83</v>
      </c>
      <c r="L41" s="19">
        <v>37.058999999999997</v>
      </c>
      <c r="M41" s="19">
        <v>32.225000000000001</v>
      </c>
      <c r="N41" s="2">
        <v>17</v>
      </c>
      <c r="O41" s="2">
        <v>16</v>
      </c>
      <c r="P41" s="19">
        <v>12.5</v>
      </c>
      <c r="Q41" s="57">
        <v>17</v>
      </c>
      <c r="R41" s="144">
        <v>16</v>
      </c>
      <c r="S41" s="2">
        <v>13</v>
      </c>
    </row>
    <row r="42" spans="1:33" x14ac:dyDescent="0.25">
      <c r="I42" s="26" t="s">
        <v>177</v>
      </c>
      <c r="J42" s="19"/>
      <c r="K42" s="19"/>
      <c r="L42" s="19"/>
      <c r="M42" s="19"/>
      <c r="N42" s="19"/>
      <c r="O42" s="19"/>
      <c r="P42" s="19"/>
      <c r="Q42" s="2"/>
      <c r="R42" s="144"/>
      <c r="S42" s="2"/>
      <c r="AG42">
        <f>4788-549</f>
        <v>4239</v>
      </c>
    </row>
    <row r="43" spans="1:33" x14ac:dyDescent="0.25">
      <c r="A43" s="174" t="s">
        <v>88</v>
      </c>
      <c r="B43" s="175"/>
      <c r="C43" s="175"/>
      <c r="D43" s="175"/>
      <c r="E43" s="175"/>
      <c r="F43" s="175"/>
      <c r="G43" s="175"/>
      <c r="I43" s="26" t="s">
        <v>50</v>
      </c>
      <c r="J43" s="19"/>
      <c r="K43" s="19">
        <v>3.5000000000000003E-2</v>
      </c>
      <c r="L43" s="19">
        <v>2.5000000000000001E-2</v>
      </c>
      <c r="M43" s="19">
        <v>40.607999999999997</v>
      </c>
      <c r="N43" s="19">
        <v>1260</v>
      </c>
      <c r="O43" s="19">
        <v>1187</v>
      </c>
      <c r="P43" s="19">
        <v>1281</v>
      </c>
      <c r="Q43" s="62">
        <v>1456</v>
      </c>
      <c r="R43" s="145">
        <v>2027</v>
      </c>
      <c r="S43" s="2">
        <v>2046</v>
      </c>
    </row>
    <row r="44" spans="1:33" x14ac:dyDescent="0.25">
      <c r="A44" s="1" t="s">
        <v>1</v>
      </c>
      <c r="B44" s="49" t="s">
        <v>5</v>
      </c>
      <c r="C44" s="50" t="s">
        <v>6</v>
      </c>
      <c r="D44" s="50" t="s">
        <v>171</v>
      </c>
      <c r="E44" s="50" t="s">
        <v>172</v>
      </c>
      <c r="F44" s="50" t="s">
        <v>184</v>
      </c>
      <c r="G44" s="50" t="s">
        <v>206</v>
      </c>
      <c r="I44" s="26" t="s">
        <v>51</v>
      </c>
      <c r="J44" s="19"/>
      <c r="K44" s="19">
        <v>38.648000000000003</v>
      </c>
      <c r="L44" s="19">
        <v>85.988</v>
      </c>
      <c r="M44" s="19">
        <v>35.741999999999997</v>
      </c>
      <c r="N44" s="19">
        <v>4</v>
      </c>
      <c r="O44" s="19">
        <v>4.3</v>
      </c>
      <c r="P44" s="19">
        <v>4.5999999999999996</v>
      </c>
      <c r="Q44" s="57">
        <v>45</v>
      </c>
      <c r="R44" s="145">
        <v>8</v>
      </c>
      <c r="S44" s="2">
        <v>9</v>
      </c>
    </row>
    <row r="45" spans="1:33" x14ac:dyDescent="0.25">
      <c r="A45" s="1" t="s">
        <v>89</v>
      </c>
      <c r="B45" s="19">
        <v>43</v>
      </c>
      <c r="C45" s="19">
        <v>61</v>
      </c>
      <c r="D45" s="19">
        <f>C50</f>
        <v>137</v>
      </c>
      <c r="E45" s="57">
        <f>D50</f>
        <v>37</v>
      </c>
      <c r="F45" s="57">
        <v>236</v>
      </c>
      <c r="G45" s="128">
        <v>129</v>
      </c>
      <c r="I45" s="26" t="s">
        <v>161</v>
      </c>
      <c r="J45" s="19">
        <v>473.12299999999999</v>
      </c>
      <c r="K45" s="19"/>
      <c r="L45" s="19"/>
      <c r="M45" s="19"/>
      <c r="N45" s="19">
        <v>9</v>
      </c>
      <c r="O45" s="19">
        <v>9</v>
      </c>
      <c r="P45" s="19">
        <v>8.1999999999999993</v>
      </c>
      <c r="Q45" s="57">
        <v>11</v>
      </c>
      <c r="R45" s="131">
        <v>12</v>
      </c>
      <c r="S45" s="2">
        <v>10</v>
      </c>
    </row>
    <row r="46" spans="1:33" x14ac:dyDescent="0.25">
      <c r="A46" s="2" t="s">
        <v>90</v>
      </c>
      <c r="B46" s="19">
        <v>363</v>
      </c>
      <c r="C46" s="19">
        <v>517</v>
      </c>
      <c r="D46" s="19">
        <v>382</v>
      </c>
      <c r="E46" s="57">
        <v>71</v>
      </c>
      <c r="F46" s="57">
        <v>569</v>
      </c>
      <c r="G46" s="128">
        <v>281</v>
      </c>
      <c r="I46" s="26" t="s">
        <v>178</v>
      </c>
      <c r="J46" s="19">
        <v>24.844999999999999</v>
      </c>
      <c r="K46" s="19">
        <v>380.60899999999998</v>
      </c>
      <c r="L46" s="19">
        <v>424.26799999999997</v>
      </c>
      <c r="M46" s="19">
        <v>710.62300000000005</v>
      </c>
      <c r="N46" s="19">
        <v>111</v>
      </c>
      <c r="O46" s="19">
        <v>48</v>
      </c>
      <c r="P46" s="19">
        <v>25.2</v>
      </c>
      <c r="Q46" s="57">
        <v>10</v>
      </c>
      <c r="R46" s="131">
        <v>1</v>
      </c>
      <c r="S46" s="2">
        <v>2</v>
      </c>
    </row>
    <row r="47" spans="1:33" x14ac:dyDescent="0.25">
      <c r="A47" s="2" t="s">
        <v>91</v>
      </c>
      <c r="B47" s="19">
        <v>-167</v>
      </c>
      <c r="C47" s="19">
        <v>-66</v>
      </c>
      <c r="D47" s="19">
        <v>-335</v>
      </c>
      <c r="E47" s="57">
        <v>281</v>
      </c>
      <c r="F47" s="57">
        <v>-457</v>
      </c>
      <c r="G47" s="128">
        <v>-281</v>
      </c>
      <c r="I47" s="26" t="s">
        <v>179</v>
      </c>
      <c r="J47" s="19"/>
      <c r="K47" s="19"/>
      <c r="L47" s="19"/>
      <c r="M47" s="19"/>
      <c r="N47" s="19"/>
      <c r="O47" s="19">
        <v>0</v>
      </c>
      <c r="P47" s="19"/>
      <c r="Q47" s="57"/>
      <c r="R47" s="131"/>
      <c r="S47" s="2"/>
      <c r="AC47">
        <f>729-263+100</f>
        <v>566</v>
      </c>
    </row>
    <row r="48" spans="1:33" x14ac:dyDescent="0.25">
      <c r="A48" s="2" t="s">
        <v>92</v>
      </c>
      <c r="B48" s="19">
        <v>-178</v>
      </c>
      <c r="C48" s="19">
        <v>-375</v>
      </c>
      <c r="D48" s="19">
        <v>-147</v>
      </c>
      <c r="E48" s="57">
        <v>-153</v>
      </c>
      <c r="F48" s="57">
        <v>-219</v>
      </c>
      <c r="G48" s="128">
        <v>-7</v>
      </c>
      <c r="I48" s="27" t="s">
        <v>52</v>
      </c>
      <c r="J48" s="20">
        <f t="shared" ref="J48:P48" si="19">SUM(J37:J47)</f>
        <v>3495.3270000000002</v>
      </c>
      <c r="K48" s="20">
        <f t="shared" si="19"/>
        <v>3958.6909999999998</v>
      </c>
      <c r="L48" s="20">
        <f t="shared" si="19"/>
        <v>4043.6840000000002</v>
      </c>
      <c r="M48" s="20">
        <f t="shared" si="19"/>
        <v>4211.3760000000002</v>
      </c>
      <c r="N48" s="20">
        <f t="shared" si="19"/>
        <v>2115</v>
      </c>
      <c r="O48" s="20">
        <f>SUM(O37:O47)</f>
        <v>2191.3000000000002</v>
      </c>
      <c r="P48" s="20">
        <f t="shared" si="19"/>
        <v>2572.4999999999995</v>
      </c>
      <c r="Q48" s="20">
        <f>SUM(Q37:Q47)</f>
        <v>2875</v>
      </c>
      <c r="R48" s="141">
        <f>SUM(R37:R47)</f>
        <v>3521</v>
      </c>
      <c r="S48" s="141">
        <f>SUM(S37:S47)</f>
        <v>3591</v>
      </c>
    </row>
    <row r="49" spans="1:29" x14ac:dyDescent="0.25">
      <c r="A49" s="1" t="s">
        <v>93</v>
      </c>
      <c r="B49" s="18">
        <f>+B46+B47+B48</f>
        <v>18</v>
      </c>
      <c r="C49" s="18">
        <f t="shared" ref="C49:D49" si="20">+C46+C47+C48</f>
        <v>76</v>
      </c>
      <c r="D49" s="18">
        <f t="shared" si="20"/>
        <v>-100</v>
      </c>
      <c r="E49" s="97">
        <f>+E46+E47+E48</f>
        <v>199</v>
      </c>
      <c r="F49" s="97">
        <f>+F46+F47+F48</f>
        <v>-107</v>
      </c>
      <c r="G49" s="50">
        <f>G48+G47+G46</f>
        <v>-7</v>
      </c>
      <c r="I49" s="25" t="s">
        <v>53</v>
      </c>
      <c r="J49" s="1"/>
      <c r="K49" s="2"/>
      <c r="L49" s="2"/>
      <c r="M49" s="2"/>
      <c r="N49" s="35"/>
      <c r="O49" s="35"/>
      <c r="P49" s="36"/>
      <c r="Q49" s="36"/>
      <c r="R49" s="143"/>
      <c r="S49" s="2"/>
    </row>
    <row r="50" spans="1:29" x14ac:dyDescent="0.25">
      <c r="A50" s="51" t="s">
        <v>94</v>
      </c>
      <c r="B50" s="20">
        <f>+B45+B49</f>
        <v>61</v>
      </c>
      <c r="C50" s="20">
        <f>+C45+C49</f>
        <v>137</v>
      </c>
      <c r="D50" s="20">
        <f>+D45+D49</f>
        <v>37</v>
      </c>
      <c r="E50" s="20">
        <f>+E45+E49</f>
        <v>236</v>
      </c>
      <c r="F50" s="20">
        <f>+F45+F49</f>
        <v>129</v>
      </c>
      <c r="G50" s="129">
        <v>122</v>
      </c>
      <c r="I50" s="26" t="s">
        <v>54</v>
      </c>
      <c r="J50" s="19">
        <v>1418.1790000000001</v>
      </c>
      <c r="K50" s="19">
        <v>1238.231</v>
      </c>
      <c r="L50" s="19">
        <v>1135.971</v>
      </c>
      <c r="M50" s="19">
        <v>1442.981</v>
      </c>
      <c r="N50" s="19">
        <v>353</v>
      </c>
      <c r="O50" s="19">
        <v>387</v>
      </c>
      <c r="P50" s="19">
        <v>438</v>
      </c>
      <c r="Q50" s="62">
        <v>496</v>
      </c>
      <c r="R50" s="145">
        <v>561</v>
      </c>
      <c r="S50" s="2">
        <v>607</v>
      </c>
      <c r="AC50">
        <f>AC47-17</f>
        <v>549</v>
      </c>
    </row>
    <row r="51" spans="1:29" x14ac:dyDescent="0.25">
      <c r="G51" s="59"/>
      <c r="I51" s="26" t="s">
        <v>55</v>
      </c>
      <c r="J51" s="19"/>
      <c r="K51" s="19"/>
      <c r="L51" s="19"/>
      <c r="M51" s="19"/>
      <c r="N51" s="19"/>
      <c r="O51" s="19"/>
      <c r="P51" s="19"/>
      <c r="Q51" s="57"/>
      <c r="R51" s="131"/>
      <c r="S51" s="2"/>
    </row>
    <row r="52" spans="1:29" ht="15.75" thickBot="1" x14ac:dyDescent="0.3">
      <c r="A52" s="176" t="s">
        <v>95</v>
      </c>
      <c r="B52" s="175"/>
      <c r="C52" s="175"/>
      <c r="D52" s="175"/>
      <c r="E52" s="175"/>
      <c r="F52" s="175"/>
      <c r="G52" s="175"/>
      <c r="I52" s="26" t="s">
        <v>50</v>
      </c>
      <c r="J52" s="19">
        <v>43.622</v>
      </c>
      <c r="K52" s="19">
        <v>167.56200000000001</v>
      </c>
      <c r="L52" s="19">
        <v>181.881</v>
      </c>
      <c r="M52" s="19">
        <v>311.99</v>
      </c>
      <c r="N52" s="19">
        <v>1348</v>
      </c>
      <c r="O52" s="19">
        <v>1431</v>
      </c>
      <c r="P52" s="19">
        <v>1325</v>
      </c>
      <c r="Q52" s="62">
        <v>1327</v>
      </c>
      <c r="R52" s="145">
        <v>1523</v>
      </c>
      <c r="S52" s="62">
        <v>1809</v>
      </c>
    </row>
    <row r="53" spans="1:29" x14ac:dyDescent="0.25">
      <c r="A53" s="99" t="s">
        <v>1</v>
      </c>
      <c r="B53" s="100" t="s">
        <v>5</v>
      </c>
      <c r="C53" s="101" t="s">
        <v>6</v>
      </c>
      <c r="D53" s="101" t="s">
        <v>171</v>
      </c>
      <c r="E53" s="101" t="s">
        <v>172</v>
      </c>
      <c r="F53" s="130" t="s">
        <v>184</v>
      </c>
      <c r="G53" s="101" t="s">
        <v>206</v>
      </c>
      <c r="I53" s="26" t="s">
        <v>56</v>
      </c>
      <c r="J53" s="19">
        <v>809.10299999999995</v>
      </c>
      <c r="K53" s="19">
        <v>811.56100000000004</v>
      </c>
      <c r="L53" s="19">
        <v>1039.3579999999999</v>
      </c>
      <c r="M53" s="19">
        <v>1699.0820000000001</v>
      </c>
      <c r="N53" s="19">
        <v>1040</v>
      </c>
      <c r="O53" s="19">
        <v>881</v>
      </c>
      <c r="P53" s="19">
        <v>1094</v>
      </c>
      <c r="Q53" s="62">
        <v>1181</v>
      </c>
      <c r="R53" s="145">
        <v>1195</v>
      </c>
      <c r="S53" s="2">
        <v>1394</v>
      </c>
    </row>
    <row r="54" spans="1:29" x14ac:dyDescent="0.25">
      <c r="A54" s="25" t="s">
        <v>96</v>
      </c>
      <c r="B54" s="19">
        <f>B46</f>
        <v>363</v>
      </c>
      <c r="C54" s="19">
        <f>C46</f>
        <v>517</v>
      </c>
      <c r="D54" s="19">
        <f>+D46</f>
        <v>382</v>
      </c>
      <c r="E54" s="57">
        <f>+E46</f>
        <v>71</v>
      </c>
      <c r="F54" s="131">
        <f>+F46</f>
        <v>569</v>
      </c>
      <c r="G54" s="131">
        <f>+G46</f>
        <v>281</v>
      </c>
      <c r="I54" s="26" t="s">
        <v>57</v>
      </c>
      <c r="J54" s="19">
        <v>114.087</v>
      </c>
      <c r="K54" s="19">
        <v>37.756999999999998</v>
      </c>
      <c r="L54" s="19">
        <v>59.036999999999999</v>
      </c>
      <c r="M54" s="19">
        <v>67.146000000000001</v>
      </c>
      <c r="N54" s="57">
        <v>61</v>
      </c>
      <c r="O54" s="19">
        <v>137</v>
      </c>
      <c r="P54" s="19">
        <v>38</v>
      </c>
      <c r="Q54" s="62">
        <v>236</v>
      </c>
      <c r="R54" s="145">
        <v>129</v>
      </c>
      <c r="S54" s="2">
        <v>122</v>
      </c>
    </row>
    <row r="55" spans="1:29" x14ac:dyDescent="0.25">
      <c r="A55" s="26" t="s">
        <v>97</v>
      </c>
      <c r="B55" s="19">
        <v>-156</v>
      </c>
      <c r="C55" s="19">
        <f>-183+118</f>
        <v>-65</v>
      </c>
      <c r="D55" s="19">
        <f>-371</f>
        <v>-371</v>
      </c>
      <c r="E55" s="57">
        <f>-277+244</f>
        <v>-33</v>
      </c>
      <c r="F55" s="131">
        <v>-252</v>
      </c>
      <c r="G55" s="50">
        <v>-129</v>
      </c>
      <c r="I55" s="26" t="s">
        <v>58</v>
      </c>
      <c r="J55" s="19">
        <v>213.56800000000001</v>
      </c>
      <c r="K55" s="19">
        <v>67.641999999999996</v>
      </c>
      <c r="L55" s="19">
        <v>66.626000000000005</v>
      </c>
      <c r="M55" s="19">
        <v>41.164999999999999</v>
      </c>
      <c r="N55" s="19">
        <v>77</v>
      </c>
      <c r="O55" s="19">
        <v>147</v>
      </c>
      <c r="P55" s="19">
        <v>289</v>
      </c>
      <c r="Q55" s="57">
        <v>130</v>
      </c>
      <c r="R55" s="144">
        <v>100</v>
      </c>
      <c r="S55" s="2">
        <v>45</v>
      </c>
    </row>
    <row r="56" spans="1:29" ht="15.75" thickBot="1" x14ac:dyDescent="0.3">
      <c r="A56" s="47" t="s">
        <v>98</v>
      </c>
      <c r="B56" s="30">
        <v>9</v>
      </c>
      <c r="C56" s="30">
        <f t="shared" ref="C56" si="21">+C54+C55</f>
        <v>452</v>
      </c>
      <c r="D56" s="30">
        <f t="shared" ref="D56" si="22">+D54+D55</f>
        <v>11</v>
      </c>
      <c r="E56" s="30">
        <f>+E54+E55</f>
        <v>38</v>
      </c>
      <c r="F56" s="132">
        <f>+F54+F55</f>
        <v>317</v>
      </c>
      <c r="G56" s="133">
        <f>G54+G55</f>
        <v>152</v>
      </c>
      <c r="I56" s="26" t="s">
        <v>189</v>
      </c>
      <c r="J56" s="19"/>
      <c r="K56" s="19"/>
      <c r="L56" s="19"/>
      <c r="M56" s="19"/>
      <c r="N56" s="19">
        <v>53</v>
      </c>
      <c r="O56" s="19">
        <v>51</v>
      </c>
      <c r="P56" s="19">
        <v>50</v>
      </c>
      <c r="Q56" s="57"/>
      <c r="R56" s="131"/>
      <c r="S56" s="2"/>
    </row>
    <row r="57" spans="1:29" ht="15.75" thickBot="1" x14ac:dyDescent="0.3">
      <c r="G57" s="96"/>
      <c r="I57" s="26" t="s">
        <v>174</v>
      </c>
      <c r="J57" s="19"/>
      <c r="K57" s="19">
        <v>20.960999999999999</v>
      </c>
      <c r="L57" s="19">
        <v>22.289000000000001</v>
      </c>
      <c r="M57" s="19">
        <v>29.027000000000001</v>
      </c>
      <c r="N57" s="19">
        <v>10</v>
      </c>
      <c r="O57" s="19">
        <v>10</v>
      </c>
      <c r="P57" s="19">
        <v>11</v>
      </c>
      <c r="Q57" s="57">
        <v>11</v>
      </c>
      <c r="R57" s="131">
        <v>12</v>
      </c>
      <c r="S57" s="2">
        <v>9</v>
      </c>
    </row>
    <row r="58" spans="1:29" ht="15.75" thickBot="1" x14ac:dyDescent="0.3">
      <c r="A58" s="68" t="s">
        <v>170</v>
      </c>
      <c r="B58" s="79" t="s">
        <v>5</v>
      </c>
      <c r="C58" s="69" t="s">
        <v>6</v>
      </c>
      <c r="D58" s="69" t="s">
        <v>171</v>
      </c>
      <c r="E58" s="69" t="s">
        <v>172</v>
      </c>
      <c r="F58" s="69" t="s">
        <v>184</v>
      </c>
      <c r="G58" s="70" t="s">
        <v>206</v>
      </c>
      <c r="I58" s="26" t="s">
        <v>191</v>
      </c>
      <c r="J58" s="19"/>
      <c r="K58" s="19"/>
      <c r="L58" s="19"/>
      <c r="M58" s="19"/>
      <c r="N58" s="19">
        <v>40</v>
      </c>
      <c r="O58" s="19">
        <v>60</v>
      </c>
      <c r="P58" s="19">
        <v>81</v>
      </c>
      <c r="Q58" s="57">
        <v>90</v>
      </c>
      <c r="R58" s="144">
        <v>77</v>
      </c>
      <c r="S58" s="2">
        <v>93</v>
      </c>
    </row>
    <row r="59" spans="1:29" x14ac:dyDescent="0.25">
      <c r="A59" s="76" t="s">
        <v>99</v>
      </c>
      <c r="B59" s="102">
        <v>22621424</v>
      </c>
      <c r="C59" s="105">
        <v>22621424</v>
      </c>
      <c r="D59" s="102">
        <v>22621424</v>
      </c>
      <c r="E59" s="109">
        <v>22621424</v>
      </c>
      <c r="F59" s="114">
        <v>22621424</v>
      </c>
      <c r="G59" s="108">
        <v>22621424</v>
      </c>
      <c r="I59" s="26" t="s">
        <v>59</v>
      </c>
      <c r="J59" s="19"/>
      <c r="K59" s="19"/>
      <c r="L59" s="19"/>
      <c r="M59" s="19"/>
      <c r="N59" s="19"/>
      <c r="O59" s="19"/>
      <c r="P59" s="19">
        <v>31</v>
      </c>
      <c r="Q59" s="57">
        <v>66</v>
      </c>
      <c r="R59" s="144">
        <v>60</v>
      </c>
      <c r="S59" s="2">
        <v>71</v>
      </c>
    </row>
    <row r="60" spans="1:29" x14ac:dyDescent="0.25">
      <c r="A60" s="77" t="s">
        <v>100</v>
      </c>
      <c r="B60" s="103">
        <f t="shared" ref="B60:D60" si="23">B59*N67/1000000</f>
        <v>9537.1923583999996</v>
      </c>
      <c r="C60" s="106">
        <f t="shared" si="23"/>
        <v>4301.4637736000004</v>
      </c>
      <c r="D60" s="103">
        <f t="shared" si="23"/>
        <v>8341.6501000000007</v>
      </c>
      <c r="E60" s="110">
        <f>E59*Q67/1000000</f>
        <v>9612.9741287999987</v>
      </c>
      <c r="F60" s="115">
        <f>F59*R67/1000000</f>
        <v>7484.2981304000004</v>
      </c>
      <c r="G60" s="111">
        <f>G59*511.65/1000000</f>
        <v>11574.2515896</v>
      </c>
      <c r="I60" s="27" t="s">
        <v>60</v>
      </c>
      <c r="J60" s="20">
        <f>SUM(J50:J59)</f>
        <v>2598.5590000000002</v>
      </c>
      <c r="K60" s="20">
        <f>SUM(K50:K59)</f>
        <v>2343.7139999999999</v>
      </c>
      <c r="L60" s="20">
        <f t="shared" ref="L60:M60" si="24">SUM(L50:L59)</f>
        <v>2505.1620000000003</v>
      </c>
      <c r="M60" s="20">
        <f t="shared" si="24"/>
        <v>3591.3910000000001</v>
      </c>
      <c r="N60" s="20">
        <f>SUM(N50:N59)-N52</f>
        <v>1634</v>
      </c>
      <c r="O60" s="20">
        <f t="shared" ref="O60:S60" si="25">SUM(O50:O59)-O52</f>
        <v>1673</v>
      </c>
      <c r="P60" s="20">
        <f t="shared" si="25"/>
        <v>2032</v>
      </c>
      <c r="Q60" s="20">
        <f t="shared" si="25"/>
        <v>2210</v>
      </c>
      <c r="R60" s="20">
        <f t="shared" si="25"/>
        <v>2134</v>
      </c>
      <c r="S60" s="20">
        <f t="shared" si="25"/>
        <v>2341</v>
      </c>
    </row>
    <row r="61" spans="1:29" ht="15.75" thickBot="1" x14ac:dyDescent="0.3">
      <c r="A61" s="77" t="s">
        <v>101</v>
      </c>
      <c r="B61" s="103">
        <f>N12</f>
        <v>0</v>
      </c>
      <c r="C61" s="106">
        <f>O12</f>
        <v>0</v>
      </c>
      <c r="D61" s="103">
        <f>P12</f>
        <v>0</v>
      </c>
      <c r="E61" s="110">
        <f>Q12</f>
        <v>0</v>
      </c>
      <c r="F61" s="115">
        <f>R12</f>
        <v>0</v>
      </c>
      <c r="G61" s="112">
        <v>0</v>
      </c>
      <c r="I61" s="90" t="s">
        <v>105</v>
      </c>
      <c r="J61" s="91">
        <f>2598.559-1859.879</f>
        <v>738.68000000000029</v>
      </c>
      <c r="K61" s="91">
        <f t="shared" ref="K61:P61" si="26">K60-K34</f>
        <v>533.46399999999994</v>
      </c>
      <c r="L61" s="91">
        <f t="shared" si="26"/>
        <v>126.19100000000026</v>
      </c>
      <c r="M61" s="91">
        <f t="shared" si="26"/>
        <v>93.132999999999811</v>
      </c>
      <c r="N61" s="91">
        <f t="shared" si="26"/>
        <v>602</v>
      </c>
      <c r="O61" s="91">
        <f t="shared" si="26"/>
        <v>722</v>
      </c>
      <c r="P61" s="91">
        <f t="shared" si="26"/>
        <v>789</v>
      </c>
      <c r="Q61" s="91">
        <f>Q60-Q34</f>
        <v>1124</v>
      </c>
      <c r="R61" s="146">
        <f>R60-R34</f>
        <v>919</v>
      </c>
      <c r="S61" s="146">
        <f>S60-S34</f>
        <v>820</v>
      </c>
    </row>
    <row r="62" spans="1:29" x14ac:dyDescent="0.25">
      <c r="A62" s="77" t="s">
        <v>102</v>
      </c>
      <c r="B62" s="103">
        <f t="shared" ref="B62:G62" si="27">N54+N55</f>
        <v>138</v>
      </c>
      <c r="C62" s="106">
        <f t="shared" si="27"/>
        <v>284</v>
      </c>
      <c r="D62" s="103">
        <f t="shared" si="27"/>
        <v>327</v>
      </c>
      <c r="E62" s="110">
        <f t="shared" si="27"/>
        <v>366</v>
      </c>
      <c r="F62" s="115">
        <f t="shared" si="27"/>
        <v>229</v>
      </c>
      <c r="G62" s="115">
        <f t="shared" si="27"/>
        <v>167</v>
      </c>
      <c r="I62" s="92" t="s">
        <v>61</v>
      </c>
      <c r="J62" s="93">
        <f t="shared" ref="J62:O62" si="28">SUM(J48,J60)</f>
        <v>6093.8860000000004</v>
      </c>
      <c r="K62" s="93">
        <f t="shared" si="28"/>
        <v>6302.4049999999997</v>
      </c>
      <c r="L62" s="93">
        <f t="shared" si="28"/>
        <v>6548.8460000000005</v>
      </c>
      <c r="M62" s="93">
        <f t="shared" si="28"/>
        <v>7802.7669999999998</v>
      </c>
      <c r="N62" s="93">
        <f t="shared" si="28"/>
        <v>3749</v>
      </c>
      <c r="O62" s="93">
        <f t="shared" si="28"/>
        <v>3864.3</v>
      </c>
      <c r="P62" s="93">
        <f>SUM(P48,P60)</f>
        <v>4604.5</v>
      </c>
      <c r="Q62" s="93">
        <f>SUM(Q48,Q60)</f>
        <v>5085</v>
      </c>
      <c r="R62" s="148">
        <f>SUM(R48,R60)</f>
        <v>5655</v>
      </c>
      <c r="S62" s="148">
        <f>SUM(S48,S60)</f>
        <v>5932</v>
      </c>
      <c r="U62" s="46"/>
      <c r="V62" s="46"/>
    </row>
    <row r="63" spans="1:29" ht="15.75" thickBot="1" x14ac:dyDescent="0.3">
      <c r="A63" s="78" t="s">
        <v>103</v>
      </c>
      <c r="B63" s="104">
        <f t="shared" ref="B63:C63" si="29">B60+B61-B62</f>
        <v>9399.1923583999996</v>
      </c>
      <c r="C63" s="107">
        <f t="shared" si="29"/>
        <v>4017.4637736000004</v>
      </c>
      <c r="D63" s="104">
        <f t="shared" ref="D63" si="30">D60+D61-D62</f>
        <v>8014.6501000000007</v>
      </c>
      <c r="E63" s="107">
        <f>E60+E61-E62</f>
        <v>9246.9741287999987</v>
      </c>
      <c r="F63" s="104">
        <f>F60+F61-F62</f>
        <v>7255.2981304000004</v>
      </c>
      <c r="G63" s="113">
        <f>G60+G61-G62</f>
        <v>11407.2515896</v>
      </c>
      <c r="I63" s="47" t="s">
        <v>47</v>
      </c>
      <c r="J63" s="48">
        <f t="shared" ref="J63:P63" si="31">+J34+J22+J12+J8+J9</f>
        <v>6093.8860000000004</v>
      </c>
      <c r="K63" s="48">
        <f t="shared" si="31"/>
        <v>6482.9340000000002</v>
      </c>
      <c r="L63" s="48">
        <f t="shared" si="31"/>
        <v>6766.7760000000007</v>
      </c>
      <c r="M63" s="48">
        <f t="shared" si="31"/>
        <v>8167.8360000000002</v>
      </c>
      <c r="N63" s="48">
        <f t="shared" si="31"/>
        <v>5097</v>
      </c>
      <c r="O63" s="48">
        <f t="shared" si="31"/>
        <v>5295</v>
      </c>
      <c r="P63" s="48">
        <f t="shared" si="31"/>
        <v>5931.1</v>
      </c>
      <c r="Q63" s="98">
        <f>Q34+Q22+Q8+Q12</f>
        <v>6412</v>
      </c>
      <c r="R63" s="149">
        <f>R34+R8+R12+R22</f>
        <v>7178</v>
      </c>
      <c r="S63" s="149">
        <f>S34+S8+S12+S22</f>
        <v>7741</v>
      </c>
    </row>
    <row r="64" spans="1:29" ht="15.75" thickBot="1" x14ac:dyDescent="0.3"/>
    <row r="65" spans="1:34" x14ac:dyDescent="0.25">
      <c r="I65" s="167" t="s">
        <v>68</v>
      </c>
      <c r="J65" s="168"/>
      <c r="K65" s="168"/>
      <c r="L65" s="168"/>
      <c r="M65" s="168"/>
      <c r="N65" s="168"/>
      <c r="O65" s="168"/>
      <c r="P65" s="168"/>
      <c r="Q65" s="168"/>
      <c r="R65" s="168"/>
      <c r="S65" s="169"/>
      <c r="U65" t="s">
        <v>215</v>
      </c>
    </row>
    <row r="66" spans="1:34" x14ac:dyDescent="0.25">
      <c r="I66" s="53" t="s">
        <v>69</v>
      </c>
      <c r="J66" s="54"/>
      <c r="K66" s="52" t="s">
        <v>2</v>
      </c>
      <c r="L66" s="52" t="s">
        <v>3</v>
      </c>
      <c r="M66" s="55" t="s">
        <v>4</v>
      </c>
      <c r="N66" s="55" t="s">
        <v>5</v>
      </c>
      <c r="O66" s="55" t="s">
        <v>6</v>
      </c>
      <c r="P66" s="55" t="s">
        <v>171</v>
      </c>
      <c r="Q66" s="55" t="s">
        <v>172</v>
      </c>
      <c r="R66" s="56" t="s">
        <v>184</v>
      </c>
      <c r="S66" s="56" t="s">
        <v>207</v>
      </c>
    </row>
    <row r="67" spans="1:34" x14ac:dyDescent="0.25">
      <c r="A67" s="127" t="s">
        <v>199</v>
      </c>
      <c r="B67" s="46"/>
      <c r="C67" s="46"/>
      <c r="D67" s="46"/>
      <c r="I67" s="39" t="s">
        <v>70</v>
      </c>
      <c r="J67" s="2"/>
      <c r="K67" s="2">
        <v>38.65</v>
      </c>
      <c r="L67" s="2">
        <v>59.85</v>
      </c>
      <c r="M67" s="2">
        <v>169.9</v>
      </c>
      <c r="N67" s="33">
        <v>421.6</v>
      </c>
      <c r="O67" s="33">
        <v>190.15</v>
      </c>
      <c r="P67" s="33">
        <v>368.75</v>
      </c>
      <c r="Q67" s="33">
        <v>424.95</v>
      </c>
      <c r="R67" s="86">
        <v>330.85</v>
      </c>
      <c r="S67" s="86">
        <v>534.15</v>
      </c>
      <c r="U67" s="33">
        <v>421.6</v>
      </c>
      <c r="V67" s="33">
        <v>190.15</v>
      </c>
      <c r="W67" s="33">
        <v>368.75</v>
      </c>
      <c r="X67" s="33">
        <v>424.95</v>
      </c>
      <c r="Y67" s="33">
        <v>330.85</v>
      </c>
      <c r="Z67" s="155">
        <v>511.7</v>
      </c>
      <c r="AB67">
        <f>N67-U67</f>
        <v>0</v>
      </c>
      <c r="AC67">
        <f t="shared" ref="AC67:AH67" si="32">O67-V67</f>
        <v>0</v>
      </c>
      <c r="AD67">
        <f t="shared" si="32"/>
        <v>0</v>
      </c>
      <c r="AE67">
        <f t="shared" si="32"/>
        <v>0</v>
      </c>
      <c r="AF67">
        <f t="shared" si="32"/>
        <v>0</v>
      </c>
      <c r="AG67">
        <f t="shared" si="32"/>
        <v>22.449999999999989</v>
      </c>
      <c r="AH67">
        <f t="shared" si="32"/>
        <v>0</v>
      </c>
    </row>
    <row r="68" spans="1:34" x14ac:dyDescent="0.25">
      <c r="A68" s="121" t="s">
        <v>201</v>
      </c>
      <c r="B68">
        <v>0</v>
      </c>
      <c r="C68">
        <v>0.52</v>
      </c>
      <c r="D68">
        <v>1.621</v>
      </c>
      <c r="E68">
        <v>1.0619999999999998</v>
      </c>
      <c r="F68">
        <v>14.883000000000001</v>
      </c>
      <c r="G68">
        <v>9.8000000000000007</v>
      </c>
      <c r="I68" s="40" t="s">
        <v>71</v>
      </c>
      <c r="J68" s="2"/>
      <c r="K68" s="33" t="e">
        <f>#REF!</f>
        <v>#REF!</v>
      </c>
      <c r="L68" s="33" t="e">
        <f>#REF!</f>
        <v>#REF!</v>
      </c>
      <c r="M68" s="33" t="e">
        <f>#REF!</f>
        <v>#REF!</v>
      </c>
      <c r="N68" s="34">
        <f>B38</f>
        <v>25.88</v>
      </c>
      <c r="O68" s="34">
        <f>C38</f>
        <v>24.02</v>
      </c>
      <c r="P68" s="34">
        <f>D38</f>
        <v>17.52</v>
      </c>
      <c r="Q68" s="33">
        <f>E38</f>
        <v>22.21</v>
      </c>
      <c r="R68" s="33">
        <f>F38</f>
        <v>21.32</v>
      </c>
      <c r="S68" s="86">
        <v>23.47</v>
      </c>
      <c r="T68" t="s">
        <v>182</v>
      </c>
      <c r="U68" s="34">
        <v>25.88</v>
      </c>
      <c r="V68" s="34">
        <v>24.02</v>
      </c>
      <c r="W68" s="34">
        <v>17.52</v>
      </c>
      <c r="X68" s="33">
        <v>22.21</v>
      </c>
      <c r="Y68" s="33">
        <v>21.32</v>
      </c>
      <c r="Z68" s="156">
        <v>24.12</v>
      </c>
      <c r="AB68">
        <f t="shared" ref="AB68:AB84" si="33">N68-U68</f>
        <v>0</v>
      </c>
      <c r="AC68">
        <f t="shared" ref="AC68:AC84" si="34">O68-V68</f>
        <v>0</v>
      </c>
      <c r="AD68">
        <f t="shared" ref="AD68:AD84" si="35">P68-W68</f>
        <v>0</v>
      </c>
      <c r="AE68">
        <f t="shared" ref="AE68:AE84" si="36">Q68-X68</f>
        <v>0</v>
      </c>
      <c r="AF68">
        <f t="shared" ref="AF68:AF84" si="37">R68-Y68</f>
        <v>0</v>
      </c>
    </row>
    <row r="69" spans="1:34" x14ac:dyDescent="0.25">
      <c r="A69" s="121" t="s">
        <v>202</v>
      </c>
      <c r="B69">
        <v>0</v>
      </c>
      <c r="C69">
        <v>0</v>
      </c>
      <c r="D69">
        <v>0</v>
      </c>
      <c r="E69">
        <v>0</v>
      </c>
      <c r="F69">
        <v>25.997000000000003</v>
      </c>
      <c r="G69">
        <v>8.3000000000000007</v>
      </c>
      <c r="I69" s="40" t="s">
        <v>72</v>
      </c>
      <c r="J69" s="2"/>
      <c r="K69" s="34" t="e">
        <f>K8/(#REF!/1000000)</f>
        <v>#REF!</v>
      </c>
      <c r="L69" s="34" t="e">
        <f>L8/(#REF!/1000000)</f>
        <v>#REF!</v>
      </c>
      <c r="M69" s="34" t="e">
        <f>M8/(#REF!/1000000)</f>
        <v>#REF!</v>
      </c>
      <c r="N69" s="34">
        <f>(N8*1000000)/B59</f>
        <v>177.00035152517367</v>
      </c>
      <c r="O69" s="34">
        <f t="shared" ref="O69:S69" si="38">(O8*1000000)/C59</f>
        <v>185.57629263303673</v>
      </c>
      <c r="P69" s="34">
        <f t="shared" si="38"/>
        <v>199.36852781681648</v>
      </c>
      <c r="Q69" s="34">
        <f t="shared" si="38"/>
        <v>223.32811586043388</v>
      </c>
      <c r="R69" s="34">
        <f t="shared" si="38"/>
        <v>247.68555684204495</v>
      </c>
      <c r="S69" s="34">
        <f t="shared" si="38"/>
        <v>259.44432145385719</v>
      </c>
      <c r="U69" s="34">
        <v>177.00035152517367</v>
      </c>
      <c r="V69" s="34">
        <v>185.57629263303673</v>
      </c>
      <c r="W69" s="34">
        <v>199.36852781681648</v>
      </c>
      <c r="X69" s="34">
        <v>223.32811586043388</v>
      </c>
      <c r="Y69" s="34">
        <v>247.68555684204495</v>
      </c>
      <c r="Z69" s="157">
        <v>259.44432145385719</v>
      </c>
      <c r="AB69">
        <f t="shared" si="33"/>
        <v>0</v>
      </c>
      <c r="AC69">
        <f t="shared" si="34"/>
        <v>0</v>
      </c>
      <c r="AD69">
        <f t="shared" si="35"/>
        <v>0</v>
      </c>
      <c r="AE69">
        <f t="shared" si="36"/>
        <v>0</v>
      </c>
      <c r="AF69">
        <f t="shared" si="37"/>
        <v>0</v>
      </c>
    </row>
    <row r="70" spans="1:34" x14ac:dyDescent="0.25">
      <c r="A70" s="121" t="s">
        <v>203</v>
      </c>
      <c r="B70">
        <v>0</v>
      </c>
      <c r="C70">
        <v>0</v>
      </c>
      <c r="D70">
        <v>0</v>
      </c>
      <c r="E70">
        <v>0</v>
      </c>
      <c r="F70">
        <v>1.5660000000000001</v>
      </c>
      <c r="G70">
        <v>0</v>
      </c>
      <c r="I70" s="39" t="s">
        <v>73</v>
      </c>
      <c r="J70" s="2"/>
      <c r="K70" s="35">
        <v>0.20159999999999997</v>
      </c>
      <c r="L70" s="35">
        <v>0.30130000000000001</v>
      </c>
      <c r="M70" s="35">
        <v>0.48840000000000006</v>
      </c>
      <c r="N70" s="35">
        <v>6.5</v>
      </c>
      <c r="O70" s="35">
        <v>10.75</v>
      </c>
      <c r="P70" s="35">
        <v>0</v>
      </c>
      <c r="Q70" s="35">
        <v>12.25</v>
      </c>
      <c r="R70" s="44">
        <v>9.25</v>
      </c>
      <c r="S70" s="44">
        <v>10.25</v>
      </c>
      <c r="U70" s="35">
        <v>6.5</v>
      </c>
      <c r="V70" s="35">
        <v>10.75</v>
      </c>
      <c r="W70" s="35">
        <v>0</v>
      </c>
      <c r="X70" s="35">
        <v>12.25</v>
      </c>
      <c r="Y70" s="35">
        <v>9.25</v>
      </c>
      <c r="Z70" s="158">
        <v>0</v>
      </c>
      <c r="AB70">
        <f t="shared" si="33"/>
        <v>0</v>
      </c>
      <c r="AC70">
        <f t="shared" si="34"/>
        <v>0</v>
      </c>
      <c r="AD70">
        <f t="shared" si="35"/>
        <v>0</v>
      </c>
      <c r="AE70">
        <f t="shared" si="36"/>
        <v>0</v>
      </c>
      <c r="AF70">
        <f t="shared" si="37"/>
        <v>0</v>
      </c>
    </row>
    <row r="71" spans="1:34" x14ac:dyDescent="0.25">
      <c r="A71" s="126" t="s">
        <v>204</v>
      </c>
      <c r="B71" s="122">
        <f>SUM(B68:B70)</f>
        <v>0</v>
      </c>
      <c r="C71" s="122">
        <f t="shared" ref="C71:G71" si="39">SUM(C68:C70)</f>
        <v>0.52</v>
      </c>
      <c r="D71" s="122">
        <f t="shared" si="39"/>
        <v>1.621</v>
      </c>
      <c r="E71" s="122">
        <f t="shared" si="39"/>
        <v>1.0619999999999998</v>
      </c>
      <c r="F71" s="122">
        <f t="shared" si="39"/>
        <v>42.446000000000005</v>
      </c>
      <c r="G71" s="122">
        <f t="shared" si="39"/>
        <v>18.100000000000001</v>
      </c>
      <c r="I71" s="39" t="s">
        <v>74</v>
      </c>
      <c r="J71" s="2"/>
      <c r="K71" s="35" t="e">
        <f t="shared" ref="K71:M71" si="40">K67/K68</f>
        <v>#REF!</v>
      </c>
      <c r="L71" s="35" t="e">
        <f t="shared" si="40"/>
        <v>#REF!</v>
      </c>
      <c r="M71" s="35" t="e">
        <f t="shared" si="40"/>
        <v>#REF!</v>
      </c>
      <c r="N71" s="34">
        <f t="shared" ref="N71:R71" si="41">N67/N68</f>
        <v>16.290571870170016</v>
      </c>
      <c r="O71" s="34">
        <f t="shared" si="41"/>
        <v>7.9163197335553708</v>
      </c>
      <c r="P71" s="34">
        <f t="shared" si="41"/>
        <v>21.047374429223744</v>
      </c>
      <c r="Q71" s="34">
        <f t="shared" si="41"/>
        <v>19.133273300315171</v>
      </c>
      <c r="R71" s="34">
        <f t="shared" si="41"/>
        <v>15.51829268292683</v>
      </c>
      <c r="S71" s="44">
        <f>S67/S68</f>
        <v>22.758841073711121</v>
      </c>
      <c r="T71" t="s">
        <v>183</v>
      </c>
      <c r="U71" s="34">
        <v>16.290571870170016</v>
      </c>
      <c r="V71" s="34">
        <v>7.9163197335553708</v>
      </c>
      <c r="W71" s="34">
        <v>21.047374429223744</v>
      </c>
      <c r="X71" s="34">
        <v>19.133273300315171</v>
      </c>
      <c r="Y71" s="34">
        <v>15.51829268292683</v>
      </c>
      <c r="Z71" s="159">
        <v>21.214759535655055</v>
      </c>
      <c r="AB71">
        <f t="shared" si="33"/>
        <v>0</v>
      </c>
      <c r="AC71">
        <f t="shared" si="34"/>
        <v>0</v>
      </c>
      <c r="AD71">
        <f t="shared" si="35"/>
        <v>0</v>
      </c>
      <c r="AE71">
        <f t="shared" si="36"/>
        <v>0</v>
      </c>
      <c r="AF71">
        <f t="shared" si="37"/>
        <v>0</v>
      </c>
    </row>
    <row r="72" spans="1:34" x14ac:dyDescent="0.25">
      <c r="I72" s="39" t="s">
        <v>75</v>
      </c>
      <c r="J72" s="2"/>
      <c r="K72" s="35" t="e">
        <f>K67/K69</f>
        <v>#REF!</v>
      </c>
      <c r="L72" s="35" t="e">
        <f t="shared" ref="L72:M72" si="42">L67/L69</f>
        <v>#REF!</v>
      </c>
      <c r="M72" s="35" t="e">
        <f t="shared" si="42"/>
        <v>#REF!</v>
      </c>
      <c r="N72" s="34">
        <f>N67/N69</f>
        <v>2.3819161734265735</v>
      </c>
      <c r="O72" s="34">
        <f>O67/O69</f>
        <v>1.0246459679847546</v>
      </c>
      <c r="P72" s="34">
        <f>P67/P69</f>
        <v>1.849589822616408</v>
      </c>
      <c r="Q72" s="34">
        <f>Q67/Q69</f>
        <v>1.902805647030879</v>
      </c>
      <c r="R72" s="34">
        <f>R67/R69</f>
        <v>1.3357662199535965</v>
      </c>
      <c r="S72" s="44"/>
      <c r="U72" s="34">
        <v>2.3819161734265735</v>
      </c>
      <c r="V72" s="34">
        <v>1.0246459679847546</v>
      </c>
      <c r="W72" s="34">
        <v>1.849589822616408</v>
      </c>
      <c r="X72" s="34">
        <v>1.902805647030879</v>
      </c>
      <c r="Y72" s="34">
        <v>1.3357662199535965</v>
      </c>
      <c r="Z72" s="160">
        <v>1.9722921555290509</v>
      </c>
      <c r="AB72">
        <f t="shared" si="33"/>
        <v>0</v>
      </c>
      <c r="AC72">
        <f t="shared" si="34"/>
        <v>0</v>
      </c>
      <c r="AD72">
        <f t="shared" si="35"/>
        <v>0</v>
      </c>
      <c r="AE72">
        <f t="shared" si="36"/>
        <v>0</v>
      </c>
      <c r="AF72">
        <f t="shared" si="37"/>
        <v>0</v>
      </c>
    </row>
    <row r="73" spans="1:34" x14ac:dyDescent="0.25">
      <c r="A73" s="123"/>
      <c r="I73" s="39" t="s">
        <v>76</v>
      </c>
      <c r="J73" s="2"/>
      <c r="K73" s="35" t="e">
        <f>#REF!/#REF!</f>
        <v>#REF!</v>
      </c>
      <c r="L73" s="35" t="e">
        <f>#REF!/#REF!</f>
        <v>#REF!</v>
      </c>
      <c r="M73" s="35" t="e">
        <f>#REF!/#REF!</f>
        <v>#REF!</v>
      </c>
      <c r="N73" s="34">
        <f>B63/B18</f>
        <v>12.012468938581607</v>
      </c>
      <c r="O73" s="34">
        <f>C63/C18</f>
        <v>7.0661325148799099</v>
      </c>
      <c r="P73" s="34">
        <f>D63/D18</f>
        <v>17.292630622777654</v>
      </c>
      <c r="Q73" s="34">
        <f>E63/E18</f>
        <v>18.603261019349699</v>
      </c>
      <c r="R73" s="34">
        <f>F63/F18</f>
        <v>12.548706404160702</v>
      </c>
      <c r="S73" s="44"/>
      <c r="U73" s="34">
        <v>12.012468938581607</v>
      </c>
      <c r="V73" s="34">
        <v>7.0661325148799099</v>
      </c>
      <c r="W73" s="34">
        <v>17.292630622777654</v>
      </c>
      <c r="X73" s="34">
        <v>18.603261019349699</v>
      </c>
      <c r="Y73" s="34">
        <v>12.548706404160702</v>
      </c>
      <c r="Z73" s="161" t="s">
        <v>214</v>
      </c>
      <c r="AB73">
        <f t="shared" si="33"/>
        <v>0</v>
      </c>
      <c r="AC73">
        <f t="shared" si="34"/>
        <v>0</v>
      </c>
      <c r="AD73">
        <f t="shared" si="35"/>
        <v>0</v>
      </c>
      <c r="AE73">
        <f t="shared" si="36"/>
        <v>0</v>
      </c>
      <c r="AF73">
        <f t="shared" si="37"/>
        <v>0</v>
      </c>
    </row>
    <row r="74" spans="1:34" x14ac:dyDescent="0.25">
      <c r="A74" s="121" t="s">
        <v>200</v>
      </c>
      <c r="B74">
        <v>11.452999999999999</v>
      </c>
      <c r="C74">
        <v>2.032</v>
      </c>
      <c r="D74">
        <v>8.8510000000000009</v>
      </c>
      <c r="E74">
        <v>0</v>
      </c>
      <c r="F74">
        <f>(77.25)/10</f>
        <v>7.7249999999999996</v>
      </c>
      <c r="G74">
        <v>0</v>
      </c>
      <c r="I74" s="41" t="s">
        <v>77</v>
      </c>
      <c r="J74" s="33"/>
      <c r="K74" s="32" t="e">
        <f>#REF!/K8</f>
        <v>#REF!</v>
      </c>
      <c r="L74" s="32" t="e">
        <f>#REF!/L8</f>
        <v>#REF!</v>
      </c>
      <c r="M74" s="32" t="e">
        <f>#REF!/M8</f>
        <v>#REF!</v>
      </c>
      <c r="N74" s="32">
        <f>B32/N8</f>
        <v>0.14610389610389621</v>
      </c>
      <c r="O74" s="32">
        <f>C32/O8</f>
        <v>0.12934730824201995</v>
      </c>
      <c r="P74" s="32">
        <f>D32/P8</f>
        <v>8.7804878048780441E-2</v>
      </c>
      <c r="Q74" s="32">
        <f>E32/Q8</f>
        <v>9.9564528899445739E-2</v>
      </c>
      <c r="R74" s="32">
        <f>F32/R8</f>
        <v>8.6025343565946849E-2</v>
      </c>
      <c r="S74" s="32"/>
      <c r="U74" s="162">
        <v>0.14610389610389621</v>
      </c>
      <c r="V74" s="162">
        <v>0.12934730824201995</v>
      </c>
      <c r="W74" s="162">
        <v>8.7804878048780441E-2</v>
      </c>
      <c r="X74" s="162">
        <v>9.9564528899445739E-2</v>
      </c>
      <c r="Y74" s="162">
        <v>8.6025343565946849E-2</v>
      </c>
      <c r="Z74" s="163" t="s">
        <v>214</v>
      </c>
      <c r="AB74">
        <f t="shared" si="33"/>
        <v>0</v>
      </c>
      <c r="AC74">
        <f t="shared" si="34"/>
        <v>0</v>
      </c>
      <c r="AD74">
        <f t="shared" si="35"/>
        <v>0</v>
      </c>
      <c r="AE74">
        <f t="shared" si="36"/>
        <v>0</v>
      </c>
      <c r="AF74">
        <f t="shared" si="37"/>
        <v>0</v>
      </c>
    </row>
    <row r="75" spans="1:34" x14ac:dyDescent="0.25">
      <c r="A75" s="126" t="s">
        <v>205</v>
      </c>
      <c r="B75" s="124">
        <f>B74</f>
        <v>11.452999999999999</v>
      </c>
      <c r="C75" s="124">
        <f t="shared" ref="C75:G75" si="43">C74</f>
        <v>2.032</v>
      </c>
      <c r="D75" s="124">
        <f t="shared" si="43"/>
        <v>8.8510000000000009</v>
      </c>
      <c r="E75" s="124">
        <f t="shared" si="43"/>
        <v>0</v>
      </c>
      <c r="F75" s="124">
        <f t="shared" si="43"/>
        <v>7.7249999999999996</v>
      </c>
      <c r="G75" s="124">
        <f t="shared" si="43"/>
        <v>0</v>
      </c>
      <c r="I75" s="41" t="s">
        <v>78</v>
      </c>
      <c r="J75" s="33"/>
      <c r="K75" s="32" t="e">
        <f>(#REF!-#REF!+#REF!)/K13</f>
        <v>#REF!</v>
      </c>
      <c r="L75" s="32" t="e">
        <f>(#REF!-#REF!+#REF!)/L13</f>
        <v>#REF!</v>
      </c>
      <c r="M75" s="32" t="e">
        <f>(#REF!-#REF!+#REF!)/M13</f>
        <v>#REF!</v>
      </c>
      <c r="N75" s="32">
        <f t="shared" ref="N75" si="44">(B18-B22)/N14</f>
        <v>0.25964409274935607</v>
      </c>
      <c r="O75" s="32">
        <f t="shared" ref="O75" si="45">(C18-C22)/O14</f>
        <v>0.16289156626506013</v>
      </c>
      <c r="P75" s="32">
        <f t="shared" ref="P75" si="46">(D18-D22)/P14</f>
        <v>0.10723546035995828</v>
      </c>
      <c r="Q75" s="32">
        <f t="shared" ref="Q75" si="47">(E18-E22)/Q14</f>
        <v>9.2038509627406825E-2</v>
      </c>
      <c r="R75" s="32">
        <f t="shared" ref="R75" si="48">(F18-F22)/R14</f>
        <v>9.7335810810810872E-2</v>
      </c>
      <c r="S75" s="32"/>
      <c r="U75" s="162">
        <v>0.25964409274935607</v>
      </c>
      <c r="V75" s="162">
        <v>0.16289156626506013</v>
      </c>
      <c r="W75" s="162">
        <v>0.10723546035995828</v>
      </c>
      <c r="X75" s="162">
        <v>9.2038509627406825E-2</v>
      </c>
      <c r="Y75" s="162">
        <v>9.7335810810810872E-2</v>
      </c>
      <c r="Z75" s="163" t="s">
        <v>214</v>
      </c>
      <c r="AB75">
        <f t="shared" si="33"/>
        <v>0</v>
      </c>
      <c r="AC75">
        <f t="shared" si="34"/>
        <v>0</v>
      </c>
      <c r="AD75">
        <f t="shared" si="35"/>
        <v>0</v>
      </c>
      <c r="AE75">
        <f t="shared" si="36"/>
        <v>0</v>
      </c>
      <c r="AF75">
        <f t="shared" si="37"/>
        <v>0</v>
      </c>
    </row>
    <row r="76" spans="1:34" x14ac:dyDescent="0.25">
      <c r="I76" s="39" t="s">
        <v>79</v>
      </c>
      <c r="J76" s="2"/>
      <c r="K76" s="35">
        <f t="shared" ref="K76:M76" si="49">K12/K8</f>
        <v>0.4281057108860602</v>
      </c>
      <c r="L76" s="35">
        <f t="shared" si="49"/>
        <v>0.27749324737238124</v>
      </c>
      <c r="M76" s="35">
        <f t="shared" si="49"/>
        <v>0.16812522749806946</v>
      </c>
      <c r="N76" s="34">
        <f>N12/N8</f>
        <v>0</v>
      </c>
      <c r="O76" s="34">
        <f>O12/O8</f>
        <v>0</v>
      </c>
      <c r="P76" s="34">
        <f>P12/P8</f>
        <v>0</v>
      </c>
      <c r="Q76" s="34">
        <f>Q12/Q8</f>
        <v>0</v>
      </c>
      <c r="R76" s="34">
        <f>R12/R8</f>
        <v>0</v>
      </c>
      <c r="S76" s="44"/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159">
        <v>0</v>
      </c>
      <c r="AB76">
        <f t="shared" si="33"/>
        <v>0</v>
      </c>
      <c r="AC76">
        <f t="shared" si="34"/>
        <v>0</v>
      </c>
      <c r="AD76">
        <f t="shared" si="35"/>
        <v>0</v>
      </c>
      <c r="AE76">
        <f t="shared" si="36"/>
        <v>0</v>
      </c>
      <c r="AF76">
        <f t="shared" si="37"/>
        <v>0</v>
      </c>
    </row>
    <row r="77" spans="1:34" x14ac:dyDescent="0.25">
      <c r="I77" s="39" t="s">
        <v>80</v>
      </c>
      <c r="J77" s="2"/>
      <c r="K77" s="35">
        <f t="shared" ref="K77:R77" si="50">(K12-K54-K55)/K8</f>
        <v>0.39507646468391111</v>
      </c>
      <c r="L77" s="35">
        <f t="shared" si="50"/>
        <v>0.23986746555418853</v>
      </c>
      <c r="M77" s="35">
        <f t="shared" si="50"/>
        <v>0.13978240259419109</v>
      </c>
      <c r="N77" s="34">
        <f t="shared" si="50"/>
        <v>-3.4465534465534464E-2</v>
      </c>
      <c r="O77" s="34">
        <f t="shared" si="50"/>
        <v>-6.7651262505955212E-2</v>
      </c>
      <c r="P77" s="34">
        <f t="shared" si="50"/>
        <v>-7.2505543237250558E-2</v>
      </c>
      <c r="Q77" s="34">
        <f t="shared" si="50"/>
        <v>-7.244655581947744E-2</v>
      </c>
      <c r="R77" s="34">
        <f t="shared" si="50"/>
        <v>-4.087096198465108E-2</v>
      </c>
      <c r="S77" s="44"/>
      <c r="U77" s="34">
        <v>-3.4465534465534464E-2</v>
      </c>
      <c r="V77" s="34">
        <v>-6.7651262505955212E-2</v>
      </c>
      <c r="W77" s="34">
        <v>-7.2505543237250558E-2</v>
      </c>
      <c r="X77" s="34">
        <v>-7.244655581947744E-2</v>
      </c>
      <c r="Y77" s="34">
        <v>-4.087096198465108E-2</v>
      </c>
      <c r="Z77" s="159">
        <v>-2.8454591923666724E-2</v>
      </c>
      <c r="AB77">
        <f t="shared" si="33"/>
        <v>0</v>
      </c>
      <c r="AC77">
        <f t="shared" si="34"/>
        <v>0</v>
      </c>
      <c r="AD77">
        <f t="shared" si="35"/>
        <v>0</v>
      </c>
      <c r="AE77">
        <f t="shared" si="36"/>
        <v>0</v>
      </c>
      <c r="AF77">
        <f t="shared" si="37"/>
        <v>0</v>
      </c>
    </row>
    <row r="78" spans="1:34" x14ac:dyDescent="0.25">
      <c r="I78" s="39" t="s">
        <v>81</v>
      </c>
      <c r="J78" s="2"/>
      <c r="K78" s="31" t="e">
        <f>K70/K68</f>
        <v>#REF!</v>
      </c>
      <c r="L78" s="31" t="e">
        <f t="shared" ref="L78:M78" si="51">L70/L68</f>
        <v>#REF!</v>
      </c>
      <c r="M78" s="31" t="e">
        <f t="shared" si="51"/>
        <v>#REF!</v>
      </c>
      <c r="N78" s="32">
        <f>N70/N67</f>
        <v>1.5417457305502846E-2</v>
      </c>
      <c r="O78" s="32">
        <f>O70/O67</f>
        <v>5.6534315014462266E-2</v>
      </c>
      <c r="P78" s="32">
        <f>P70/P67</f>
        <v>0</v>
      </c>
      <c r="Q78" s="32">
        <f>Q70/Q67</f>
        <v>2.8826920814213439E-2</v>
      </c>
      <c r="R78" s="32">
        <f>R70/R67</f>
        <v>2.7958289254949371E-2</v>
      </c>
      <c r="S78" s="87"/>
      <c r="U78" s="32">
        <v>1.5417457305502846E-2</v>
      </c>
      <c r="V78" s="32">
        <v>5.6534315014462266E-2</v>
      </c>
      <c r="W78" s="32">
        <v>0</v>
      </c>
      <c r="X78" s="32">
        <v>2.8826920814213439E-2</v>
      </c>
      <c r="Y78" s="32">
        <v>2.7958289254949371E-2</v>
      </c>
      <c r="Z78" s="164" t="s">
        <v>214</v>
      </c>
      <c r="AB78">
        <f t="shared" si="33"/>
        <v>0</v>
      </c>
      <c r="AC78">
        <f t="shared" si="34"/>
        <v>0</v>
      </c>
      <c r="AD78">
        <f t="shared" si="35"/>
        <v>0</v>
      </c>
      <c r="AE78">
        <f t="shared" si="36"/>
        <v>0</v>
      </c>
      <c r="AF78">
        <f t="shared" si="37"/>
        <v>0</v>
      </c>
    </row>
    <row r="79" spans="1:34" x14ac:dyDescent="0.25">
      <c r="I79" s="39" t="s">
        <v>82</v>
      </c>
      <c r="J79" s="2"/>
      <c r="K79" s="36" t="e">
        <f>AVERAGE(J53:K53)/#REF!*365</f>
        <v>#REF!</v>
      </c>
      <c r="L79" s="36" t="e">
        <f>AVERAGE(K53:L53)/#REF!*365</f>
        <v>#REF!</v>
      </c>
      <c r="M79" s="36" t="e">
        <f>AVERAGE(L53:M53)/#REF!*365</f>
        <v>#REF!</v>
      </c>
      <c r="N79" s="118">
        <f>AVERAGE(M53:N53)/B6*365</f>
        <v>95.17944878141661</v>
      </c>
      <c r="O79" s="118">
        <f>AVERAGE(N53:O53)/C6*365</f>
        <v>73.221073517126143</v>
      </c>
      <c r="P79" s="118">
        <f>AVERAGE(O53:P53)/D6*365</f>
        <v>74.903886118038244</v>
      </c>
      <c r="Q79" s="118">
        <f>AVERAGE(P53:Q53)/E6*365</f>
        <v>73.315822002472189</v>
      </c>
      <c r="R79" s="118">
        <f>AVERAGE(Q53:R53)/F6*365</f>
        <v>66.070394636599119</v>
      </c>
      <c r="S79" s="37"/>
      <c r="U79" s="118">
        <v>95.17944878141661</v>
      </c>
      <c r="V79" s="118">
        <v>73.221073517126143</v>
      </c>
      <c r="W79" s="118">
        <v>74.903886118038244</v>
      </c>
      <c r="X79" s="118">
        <v>73.315822002472189</v>
      </c>
      <c r="Y79" s="118">
        <v>66.070394636599119</v>
      </c>
      <c r="Z79" s="165" t="s">
        <v>214</v>
      </c>
      <c r="AB79">
        <f t="shared" si="33"/>
        <v>0</v>
      </c>
      <c r="AC79">
        <f t="shared" si="34"/>
        <v>0</v>
      </c>
      <c r="AD79">
        <f t="shared" si="35"/>
        <v>0</v>
      </c>
      <c r="AE79">
        <f t="shared" si="36"/>
        <v>0</v>
      </c>
      <c r="AF79">
        <f t="shared" si="37"/>
        <v>0</v>
      </c>
    </row>
    <row r="80" spans="1:34" x14ac:dyDescent="0.25">
      <c r="I80" s="39" t="s">
        <v>83</v>
      </c>
      <c r="J80" s="2"/>
      <c r="K80" s="36" t="e">
        <f>AVERAGE(J26:K26)/#REF!*365</f>
        <v>#REF!</v>
      </c>
      <c r="L80" s="36" t="e">
        <f>AVERAGE(K26:L26)/#REF!*365</f>
        <v>#REF!</v>
      </c>
      <c r="M80" s="36" t="e">
        <f>AVERAGE(L26:M26)/#REF!*365</f>
        <v>#REF!</v>
      </c>
      <c r="N80" s="118">
        <f>AVERAGE(M26:N26)/SUM(B12:B13)*365</f>
        <v>165.8672283085013</v>
      </c>
      <c r="O80" s="118">
        <f>AVERAGE(N26:O26)/SUM(C12:C13)*365</f>
        <v>87.853165765192486</v>
      </c>
      <c r="P80" s="118">
        <f>AVERAGE(O26:P26)/SUM(D12:D13)*365</f>
        <v>94.018541219736434</v>
      </c>
      <c r="Q80" s="118">
        <f>AVERAGE(P26:Q26)/SUM(E12:E13)*365</f>
        <v>83.668806646525681</v>
      </c>
      <c r="R80" s="118">
        <f t="shared" ref="R80" si="52">AVERAGE(Q26:R26)/SUM(F12:F13)*365</f>
        <v>74.004806641905176</v>
      </c>
      <c r="S80" s="37"/>
      <c r="U80" s="118">
        <v>165.8672283085013</v>
      </c>
      <c r="V80" s="118">
        <v>87.853165765192486</v>
      </c>
      <c r="W80" s="118">
        <v>94.018541219736434</v>
      </c>
      <c r="X80" s="118">
        <v>83.668806646525681</v>
      </c>
      <c r="Y80" s="118">
        <v>74.004806641905176</v>
      </c>
      <c r="Z80" s="165" t="s">
        <v>214</v>
      </c>
      <c r="AB80">
        <f t="shared" si="33"/>
        <v>0</v>
      </c>
      <c r="AC80">
        <f t="shared" si="34"/>
        <v>0</v>
      </c>
      <c r="AD80">
        <f t="shared" si="35"/>
        <v>0</v>
      </c>
      <c r="AE80">
        <f t="shared" si="36"/>
        <v>0</v>
      </c>
      <c r="AF80">
        <f t="shared" si="37"/>
        <v>0</v>
      </c>
    </row>
    <row r="81" spans="9:32" x14ac:dyDescent="0.25">
      <c r="I81" s="39" t="s">
        <v>84</v>
      </c>
      <c r="J81" s="2"/>
      <c r="K81" s="36" t="e">
        <f>AVERAGE(J50:K50)/#REF!*365</f>
        <v>#REF!</v>
      </c>
      <c r="L81" s="36" t="e">
        <f>AVERAGE(K50:L50)/#REF!*365</f>
        <v>#REF!</v>
      </c>
      <c r="M81" s="36" t="e">
        <f>AVERAGE(L50:M50)/#REF!*365</f>
        <v>#REF!</v>
      </c>
      <c r="N81" s="118">
        <f>AVERAGE(M50:N50)/SUM(B12:B14)*365</f>
        <v>95.894245904037447</v>
      </c>
      <c r="O81" s="118">
        <f t="shared" ref="O81:R81" si="53">AVERAGE(N50:O50)/SUM(C12:C14)*365</f>
        <v>42.927527018436109</v>
      </c>
      <c r="P81" s="118">
        <f t="shared" si="53"/>
        <v>46.326923076923073</v>
      </c>
      <c r="Q81" s="118">
        <f t="shared" si="53"/>
        <v>43.109509357612545</v>
      </c>
      <c r="R81" s="118">
        <f t="shared" si="53"/>
        <v>42.442794279427943</v>
      </c>
      <c r="S81" s="37"/>
      <c r="U81" s="118">
        <v>95.894245904037447</v>
      </c>
      <c r="V81" s="118">
        <v>42.927527018436109</v>
      </c>
      <c r="W81" s="118">
        <v>46.326923076923073</v>
      </c>
      <c r="X81" s="118">
        <v>43.109509357612545</v>
      </c>
      <c r="Y81" s="118">
        <v>42.442794279427943</v>
      </c>
      <c r="Z81" s="165" t="s">
        <v>214</v>
      </c>
      <c r="AB81">
        <f t="shared" si="33"/>
        <v>0</v>
      </c>
      <c r="AC81">
        <f t="shared" si="34"/>
        <v>0</v>
      </c>
      <c r="AD81">
        <f t="shared" si="35"/>
        <v>0</v>
      </c>
      <c r="AE81">
        <f t="shared" si="36"/>
        <v>0</v>
      </c>
      <c r="AF81">
        <f t="shared" si="37"/>
        <v>0</v>
      </c>
    </row>
    <row r="82" spans="9:32" x14ac:dyDescent="0.25">
      <c r="I82" s="40" t="s">
        <v>85</v>
      </c>
      <c r="J82" s="2"/>
      <c r="K82" s="42" t="e">
        <f t="shared" ref="K82:M82" si="54">(K81+K79-K80)</f>
        <v>#REF!</v>
      </c>
      <c r="L82" s="42" t="e">
        <f t="shared" si="54"/>
        <v>#REF!</v>
      </c>
      <c r="M82" s="42" t="e">
        <f t="shared" si="54"/>
        <v>#REF!</v>
      </c>
      <c r="N82" s="42">
        <f>(N81+N79-N80)</f>
        <v>25.206466376952761</v>
      </c>
      <c r="O82" s="42">
        <f t="shared" ref="O82:Q82" si="55">(O81+O79-O80)</f>
        <v>28.295434770369766</v>
      </c>
      <c r="P82" s="42">
        <f t="shared" si="55"/>
        <v>27.21226797522489</v>
      </c>
      <c r="Q82" s="42">
        <f t="shared" si="55"/>
        <v>32.756524713559045</v>
      </c>
      <c r="R82" s="42">
        <f>(R81+R79-R80)</f>
        <v>34.508382274121885</v>
      </c>
      <c r="S82" s="88"/>
      <c r="U82" s="42">
        <v>25.206466376952761</v>
      </c>
      <c r="V82" s="42">
        <v>28.295434770369766</v>
      </c>
      <c r="W82" s="42">
        <v>27.21226797522489</v>
      </c>
      <c r="X82" s="42">
        <v>32.756524713559045</v>
      </c>
      <c r="Y82" s="42">
        <v>34.508382274121885</v>
      </c>
      <c r="Z82" s="166" t="s">
        <v>214</v>
      </c>
      <c r="AB82">
        <f t="shared" si="33"/>
        <v>0</v>
      </c>
      <c r="AC82">
        <f t="shared" si="34"/>
        <v>0</v>
      </c>
      <c r="AD82">
        <f t="shared" si="35"/>
        <v>0</v>
      </c>
      <c r="AE82">
        <f t="shared" si="36"/>
        <v>0</v>
      </c>
      <c r="AF82">
        <f t="shared" si="37"/>
        <v>0</v>
      </c>
    </row>
    <row r="83" spans="9:32" x14ac:dyDescent="0.25">
      <c r="I83" s="39" t="s">
        <v>86</v>
      </c>
      <c r="J83" s="2"/>
      <c r="K83" s="36" t="e">
        <f>AVERAGE(J61:K61)/#REF!*365</f>
        <v>#REF!</v>
      </c>
      <c r="L83" s="36" t="e">
        <f>AVERAGE(K61:L61)/#REF!*365</f>
        <v>#REF!</v>
      </c>
      <c r="M83" s="36" t="e">
        <f>AVERAGE(L61:M61)/#REF!*365</f>
        <v>#REF!</v>
      </c>
      <c r="N83" s="118">
        <f>(N61)/B6*365</f>
        <v>41.837395277989337</v>
      </c>
      <c r="O83" s="118">
        <f>AVERAGE(N61:O61)/C6*365</f>
        <v>50.465747702589802</v>
      </c>
      <c r="P83" s="118">
        <f>AVERAGE(O61:P61)/D6*365</f>
        <v>57.306213632585205</v>
      </c>
      <c r="Q83" s="118">
        <f>AVERAGE(P61:Q61)/E6*365</f>
        <v>61.649743951968922</v>
      </c>
      <c r="R83" s="118">
        <f t="shared" ref="R83" si="56">AVERAGE(Q61:R61)/F6*365</f>
        <v>56.81052872162121</v>
      </c>
      <c r="S83" s="37"/>
      <c r="U83" s="118">
        <v>41.837395277989337</v>
      </c>
      <c r="V83" s="118">
        <v>50.465747702589802</v>
      </c>
      <c r="W83" s="118">
        <v>57.306213632585205</v>
      </c>
      <c r="X83" s="118">
        <v>61.649743951968922</v>
      </c>
      <c r="Y83" s="118">
        <v>56.81052872162121</v>
      </c>
      <c r="Z83" s="165" t="s">
        <v>214</v>
      </c>
      <c r="AB83">
        <f t="shared" si="33"/>
        <v>0</v>
      </c>
      <c r="AC83">
        <f t="shared" si="34"/>
        <v>0</v>
      </c>
      <c r="AD83">
        <f t="shared" si="35"/>
        <v>0</v>
      </c>
      <c r="AE83">
        <f t="shared" si="36"/>
        <v>0</v>
      </c>
      <c r="AF83">
        <f t="shared" si="37"/>
        <v>0</v>
      </c>
    </row>
    <row r="84" spans="9:32" ht="15.75" thickBot="1" x14ac:dyDescent="0.3">
      <c r="I84" s="43" t="s">
        <v>87</v>
      </c>
      <c r="J84" s="38"/>
      <c r="K84" s="28" t="e">
        <f>#REF!/K12</f>
        <v>#REF!</v>
      </c>
      <c r="L84" s="28" t="e">
        <f>#REF!/L12</f>
        <v>#REF!</v>
      </c>
      <c r="M84" s="28" t="e">
        <f>#REF!/M12</f>
        <v>#REF!</v>
      </c>
      <c r="N84" s="119">
        <v>0</v>
      </c>
      <c r="O84" s="119">
        <v>0</v>
      </c>
      <c r="P84" s="119">
        <v>0</v>
      </c>
      <c r="Q84" s="119">
        <v>0</v>
      </c>
      <c r="R84" s="119">
        <v>0</v>
      </c>
      <c r="S84" s="120"/>
      <c r="U84" s="119">
        <v>0</v>
      </c>
      <c r="V84" s="119">
        <v>0</v>
      </c>
      <c r="W84" s="119">
        <v>0</v>
      </c>
      <c r="X84" s="119">
        <v>0</v>
      </c>
      <c r="Y84" s="119">
        <v>0</v>
      </c>
      <c r="Z84" s="120">
        <v>0</v>
      </c>
      <c r="AB84">
        <f t="shared" si="33"/>
        <v>0</v>
      </c>
      <c r="AC84">
        <f t="shared" si="34"/>
        <v>0</v>
      </c>
      <c r="AD84">
        <f t="shared" si="35"/>
        <v>0</v>
      </c>
      <c r="AE84">
        <f t="shared" si="36"/>
        <v>0</v>
      </c>
      <c r="AF84">
        <f t="shared" si="37"/>
        <v>0</v>
      </c>
    </row>
    <row r="86" spans="9:32" x14ac:dyDescent="0.25">
      <c r="I86" t="s">
        <v>208</v>
      </c>
    </row>
    <row r="87" spans="9:32" x14ac:dyDescent="0.25">
      <c r="I87" t="s">
        <v>209</v>
      </c>
      <c r="N87" s="46">
        <f>N48-N43</f>
        <v>855</v>
      </c>
      <c r="O87" s="46">
        <f t="shared" ref="O87:S87" si="57">O48-O43</f>
        <v>1004.3000000000002</v>
      </c>
      <c r="P87" s="46">
        <f t="shared" si="57"/>
        <v>1291.4999999999995</v>
      </c>
      <c r="Q87" s="46">
        <f t="shared" si="57"/>
        <v>1419</v>
      </c>
      <c r="R87" s="46">
        <f t="shared" si="57"/>
        <v>1494</v>
      </c>
      <c r="S87" s="46">
        <f t="shared" si="57"/>
        <v>1545</v>
      </c>
      <c r="U87" s="46">
        <v>855</v>
      </c>
      <c r="V87" s="46">
        <v>1004.3000000000002</v>
      </c>
      <c r="W87" s="46">
        <v>1291.4999999999995</v>
      </c>
      <c r="X87" s="46">
        <v>1419</v>
      </c>
      <c r="Y87" s="46">
        <v>1494</v>
      </c>
      <c r="Z87" s="46">
        <v>1545</v>
      </c>
      <c r="AA87" s="46"/>
      <c r="AB87">
        <f t="shared" ref="AB87:AB94" si="58">N87-U87</f>
        <v>0</v>
      </c>
      <c r="AC87">
        <f t="shared" ref="AC87:AC94" si="59">O87-V87</f>
        <v>0</v>
      </c>
      <c r="AD87">
        <f t="shared" ref="AD87:AD94" si="60">P87-W87</f>
        <v>0</v>
      </c>
      <c r="AE87">
        <f t="shared" ref="AE87:AE94" si="61">Q87-X87</f>
        <v>0</v>
      </c>
      <c r="AF87">
        <f t="shared" ref="AF87:AF94" si="62">R87-Y87</f>
        <v>0</v>
      </c>
    </row>
    <row r="88" spans="9:32" x14ac:dyDescent="0.25">
      <c r="I88" t="s">
        <v>210</v>
      </c>
      <c r="N88" s="46">
        <f>N60-N52</f>
        <v>286</v>
      </c>
      <c r="O88" s="46">
        <f t="shared" ref="O88:S88" si="63">O60-O52</f>
        <v>242</v>
      </c>
      <c r="P88" s="46">
        <f t="shared" si="63"/>
        <v>707</v>
      </c>
      <c r="Q88" s="46">
        <f t="shared" si="63"/>
        <v>883</v>
      </c>
      <c r="R88" s="46">
        <f t="shared" si="63"/>
        <v>611</v>
      </c>
      <c r="S88" s="46">
        <f t="shared" si="63"/>
        <v>532</v>
      </c>
      <c r="U88" s="46">
        <v>286</v>
      </c>
      <c r="V88" s="46">
        <v>242</v>
      </c>
      <c r="W88" s="46">
        <v>707</v>
      </c>
      <c r="X88" s="46">
        <v>883</v>
      </c>
      <c r="Y88" s="46">
        <v>611</v>
      </c>
      <c r="Z88" s="46">
        <v>532</v>
      </c>
      <c r="AA88" s="46"/>
      <c r="AB88">
        <f t="shared" si="58"/>
        <v>0</v>
      </c>
      <c r="AC88">
        <f t="shared" si="59"/>
        <v>0</v>
      </c>
      <c r="AD88">
        <f t="shared" si="60"/>
        <v>0</v>
      </c>
      <c r="AE88">
        <f t="shared" si="61"/>
        <v>0</v>
      </c>
      <c r="AF88">
        <f t="shared" si="62"/>
        <v>0</v>
      </c>
    </row>
    <row r="89" spans="9:32" x14ac:dyDescent="0.25">
      <c r="I89" t="s">
        <v>211</v>
      </c>
      <c r="N89" s="46">
        <f>N34</f>
        <v>1032</v>
      </c>
      <c r="O89" s="46">
        <f t="shared" ref="O89:S89" si="64">O34</f>
        <v>951</v>
      </c>
      <c r="P89" s="46">
        <f t="shared" si="64"/>
        <v>1243</v>
      </c>
      <c r="Q89" s="46">
        <f t="shared" si="64"/>
        <v>1086</v>
      </c>
      <c r="R89" s="46">
        <f t="shared" si="64"/>
        <v>1215</v>
      </c>
      <c r="S89" s="46">
        <f t="shared" si="64"/>
        <v>1521</v>
      </c>
      <c r="U89" s="46">
        <v>1032</v>
      </c>
      <c r="V89" s="46">
        <v>951</v>
      </c>
      <c r="W89" s="46">
        <v>1243</v>
      </c>
      <c r="X89" s="46">
        <v>1086</v>
      </c>
      <c r="Y89" s="46">
        <v>1215</v>
      </c>
      <c r="Z89" s="46">
        <v>1521</v>
      </c>
      <c r="AA89" s="46"/>
      <c r="AB89">
        <f t="shared" si="58"/>
        <v>0</v>
      </c>
      <c r="AC89">
        <f t="shared" si="59"/>
        <v>0</v>
      </c>
      <c r="AD89">
        <f t="shared" si="60"/>
        <v>0</v>
      </c>
      <c r="AE89">
        <f t="shared" si="61"/>
        <v>0</v>
      </c>
      <c r="AF89">
        <f t="shared" si="62"/>
        <v>0</v>
      </c>
    </row>
    <row r="90" spans="9:32" x14ac:dyDescent="0.25">
      <c r="I90" t="s">
        <v>212</v>
      </c>
      <c r="N90" s="46">
        <f>N11</f>
        <v>0</v>
      </c>
      <c r="O90" s="46">
        <f t="shared" ref="O90:S90" si="65">O11</f>
        <v>0</v>
      </c>
      <c r="P90" s="46">
        <f t="shared" si="65"/>
        <v>0</v>
      </c>
      <c r="Q90" s="46">
        <f t="shared" si="65"/>
        <v>0</v>
      </c>
      <c r="R90" s="46">
        <f t="shared" si="65"/>
        <v>0</v>
      </c>
      <c r="S90" s="46">
        <f t="shared" si="65"/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/>
      <c r="AB90">
        <f t="shared" si="58"/>
        <v>0</v>
      </c>
      <c r="AC90">
        <f t="shared" si="59"/>
        <v>0</v>
      </c>
      <c r="AD90">
        <f t="shared" si="60"/>
        <v>0</v>
      </c>
      <c r="AE90">
        <f t="shared" si="61"/>
        <v>0</v>
      </c>
      <c r="AF90">
        <f t="shared" si="62"/>
        <v>0</v>
      </c>
    </row>
    <row r="91" spans="9:32" x14ac:dyDescent="0.25">
      <c r="I91" s="150" t="s">
        <v>208</v>
      </c>
      <c r="J91" s="150"/>
      <c r="K91" s="150"/>
      <c r="L91" s="150"/>
      <c r="M91" s="150"/>
      <c r="N91" s="151">
        <f>N87+N88-N89-N90</f>
        <v>109</v>
      </c>
      <c r="O91" s="151">
        <f t="shared" ref="O91:S91" si="66">O87+O88-O89-O90</f>
        <v>295.30000000000018</v>
      </c>
      <c r="P91" s="151">
        <f t="shared" si="66"/>
        <v>755.49999999999955</v>
      </c>
      <c r="Q91" s="151">
        <f t="shared" si="66"/>
        <v>1216</v>
      </c>
      <c r="R91" s="151">
        <f t="shared" si="66"/>
        <v>890</v>
      </c>
      <c r="S91" s="151">
        <f t="shared" si="66"/>
        <v>556</v>
      </c>
      <c r="U91" s="151">
        <v>109</v>
      </c>
      <c r="V91" s="151">
        <v>295.30000000000018</v>
      </c>
      <c r="W91" s="151">
        <v>755.49999999999955</v>
      </c>
      <c r="X91" s="151">
        <v>1216</v>
      </c>
      <c r="Y91" s="151">
        <v>890</v>
      </c>
      <c r="Z91" s="151">
        <v>556</v>
      </c>
      <c r="AA91" s="151"/>
      <c r="AB91">
        <f t="shared" si="58"/>
        <v>0</v>
      </c>
      <c r="AC91">
        <f t="shared" si="59"/>
        <v>0</v>
      </c>
      <c r="AD91">
        <f t="shared" si="60"/>
        <v>0</v>
      </c>
      <c r="AE91">
        <f t="shared" si="61"/>
        <v>0</v>
      </c>
      <c r="AF91">
        <f t="shared" si="62"/>
        <v>0</v>
      </c>
    </row>
    <row r="92" spans="9:32" x14ac:dyDescent="0.25">
      <c r="I92" t="s">
        <v>213</v>
      </c>
      <c r="N92" s="46">
        <f>B18-B22-B23</f>
        <v>704.45300000000043</v>
      </c>
      <c r="O92" s="46">
        <f t="shared" ref="O92:S92" si="67">C18-C22-C23</f>
        <v>468.55199999999968</v>
      </c>
      <c r="P92" s="46">
        <f t="shared" si="67"/>
        <v>354.47199999999975</v>
      </c>
      <c r="Q92" s="46">
        <f t="shared" si="67"/>
        <v>363.0619999999999</v>
      </c>
      <c r="R92" s="46">
        <f t="shared" si="67"/>
        <v>428.17100000000028</v>
      </c>
      <c r="S92" s="46">
        <f t="shared" si="67"/>
        <v>332.19999999999965</v>
      </c>
      <c r="U92" s="46">
        <v>704.45300000000043</v>
      </c>
      <c r="V92" s="46">
        <v>468.55199999999968</v>
      </c>
      <c r="W92" s="46">
        <v>354.47199999999975</v>
      </c>
      <c r="X92" s="46">
        <v>363.0619999999999</v>
      </c>
      <c r="Y92" s="46">
        <v>428.17100000000028</v>
      </c>
      <c r="Z92" s="46">
        <v>231.5</v>
      </c>
      <c r="AA92" s="46"/>
      <c r="AB92">
        <f t="shared" si="58"/>
        <v>0</v>
      </c>
      <c r="AC92">
        <f t="shared" si="59"/>
        <v>0</v>
      </c>
      <c r="AD92">
        <f t="shared" si="60"/>
        <v>0</v>
      </c>
      <c r="AE92">
        <f t="shared" si="61"/>
        <v>0</v>
      </c>
      <c r="AF92">
        <f t="shared" si="62"/>
        <v>0</v>
      </c>
    </row>
    <row r="93" spans="9:32" x14ac:dyDescent="0.25">
      <c r="I93" s="152" t="s">
        <v>126</v>
      </c>
      <c r="J93" s="152"/>
      <c r="K93" s="152"/>
      <c r="L93" s="152"/>
      <c r="M93" s="152"/>
      <c r="N93" s="153">
        <f>N92/N91</f>
        <v>6.4628715596330313</v>
      </c>
      <c r="O93" s="153">
        <f t="shared" ref="O93:S93" si="68">O92/O91</f>
        <v>1.5866982729427681</v>
      </c>
      <c r="P93" s="153">
        <f t="shared" si="68"/>
        <v>0.46918861681005952</v>
      </c>
      <c r="Q93" s="153">
        <f t="shared" si="68"/>
        <v>0.29857072368421045</v>
      </c>
      <c r="R93" s="153">
        <f t="shared" si="68"/>
        <v>0.48109101123595538</v>
      </c>
      <c r="S93" s="153">
        <f t="shared" si="68"/>
        <v>0.59748201438848858</v>
      </c>
      <c r="U93">
        <v>6.4628715596330313</v>
      </c>
      <c r="V93">
        <v>1.5866982729427681</v>
      </c>
      <c r="W93">
        <v>0.46918861681005952</v>
      </c>
      <c r="X93">
        <v>0.29857072368421045</v>
      </c>
      <c r="Y93">
        <v>0.48109101123595538</v>
      </c>
      <c r="Z93">
        <v>0.41636690647482016</v>
      </c>
      <c r="AB93">
        <f t="shared" si="58"/>
        <v>0</v>
      </c>
      <c r="AC93">
        <f t="shared" si="59"/>
        <v>0</v>
      </c>
      <c r="AD93">
        <f t="shared" si="60"/>
        <v>0</v>
      </c>
      <c r="AE93">
        <f t="shared" si="61"/>
        <v>0</v>
      </c>
      <c r="AF93">
        <f t="shared" si="62"/>
        <v>0</v>
      </c>
    </row>
    <row r="94" spans="9:32" x14ac:dyDescent="0.25">
      <c r="I94" s="152" t="s">
        <v>125</v>
      </c>
      <c r="J94" s="152"/>
      <c r="K94" s="152"/>
      <c r="L94" s="152"/>
      <c r="M94" s="152"/>
      <c r="N94" s="153">
        <f>B32/N8</f>
        <v>0.14610389610389621</v>
      </c>
      <c r="O94" s="153">
        <f t="shared" ref="O94:S94" si="69">C32/O8</f>
        <v>0.12934730824201995</v>
      </c>
      <c r="P94" s="153">
        <f t="shared" si="69"/>
        <v>8.7804878048780441E-2</v>
      </c>
      <c r="Q94" s="153">
        <f t="shared" si="69"/>
        <v>9.9564528899445739E-2</v>
      </c>
      <c r="R94" s="153">
        <f t="shared" si="69"/>
        <v>8.6025343565946849E-2</v>
      </c>
      <c r="S94" s="153">
        <f t="shared" si="69"/>
        <v>6.6331572669960745E-2</v>
      </c>
      <c r="U94">
        <v>0.14610389610389621</v>
      </c>
      <c r="V94">
        <v>0.12934730824201995</v>
      </c>
      <c r="W94">
        <v>8.7804878048780441E-2</v>
      </c>
      <c r="X94">
        <v>9.9564528899445739E-2</v>
      </c>
      <c r="Y94">
        <v>8.6025343565946849E-2</v>
      </c>
      <c r="Z94">
        <v>4.4811722610325441E-2</v>
      </c>
      <c r="AB94">
        <f t="shared" si="58"/>
        <v>0</v>
      </c>
      <c r="AC94">
        <f t="shared" si="59"/>
        <v>0</v>
      </c>
      <c r="AD94">
        <f t="shared" si="60"/>
        <v>0</v>
      </c>
      <c r="AE94">
        <f t="shared" si="61"/>
        <v>0</v>
      </c>
      <c r="AF94">
        <f t="shared" si="62"/>
        <v>0</v>
      </c>
    </row>
    <row r="96" spans="9:32" x14ac:dyDescent="0.25">
      <c r="N96" s="154"/>
      <c r="O96" s="154"/>
      <c r="P96" s="154"/>
      <c r="Q96" s="154"/>
      <c r="R96" s="154"/>
      <c r="S96" s="154"/>
    </row>
    <row r="97" spans="14:19" x14ac:dyDescent="0.25">
      <c r="N97" s="154"/>
      <c r="O97" s="154"/>
      <c r="P97" s="154"/>
      <c r="Q97" s="154"/>
      <c r="R97" s="154"/>
      <c r="S97" s="154"/>
    </row>
  </sheetData>
  <mergeCells count="6">
    <mergeCell ref="I65:S65"/>
    <mergeCell ref="A2:R2"/>
    <mergeCell ref="A4:G4"/>
    <mergeCell ref="A43:G43"/>
    <mergeCell ref="A52:G52"/>
    <mergeCell ref="I4:S4"/>
  </mergeCells>
  <pageMargins left="0.25" right="0.25" top="0.75" bottom="0.75" header="0.3" footer="0.3"/>
  <pageSetup paperSize="9" scale="40" orientation="landscape" verticalDpi="36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52"/>
  <sheetViews>
    <sheetView workbookViewId="0">
      <selection activeCell="K19" sqref="K19"/>
    </sheetView>
  </sheetViews>
  <sheetFormatPr defaultColWidth="8.7109375" defaultRowHeight="15" x14ac:dyDescent="0.25"/>
  <cols>
    <col min="1" max="1" width="20.42578125" bestFit="1" customWidth="1"/>
    <col min="4" max="4" width="10.28515625" bestFit="1" customWidth="1"/>
    <col min="8" max="8" width="20.28515625" bestFit="1" customWidth="1"/>
    <col min="11" max="11" width="12" bestFit="1" customWidth="1"/>
  </cols>
  <sheetData>
    <row r="3" spans="1:13" ht="15.75" thickBot="1" x14ac:dyDescent="0.3">
      <c r="B3" t="s">
        <v>6</v>
      </c>
      <c r="C3" t="s">
        <v>6</v>
      </c>
      <c r="D3" t="s">
        <v>6</v>
      </c>
      <c r="E3" t="s">
        <v>6</v>
      </c>
      <c r="F3" t="s">
        <v>6</v>
      </c>
    </row>
    <row r="4" spans="1:13" x14ac:dyDescent="0.25">
      <c r="A4" s="14" t="s">
        <v>0</v>
      </c>
      <c r="B4" t="s">
        <v>135</v>
      </c>
      <c r="C4" t="s">
        <v>136</v>
      </c>
      <c r="D4" t="s">
        <v>139</v>
      </c>
      <c r="E4" t="s">
        <v>137</v>
      </c>
      <c r="F4" t="s">
        <v>140</v>
      </c>
      <c r="H4" s="10" t="s">
        <v>141</v>
      </c>
      <c r="I4" t="s">
        <v>135</v>
      </c>
      <c r="J4" t="s">
        <v>136</v>
      </c>
      <c r="K4" t="s">
        <v>139</v>
      </c>
      <c r="L4" t="s">
        <v>137</v>
      </c>
      <c r="M4" t="s">
        <v>140</v>
      </c>
    </row>
    <row r="5" spans="1:13" x14ac:dyDescent="0.25">
      <c r="A5" s="11" t="s">
        <v>162</v>
      </c>
      <c r="B5" s="5">
        <f>'Summary Sheet'!C6</f>
        <v>4788</v>
      </c>
      <c r="C5">
        <v>58100.9</v>
      </c>
      <c r="D5">
        <f>5436762300/10^6</f>
        <v>5436.7623000000003</v>
      </c>
      <c r="H5" s="11" t="s">
        <v>142</v>
      </c>
      <c r="I5">
        <f>'Summary Sheet'!O8</f>
        <v>4198</v>
      </c>
      <c r="J5">
        <v>31174</v>
      </c>
      <c r="K5">
        <f>5769088987/10^6</f>
        <v>5769.0889870000001</v>
      </c>
    </row>
    <row r="6" spans="1:13" x14ac:dyDescent="0.25">
      <c r="A6" s="11" t="s">
        <v>163</v>
      </c>
      <c r="B6" s="5" t="e">
        <f>'Summary Sheet'!#REF!</f>
        <v>#REF!</v>
      </c>
      <c r="C6">
        <v>42197.599999999999</v>
      </c>
      <c r="D6">
        <f>1265968804/10^6</f>
        <v>1265.9688040000001</v>
      </c>
      <c r="H6" s="11" t="s">
        <v>64</v>
      </c>
      <c r="I6">
        <f>'Summary Sheet'!O10</f>
        <v>0</v>
      </c>
      <c r="J6">
        <v>217.8</v>
      </c>
    </row>
    <row r="7" spans="1:13" x14ac:dyDescent="0.25">
      <c r="A7" s="12" t="s">
        <v>138</v>
      </c>
      <c r="B7" s="16" t="e">
        <f t="shared" ref="B7" si="0">((B5/B6)^(1/3)-1)</f>
        <v>#REF!</v>
      </c>
      <c r="C7" s="16">
        <f>((C5/C6)^(1/3)-1)</f>
        <v>0.11249577314211812</v>
      </c>
      <c r="D7" s="16">
        <f t="shared" ref="D7:F7" si="1">((D5/D6)^(1/3)-1)</f>
        <v>0.62544563006467313</v>
      </c>
      <c r="E7" s="16" t="e">
        <f t="shared" si="1"/>
        <v>#DIV/0!</v>
      </c>
      <c r="F7" s="16" t="e">
        <f t="shared" si="1"/>
        <v>#DIV/0!</v>
      </c>
      <c r="H7" s="11" t="s">
        <v>65</v>
      </c>
      <c r="I7">
        <f>'Summary Sheet'!O11</f>
        <v>0</v>
      </c>
      <c r="J7">
        <v>165.1</v>
      </c>
    </row>
    <row r="8" spans="1:13" x14ac:dyDescent="0.25">
      <c r="A8" s="11"/>
      <c r="H8" s="12" t="s">
        <v>66</v>
      </c>
      <c r="I8">
        <f>SUM(I6:I7)</f>
        <v>0</v>
      </c>
      <c r="J8">
        <f>SUM(J6:J7)</f>
        <v>382.9</v>
      </c>
    </row>
    <row r="9" spans="1:13" x14ac:dyDescent="0.25">
      <c r="A9" s="11" t="s">
        <v>10</v>
      </c>
      <c r="B9" s="5">
        <f>'Summary Sheet'!C11</f>
        <v>4219.4480000000003</v>
      </c>
      <c r="C9">
        <v>51476.9</v>
      </c>
      <c r="D9">
        <f>5263386907/10^6</f>
        <v>5263.3869070000001</v>
      </c>
      <c r="H9" s="12" t="s">
        <v>67</v>
      </c>
      <c r="I9" s="4">
        <f>'Summary Sheet'!O13</f>
        <v>4344</v>
      </c>
      <c r="J9">
        <v>32399.4</v>
      </c>
      <c r="K9">
        <f>(7286416406/10^6)-(1099349464/10^6)</f>
        <v>6187.0669420000004</v>
      </c>
    </row>
    <row r="10" spans="1:13" x14ac:dyDescent="0.25">
      <c r="A10" s="11"/>
      <c r="H10" s="11" t="s">
        <v>143</v>
      </c>
      <c r="I10" s="4">
        <f>'Summary Sheet'!O48</f>
        <v>2191.3000000000002</v>
      </c>
      <c r="J10">
        <v>21044.7</v>
      </c>
      <c r="K10">
        <f>3033435232/10^6</f>
        <v>3033.4352319999998</v>
      </c>
    </row>
    <row r="11" spans="1:13" x14ac:dyDescent="0.25">
      <c r="A11" s="12" t="s">
        <v>150</v>
      </c>
      <c r="B11" s="5">
        <f>'Summary Sheet'!C18</f>
        <v>568.55199999999968</v>
      </c>
      <c r="C11" s="5">
        <f>C5-C9</f>
        <v>6624</v>
      </c>
      <c r="D11" s="5">
        <f>D5-D9</f>
        <v>173.37539300000026</v>
      </c>
      <c r="H11" s="11" t="s">
        <v>144</v>
      </c>
      <c r="I11" s="4">
        <f>'Summary Sheet'!O60</f>
        <v>1673</v>
      </c>
      <c r="J11">
        <v>28970.1</v>
      </c>
      <c r="K11">
        <f>4252981174/10^6</f>
        <v>4252.9811739999996</v>
      </c>
    </row>
    <row r="12" spans="1:13" x14ac:dyDescent="0.25">
      <c r="A12" s="12" t="s">
        <v>151</v>
      </c>
      <c r="B12" s="5" t="e">
        <f>'Summary Sheet'!#REF!</f>
        <v>#REF!</v>
      </c>
      <c r="C12">
        <v>3095.5</v>
      </c>
      <c r="D12" s="5">
        <f>1012519457/10^6</f>
        <v>1012.519457</v>
      </c>
      <c r="H12" s="11" t="s">
        <v>164</v>
      </c>
      <c r="I12" s="4">
        <f>'Summary Sheet'!O50</f>
        <v>387</v>
      </c>
      <c r="J12">
        <v>8833.6</v>
      </c>
      <c r="K12">
        <f>1022696874/10^6</f>
        <v>1022.696874</v>
      </c>
    </row>
    <row r="13" spans="1:13" x14ac:dyDescent="0.25">
      <c r="A13" s="12" t="s">
        <v>138</v>
      </c>
      <c r="B13" s="16" t="e">
        <f>((B11/B12)^(1/3)-1)</f>
        <v>#REF!</v>
      </c>
      <c r="C13" s="16">
        <f t="shared" ref="C13:F13" si="2">((C11/C12)^(1/3)-1)</f>
        <v>0.28863474968882974</v>
      </c>
      <c r="D13" s="16">
        <f t="shared" si="2"/>
        <v>-0.4446995479832514</v>
      </c>
      <c r="E13" s="16" t="e">
        <f t="shared" si="2"/>
        <v>#DIV/0!</v>
      </c>
      <c r="F13" s="16" t="e">
        <f t="shared" si="2"/>
        <v>#DIV/0!</v>
      </c>
      <c r="H13" s="11" t="s">
        <v>165</v>
      </c>
    </row>
    <row r="14" spans="1:13" x14ac:dyDescent="0.25">
      <c r="A14" s="11"/>
      <c r="H14" s="11" t="s">
        <v>166</v>
      </c>
      <c r="I14" s="4">
        <f>'Summary Sheet'!O53</f>
        <v>881</v>
      </c>
      <c r="J14">
        <v>7318.6</v>
      </c>
      <c r="K14">
        <f>961576534/10^6</f>
        <v>961.57653400000004</v>
      </c>
    </row>
    <row r="15" spans="1:13" x14ac:dyDescent="0.25">
      <c r="A15" s="11" t="s">
        <v>152</v>
      </c>
      <c r="B15" s="5">
        <f>'Summary Sheet'!C22</f>
        <v>94</v>
      </c>
      <c r="C15">
        <v>1072.2</v>
      </c>
      <c r="D15">
        <f>163499020/10^6</f>
        <v>163.49902</v>
      </c>
      <c r="H15" s="11" t="s">
        <v>167</v>
      </c>
    </row>
    <row r="16" spans="1:13" x14ac:dyDescent="0.25">
      <c r="A16" s="11" t="s">
        <v>153</v>
      </c>
      <c r="B16" s="5">
        <f>'Summary Sheet'!C23</f>
        <v>6</v>
      </c>
      <c r="C16">
        <v>172.3</v>
      </c>
      <c r="D16">
        <f>14683746/10^6</f>
        <v>14.683745999999999</v>
      </c>
      <c r="H16" s="11" t="s">
        <v>145</v>
      </c>
      <c r="I16" s="4">
        <f>SUM('Summary Sheet'!O54:O55)</f>
        <v>284</v>
      </c>
      <c r="J16">
        <v>1688.9</v>
      </c>
      <c r="K16">
        <f>+(231535599+26760959)/10^6</f>
        <v>258.296558</v>
      </c>
    </row>
    <row r="17" spans="1:13" x14ac:dyDescent="0.25">
      <c r="A17" s="11"/>
      <c r="H17" s="11" t="s">
        <v>146</v>
      </c>
      <c r="I17" s="4">
        <f>'Summary Sheet'!O34</f>
        <v>951</v>
      </c>
      <c r="J17">
        <v>17754.599999999999</v>
      </c>
      <c r="K17">
        <f>1099349464/10^6</f>
        <v>1099.3494639999999</v>
      </c>
    </row>
    <row r="18" spans="1:13" x14ac:dyDescent="0.25">
      <c r="A18" s="11" t="s">
        <v>154</v>
      </c>
      <c r="B18" s="5" t="e">
        <f>'Summary Sheet'!#REF!</f>
        <v>#REF!</v>
      </c>
      <c r="C18">
        <v>634.20000000000005</v>
      </c>
      <c r="D18">
        <f>108587522/10^6</f>
        <v>108.58752200000001</v>
      </c>
      <c r="H18" s="11" t="s">
        <v>168</v>
      </c>
      <c r="I18" s="4">
        <f>'Summary Sheet'!O26</f>
        <v>761</v>
      </c>
      <c r="J18">
        <f>802.5+12126.7</f>
        <v>12929.2</v>
      </c>
      <c r="K18">
        <f>+(102240330+475471708)/10^6</f>
        <v>577.71203800000001</v>
      </c>
    </row>
    <row r="19" spans="1:13" x14ac:dyDescent="0.25">
      <c r="A19" s="11" t="s">
        <v>155</v>
      </c>
      <c r="B19" s="5" t="e">
        <f>'Summary Sheet'!#REF!</f>
        <v>#REF!</v>
      </c>
      <c r="C19">
        <v>322.10000000000002</v>
      </c>
      <c r="D19">
        <f>16934950/10^6</f>
        <v>16.934950000000001</v>
      </c>
      <c r="H19" s="11" t="s">
        <v>169</v>
      </c>
    </row>
    <row r="20" spans="1:13" ht="15.75" thickBot="1" x14ac:dyDescent="0.3">
      <c r="A20" s="11"/>
      <c r="H20" s="15" t="s">
        <v>147</v>
      </c>
      <c r="I20" s="4">
        <f>I11-I17</f>
        <v>722</v>
      </c>
      <c r="J20" s="4">
        <f t="shared" ref="J20:M20" si="3">J11-J17</f>
        <v>11215.5</v>
      </c>
      <c r="K20" s="4">
        <f t="shared" si="3"/>
        <v>3153.6317099999997</v>
      </c>
      <c r="L20" s="4">
        <f t="shared" si="3"/>
        <v>0</v>
      </c>
      <c r="M20" s="4">
        <f t="shared" si="3"/>
        <v>0</v>
      </c>
    </row>
    <row r="21" spans="1:13" x14ac:dyDescent="0.25">
      <c r="A21" s="11" t="s">
        <v>156</v>
      </c>
      <c r="B21" s="5">
        <f>'Summary Sheet'!C24</f>
        <v>728.99999999999977</v>
      </c>
      <c r="C21">
        <v>6252.5</v>
      </c>
      <c r="D21">
        <f>231033695/10^6</f>
        <v>231.03369499999999</v>
      </c>
    </row>
    <row r="22" spans="1:13" x14ac:dyDescent="0.25">
      <c r="A22" s="11" t="s">
        <v>157</v>
      </c>
      <c r="B22" s="5" t="e">
        <f>'Summary Sheet'!#REF!</f>
        <v>#REF!</v>
      </c>
      <c r="C22">
        <v>2487.1</v>
      </c>
      <c r="D22">
        <f>1158838826/10^6</f>
        <v>1158.8388259999999</v>
      </c>
    </row>
    <row r="23" spans="1:13" x14ac:dyDescent="0.25">
      <c r="A23" s="11"/>
    </row>
    <row r="24" spans="1:13" x14ac:dyDescent="0.25">
      <c r="A24" s="11" t="s">
        <v>158</v>
      </c>
      <c r="B24" s="5">
        <f>'Summary Sheet'!C32</f>
        <v>542.99999999999977</v>
      </c>
      <c r="C24">
        <v>4717.2</v>
      </c>
      <c r="D24">
        <f>180059052/10^6</f>
        <v>180.05905200000001</v>
      </c>
    </row>
    <row r="25" spans="1:13" x14ac:dyDescent="0.25">
      <c r="A25" s="11" t="s">
        <v>159</v>
      </c>
      <c r="B25" s="5" t="e">
        <f>'Summary Sheet'!#REF!</f>
        <v>#REF!</v>
      </c>
      <c r="C25">
        <v>1307.5</v>
      </c>
      <c r="D25">
        <f>827079760/10^6</f>
        <v>827.07975999999996</v>
      </c>
    </row>
    <row r="26" spans="1:13" ht="15.75" thickBot="1" x14ac:dyDescent="0.3">
      <c r="A26" s="12" t="s">
        <v>138</v>
      </c>
      <c r="B26" s="17" t="e">
        <f>(B24/B25)^(1/3)-1</f>
        <v>#REF!</v>
      </c>
      <c r="C26" s="17">
        <f>(C24/C25)^(1/3)-1</f>
        <v>0.53372512029609975</v>
      </c>
      <c r="D26" s="17">
        <f>(D24/D25)^(1/3)-1</f>
        <v>-0.39842581862614057</v>
      </c>
    </row>
    <row r="27" spans="1:13" x14ac:dyDescent="0.25">
      <c r="A27" s="11"/>
      <c r="H27" s="14" t="s">
        <v>68</v>
      </c>
      <c r="I27" t="s">
        <v>135</v>
      </c>
      <c r="J27" t="s">
        <v>136</v>
      </c>
      <c r="K27" t="s">
        <v>139</v>
      </c>
      <c r="L27" t="s">
        <v>137</v>
      </c>
      <c r="M27" t="s">
        <v>140</v>
      </c>
    </row>
    <row r="28" spans="1:13" ht="15.75" thickBot="1" x14ac:dyDescent="0.3">
      <c r="A28" s="13" t="s">
        <v>160</v>
      </c>
      <c r="B28" s="4">
        <f>'Summary Sheet'!C38</f>
        <v>24.02</v>
      </c>
      <c r="C28">
        <v>55.04</v>
      </c>
      <c r="D28">
        <v>20.83</v>
      </c>
      <c r="H28" s="11" t="s">
        <v>99</v>
      </c>
    </row>
    <row r="29" spans="1:13" x14ac:dyDescent="0.25">
      <c r="H29" s="11" t="s">
        <v>100</v>
      </c>
    </row>
    <row r="30" spans="1:13" x14ac:dyDescent="0.25">
      <c r="H30" s="11" t="s">
        <v>101</v>
      </c>
    </row>
    <row r="31" spans="1:13" x14ac:dyDescent="0.25">
      <c r="H31" s="11" t="s">
        <v>102</v>
      </c>
    </row>
    <row r="32" spans="1:13" x14ac:dyDescent="0.25">
      <c r="H32" s="11" t="s">
        <v>103</v>
      </c>
    </row>
    <row r="33" spans="8:8" x14ac:dyDescent="0.25">
      <c r="H33" s="11" t="s">
        <v>70</v>
      </c>
    </row>
    <row r="34" spans="8:8" x14ac:dyDescent="0.25">
      <c r="H34" s="11" t="s">
        <v>71</v>
      </c>
    </row>
    <row r="35" spans="8:8" x14ac:dyDescent="0.25">
      <c r="H35" s="11" t="s">
        <v>72</v>
      </c>
    </row>
    <row r="36" spans="8:8" x14ac:dyDescent="0.25">
      <c r="H36" s="11" t="s">
        <v>74</v>
      </c>
    </row>
    <row r="37" spans="8:8" x14ac:dyDescent="0.25">
      <c r="H37" s="11" t="s">
        <v>75</v>
      </c>
    </row>
    <row r="38" spans="8:8" x14ac:dyDescent="0.25">
      <c r="H38" s="11" t="s">
        <v>76</v>
      </c>
    </row>
    <row r="39" spans="8:8" x14ac:dyDescent="0.25">
      <c r="H39" s="11" t="s">
        <v>77</v>
      </c>
    </row>
    <row r="40" spans="8:8" x14ac:dyDescent="0.25">
      <c r="H40" s="11" t="s">
        <v>78</v>
      </c>
    </row>
    <row r="41" spans="8:8" x14ac:dyDescent="0.25">
      <c r="H41" s="11" t="s">
        <v>148</v>
      </c>
    </row>
    <row r="42" spans="8:8" x14ac:dyDescent="0.25">
      <c r="H42" s="11" t="s">
        <v>79</v>
      </c>
    </row>
    <row r="43" spans="8:8" x14ac:dyDescent="0.25">
      <c r="H43" s="11" t="s">
        <v>80</v>
      </c>
    </row>
    <row r="44" spans="8:8" x14ac:dyDescent="0.25">
      <c r="H44" s="11" t="s">
        <v>149</v>
      </c>
    </row>
    <row r="45" spans="8:8" x14ac:dyDescent="0.25">
      <c r="H45" s="11" t="s">
        <v>81</v>
      </c>
    </row>
    <row r="46" spans="8:8" x14ac:dyDescent="0.25">
      <c r="H46" s="11" t="s">
        <v>82</v>
      </c>
    </row>
    <row r="47" spans="8:8" x14ac:dyDescent="0.25">
      <c r="H47" s="11" t="s">
        <v>83</v>
      </c>
    </row>
    <row r="48" spans="8:8" x14ac:dyDescent="0.25">
      <c r="H48" s="11" t="s">
        <v>84</v>
      </c>
    </row>
    <row r="49" spans="8:8" x14ac:dyDescent="0.25">
      <c r="H49" s="11" t="s">
        <v>85</v>
      </c>
    </row>
    <row r="50" spans="8:8" x14ac:dyDescent="0.25">
      <c r="H50" s="11" t="s">
        <v>86</v>
      </c>
    </row>
    <row r="51" spans="8:8" x14ac:dyDescent="0.25">
      <c r="H51" s="11" t="s">
        <v>87</v>
      </c>
    </row>
    <row r="52" spans="8:8" ht="15.75" thickBot="1" x14ac:dyDescent="0.3">
      <c r="H52" s="1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2"/>
  <sheetViews>
    <sheetView topLeftCell="A22" workbookViewId="0">
      <selection activeCell="B30" sqref="B30"/>
    </sheetView>
  </sheetViews>
  <sheetFormatPr defaultColWidth="8.7109375" defaultRowHeight="15" x14ac:dyDescent="0.25"/>
  <cols>
    <col min="1" max="1" width="34.7109375" bestFit="1" customWidth="1"/>
    <col min="4" max="4" width="10.28515625" bestFit="1" customWidth="1"/>
  </cols>
  <sheetData>
    <row r="2" spans="1:6" x14ac:dyDescent="0.25">
      <c r="B2" t="s">
        <v>135</v>
      </c>
      <c r="C2" t="s">
        <v>136</v>
      </c>
      <c r="D2" t="s">
        <v>139</v>
      </c>
      <c r="E2" t="s">
        <v>137</v>
      </c>
      <c r="F2" t="s">
        <v>140</v>
      </c>
    </row>
    <row r="3" spans="1:6" x14ac:dyDescent="0.25">
      <c r="A3" s="177" t="s">
        <v>106</v>
      </c>
    </row>
    <row r="4" spans="1:6" x14ac:dyDescent="0.25">
      <c r="A4" s="178"/>
    </row>
    <row r="5" spans="1:6" x14ac:dyDescent="0.25">
      <c r="A5" s="6" t="s">
        <v>107</v>
      </c>
    </row>
    <row r="6" spans="1:6" x14ac:dyDescent="0.25">
      <c r="A6" s="6" t="s">
        <v>0</v>
      </c>
    </row>
    <row r="7" spans="1:6" x14ac:dyDescent="0.25">
      <c r="A7" s="7" t="s">
        <v>108</v>
      </c>
    </row>
    <row r="8" spans="1:6" x14ac:dyDescent="0.25">
      <c r="A8" s="7" t="s">
        <v>109</v>
      </c>
    </row>
    <row r="9" spans="1:6" x14ac:dyDescent="0.25">
      <c r="A9" s="6" t="s">
        <v>13</v>
      </c>
    </row>
    <row r="10" spans="1:6" x14ac:dyDescent="0.25">
      <c r="A10" s="7" t="s">
        <v>109</v>
      </c>
    </row>
    <row r="11" spans="1:6" x14ac:dyDescent="0.25">
      <c r="A11" s="6" t="s">
        <v>110</v>
      </c>
    </row>
    <row r="12" spans="1:6" x14ac:dyDescent="0.25">
      <c r="A12" s="6" t="s">
        <v>19</v>
      </c>
    </row>
    <row r="13" spans="1:6" x14ac:dyDescent="0.25">
      <c r="A13" s="7" t="s">
        <v>109</v>
      </c>
    </row>
    <row r="14" spans="1:6" x14ac:dyDescent="0.25">
      <c r="A14" s="6" t="s">
        <v>111</v>
      </c>
    </row>
    <row r="15" spans="1:6" x14ac:dyDescent="0.25">
      <c r="A15" s="7" t="s">
        <v>22</v>
      </c>
    </row>
    <row r="16" spans="1:6" x14ac:dyDescent="0.25">
      <c r="A16" s="7"/>
    </row>
    <row r="17" spans="1:1" x14ac:dyDescent="0.25">
      <c r="A17" s="7"/>
    </row>
    <row r="18" spans="1:1" x14ac:dyDescent="0.25">
      <c r="A18" s="6" t="s">
        <v>112</v>
      </c>
    </row>
    <row r="19" spans="1:1" x14ac:dyDescent="0.25">
      <c r="A19" s="6" t="s">
        <v>113</v>
      </c>
    </row>
    <row r="20" spans="1:1" x14ac:dyDescent="0.25">
      <c r="A20" s="6" t="s">
        <v>101</v>
      </c>
    </row>
    <row r="21" spans="1:1" x14ac:dyDescent="0.25">
      <c r="A21" s="8" t="s">
        <v>114</v>
      </c>
    </row>
    <row r="22" spans="1:1" x14ac:dyDescent="0.25">
      <c r="A22" s="8" t="s">
        <v>115</v>
      </c>
    </row>
    <row r="23" spans="1:1" x14ac:dyDescent="0.25">
      <c r="A23" s="7"/>
    </row>
    <row r="24" spans="1:1" x14ac:dyDescent="0.25">
      <c r="A24" s="6" t="s">
        <v>88</v>
      </c>
    </row>
    <row r="25" spans="1:1" x14ac:dyDescent="0.25">
      <c r="A25" s="7" t="s">
        <v>116</v>
      </c>
    </row>
    <row r="26" spans="1:1" x14ac:dyDescent="0.25">
      <c r="A26" s="7" t="s">
        <v>98</v>
      </c>
    </row>
    <row r="27" spans="1:1" x14ac:dyDescent="0.25">
      <c r="A27" s="9"/>
    </row>
    <row r="28" spans="1:1" x14ac:dyDescent="0.25">
      <c r="A28" s="9" t="s">
        <v>99</v>
      </c>
    </row>
    <row r="29" spans="1:1" x14ac:dyDescent="0.25">
      <c r="A29" s="6" t="s">
        <v>100</v>
      </c>
    </row>
    <row r="30" spans="1:1" x14ac:dyDescent="0.25">
      <c r="A30" s="6" t="s">
        <v>117</v>
      </c>
    </row>
    <row r="31" spans="1:1" x14ac:dyDescent="0.25">
      <c r="A31" s="7"/>
    </row>
    <row r="32" spans="1:1" x14ac:dyDescent="0.25">
      <c r="A32" s="7" t="s">
        <v>118</v>
      </c>
    </row>
    <row r="33" spans="1:1" x14ac:dyDescent="0.25">
      <c r="A33" s="7" t="s">
        <v>81</v>
      </c>
    </row>
    <row r="34" spans="1:1" x14ac:dyDescent="0.25">
      <c r="A34" s="7" t="s">
        <v>119</v>
      </c>
    </row>
    <row r="35" spans="1:1" x14ac:dyDescent="0.25">
      <c r="A35" s="7" t="s">
        <v>120</v>
      </c>
    </row>
    <row r="36" spans="1:1" x14ac:dyDescent="0.25">
      <c r="A36" s="7"/>
    </row>
    <row r="37" spans="1:1" x14ac:dyDescent="0.25">
      <c r="A37" s="6" t="s">
        <v>121</v>
      </c>
    </row>
    <row r="38" spans="1:1" x14ac:dyDescent="0.25">
      <c r="A38" s="6" t="s">
        <v>122</v>
      </c>
    </row>
    <row r="39" spans="1:1" x14ac:dyDescent="0.25">
      <c r="A39" s="7" t="s">
        <v>123</v>
      </c>
    </row>
    <row r="40" spans="1:1" x14ac:dyDescent="0.25">
      <c r="A40" s="7" t="s">
        <v>124</v>
      </c>
    </row>
    <row r="41" spans="1:1" x14ac:dyDescent="0.25">
      <c r="A41" s="7" t="s">
        <v>125</v>
      </c>
    </row>
    <row r="42" spans="1:1" x14ac:dyDescent="0.25">
      <c r="A42" s="7" t="s">
        <v>126</v>
      </c>
    </row>
    <row r="43" spans="1:1" x14ac:dyDescent="0.25">
      <c r="A43" s="7" t="s">
        <v>127</v>
      </c>
    </row>
    <row r="44" spans="1:1" x14ac:dyDescent="0.25">
      <c r="A44" s="7" t="s">
        <v>128</v>
      </c>
    </row>
    <row r="45" spans="1:1" x14ac:dyDescent="0.25">
      <c r="A45" s="7" t="s">
        <v>84</v>
      </c>
    </row>
    <row r="46" spans="1:1" x14ac:dyDescent="0.25">
      <c r="A46" s="7" t="s">
        <v>129</v>
      </c>
    </row>
    <row r="47" spans="1:1" x14ac:dyDescent="0.25">
      <c r="A47" s="7" t="s">
        <v>130</v>
      </c>
    </row>
    <row r="48" spans="1:1" x14ac:dyDescent="0.25">
      <c r="A48" s="7" t="s">
        <v>86</v>
      </c>
    </row>
    <row r="49" spans="1:1" x14ac:dyDescent="0.25">
      <c r="A49" s="7" t="s">
        <v>131</v>
      </c>
    </row>
    <row r="50" spans="1:1" x14ac:dyDescent="0.25">
      <c r="A50" s="7" t="s">
        <v>132</v>
      </c>
    </row>
    <row r="51" spans="1:1" x14ac:dyDescent="0.25">
      <c r="A51" s="7" t="s">
        <v>133</v>
      </c>
    </row>
    <row r="52" spans="1:1" x14ac:dyDescent="0.25">
      <c r="A52" s="7" t="s">
        <v>134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Sheet</vt:lpstr>
      <vt:lpstr>Peer working</vt:lpstr>
      <vt:lpstr>Peers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Tanishq</dc:creator>
  <cp:lastModifiedBy>Zulekha Khan</cp:lastModifiedBy>
  <cp:lastPrinted>2022-06-29T12:01:35Z</cp:lastPrinted>
  <dcterms:created xsi:type="dcterms:W3CDTF">2021-01-13T15:05:52Z</dcterms:created>
  <dcterms:modified xsi:type="dcterms:W3CDTF">2024-04-09T09:26:29Z</dcterms:modified>
</cp:coreProperties>
</file>