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V19\Downloads\"/>
    </mc:Choice>
  </mc:AlternateContent>
  <xr:revisionPtr revIDLastSave="0" documentId="13_ncr:1_{D03ADCB2-8513-411C-B848-F22D0A8E9CC5}" xr6:coauthVersionLast="47" xr6:coauthVersionMax="47" xr10:uidLastSave="{00000000-0000-0000-0000-000000000000}"/>
  <bookViews>
    <workbookView xWindow="-120" yWindow="-120" windowWidth="21840" windowHeight="13140" tabRatio="769" firstSheet="1" activeTab="1" xr2:uid="{00000000-000D-0000-FFFF-FFFF00000000}"/>
  </bookViews>
  <sheets>
    <sheet name="Peer Analysis" sheetId="10" state="hidden" r:id="rId1"/>
    <sheet name="Consol" sheetId="1" r:id="rId2"/>
    <sheet name="41678Sheet1" sheetId="11" r:id="rId3"/>
  </sheets>
  <externalReferences>
    <externalReference r:id="rId4"/>
  </externalReferences>
  <definedNames>
    <definedName name="_xlnm.Print_Area" localSheetId="0">'Peer Analysis'!$A$1:$G$51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13" i="1"/>
  <c r="AA63" i="1"/>
  <c r="W74" i="1"/>
  <c r="V74" i="1"/>
  <c r="U74" i="1"/>
  <c r="T74" i="1"/>
  <c r="W73" i="1"/>
  <c r="V73" i="1"/>
  <c r="U73" i="1"/>
  <c r="T73" i="1"/>
  <c r="H63" i="1"/>
  <c r="H11" i="11"/>
  <c r="M67" i="1"/>
  <c r="L67" i="1"/>
  <c r="K67" i="1"/>
  <c r="J67" i="1"/>
  <c r="I67" i="1"/>
  <c r="H67" i="1"/>
  <c r="F8" i="11"/>
  <c r="G8" i="11" s="1"/>
  <c r="E6" i="11"/>
  <c r="U75" i="1"/>
  <c r="V75" i="1"/>
  <c r="W75" i="1"/>
  <c r="T75" i="1"/>
  <c r="S75" i="1"/>
  <c r="S47" i="1"/>
  <c r="S54" i="1"/>
  <c r="S35" i="1"/>
  <c r="U54" i="1"/>
  <c r="V54" i="1"/>
  <c r="W54" i="1"/>
  <c r="X54" i="1"/>
  <c r="T54" i="1"/>
  <c r="U47" i="1"/>
  <c r="V47" i="1"/>
  <c r="W47" i="1"/>
  <c r="X47" i="1"/>
  <c r="T47" i="1"/>
  <c r="V61" i="1" l="1"/>
  <c r="W61" i="1"/>
  <c r="W35" i="1"/>
  <c r="X35" i="1"/>
  <c r="V35" i="1"/>
  <c r="M63" i="1"/>
  <c r="L63" i="1"/>
  <c r="J63" i="1"/>
  <c r="I63" i="1"/>
  <c r="K63" i="1"/>
  <c r="M58" i="1"/>
  <c r="L58" i="1"/>
  <c r="K58" i="1"/>
  <c r="J58" i="1"/>
  <c r="I58" i="1"/>
  <c r="T35" i="1"/>
  <c r="U35" i="1"/>
  <c r="V67" i="1"/>
  <c r="X64" i="1" l="1"/>
  <c r="W72" i="1"/>
  <c r="W67" i="1"/>
  <c r="M65" i="1"/>
  <c r="M60" i="1"/>
  <c r="M53" i="1"/>
  <c r="W64" i="1"/>
  <c r="W25" i="1"/>
  <c r="W10" i="1"/>
  <c r="W6" i="1"/>
  <c r="W56" i="1" s="1"/>
  <c r="M32" i="1"/>
  <c r="L32" i="1"/>
  <c r="M14" i="1"/>
  <c r="L66" i="1" l="1"/>
  <c r="W71" i="1"/>
  <c r="W78" i="1"/>
  <c r="W70" i="1"/>
  <c r="W48" i="1"/>
  <c r="W57" i="1"/>
  <c r="M21" i="1"/>
  <c r="W12" i="1" l="1"/>
  <c r="W13" i="1" s="1"/>
  <c r="X79" i="1"/>
  <c r="M29" i="1" l="1"/>
  <c r="M33" i="1" s="1"/>
  <c r="M39" i="1" s="1"/>
  <c r="M27" i="1"/>
  <c r="W76" i="1"/>
  <c r="L60" i="1"/>
  <c r="L46" i="1"/>
  <c r="L45" i="1"/>
  <c r="L6" i="1"/>
  <c r="L5" i="1"/>
  <c r="C59" i="1"/>
  <c r="D59" i="1"/>
  <c r="K6" i="1"/>
  <c r="J6" i="1"/>
  <c r="I5" i="1"/>
  <c r="I6" i="1"/>
  <c r="V72" i="1"/>
  <c r="U67" i="1"/>
  <c r="T67" i="1"/>
  <c r="I46" i="1"/>
  <c r="I45" i="1"/>
  <c r="T25" i="1"/>
  <c r="T57" i="1" s="1"/>
  <c r="T10" i="1"/>
  <c r="I53" i="1"/>
  <c r="I54" i="1" s="1"/>
  <c r="X25" i="1"/>
  <c r="X10" i="1"/>
  <c r="X6" i="1"/>
  <c r="L53" i="1"/>
  <c r="L13" i="1"/>
  <c r="K5" i="1"/>
  <c r="Q54" i="1"/>
  <c r="Q47" i="1"/>
  <c r="Q8" i="1"/>
  <c r="Q10" i="1" s="1"/>
  <c r="C66" i="1" s="1"/>
  <c r="K46" i="1"/>
  <c r="C12" i="1"/>
  <c r="C13" i="1" s="1"/>
  <c r="D12" i="1"/>
  <c r="S67" i="1"/>
  <c r="H53" i="1"/>
  <c r="H54" i="1" s="1"/>
  <c r="V25" i="1"/>
  <c r="J65" i="1"/>
  <c r="D5" i="1"/>
  <c r="H5" i="1"/>
  <c r="J5" i="1"/>
  <c r="H13" i="1"/>
  <c r="I13" i="1"/>
  <c r="J13" i="1"/>
  <c r="J14" i="1" s="1"/>
  <c r="K13" i="1"/>
  <c r="C32" i="1"/>
  <c r="D32" i="1"/>
  <c r="H32" i="1"/>
  <c r="I32" i="1"/>
  <c r="J32" i="1"/>
  <c r="K32" i="1"/>
  <c r="D45" i="1"/>
  <c r="H45" i="1"/>
  <c r="J45" i="1"/>
  <c r="K45" i="1"/>
  <c r="J46" i="1"/>
  <c r="C53" i="1"/>
  <c r="C54" i="1" s="1"/>
  <c r="D53" i="1"/>
  <c r="D54" i="1" s="1"/>
  <c r="C58" i="1"/>
  <c r="D58" i="1"/>
  <c r="H58" i="1"/>
  <c r="C65" i="1"/>
  <c r="D65" i="1"/>
  <c r="H65" i="1"/>
  <c r="I65" i="1"/>
  <c r="C67" i="1"/>
  <c r="D67" i="1"/>
  <c r="V64" i="1"/>
  <c r="V10" i="1"/>
  <c r="V71" i="1" s="1"/>
  <c r="V6" i="1"/>
  <c r="V56" i="1" s="1"/>
  <c r="C6" i="10"/>
  <c r="D6" i="10"/>
  <c r="E6" i="10"/>
  <c r="F6" i="10"/>
  <c r="B7" i="10"/>
  <c r="C7" i="10"/>
  <c r="D7" i="10"/>
  <c r="E7" i="10"/>
  <c r="F7" i="10"/>
  <c r="B8" i="10"/>
  <c r="C8" i="10"/>
  <c r="D8" i="10"/>
  <c r="D10" i="10" s="1"/>
  <c r="E8" i="10"/>
  <c r="F8" i="10"/>
  <c r="B9" i="10"/>
  <c r="C9" i="10"/>
  <c r="D9" i="10"/>
  <c r="E9" i="10"/>
  <c r="F9" i="10"/>
  <c r="B11" i="10"/>
  <c r="C11" i="10"/>
  <c r="C13" i="10" s="1"/>
  <c r="D11" i="10"/>
  <c r="E11" i="10"/>
  <c r="F11" i="10"/>
  <c r="B12" i="10"/>
  <c r="C12" i="10"/>
  <c r="D12" i="10"/>
  <c r="E12" i="10"/>
  <c r="F12" i="10"/>
  <c r="B14" i="10"/>
  <c r="C14" i="10"/>
  <c r="D14" i="10"/>
  <c r="E14" i="10"/>
  <c r="F14" i="10"/>
  <c r="B18" i="10"/>
  <c r="B38" i="10" s="1"/>
  <c r="C18" i="10"/>
  <c r="C38" i="10" s="1"/>
  <c r="D18" i="10"/>
  <c r="D38" i="10"/>
  <c r="E18" i="10"/>
  <c r="E38" i="10" s="1"/>
  <c r="F18" i="10"/>
  <c r="F38" i="10" s="1"/>
  <c r="B20" i="10"/>
  <c r="C20" i="10"/>
  <c r="D20" i="10"/>
  <c r="E20" i="10"/>
  <c r="F20" i="10"/>
  <c r="B21" i="10"/>
  <c r="C21" i="10"/>
  <c r="C19" i="10" s="1"/>
  <c r="D21" i="10"/>
  <c r="D19" i="10" s="1"/>
  <c r="E21" i="10"/>
  <c r="F21" i="10"/>
  <c r="B27" i="10"/>
  <c r="C27" i="10"/>
  <c r="D27" i="10"/>
  <c r="E27" i="10"/>
  <c r="F27" i="10"/>
  <c r="B28" i="10"/>
  <c r="C28" i="10"/>
  <c r="D28" i="10"/>
  <c r="E28" i="10"/>
  <c r="F28" i="10"/>
  <c r="B29" i="10"/>
  <c r="C29" i="10"/>
  <c r="D29" i="10"/>
  <c r="E29" i="10"/>
  <c r="F29" i="10"/>
  <c r="B31" i="10"/>
  <c r="C31" i="10"/>
  <c r="D31" i="10"/>
  <c r="E31" i="10"/>
  <c r="F31" i="10"/>
  <c r="B32" i="10"/>
  <c r="C32" i="10"/>
  <c r="D32" i="10"/>
  <c r="E32" i="10"/>
  <c r="F32" i="10"/>
  <c r="B33" i="10"/>
  <c r="C33" i="10"/>
  <c r="D33" i="10"/>
  <c r="E33" i="10"/>
  <c r="F33" i="10"/>
  <c r="B34" i="10"/>
  <c r="C34" i="10"/>
  <c r="D34" i="10"/>
  <c r="E34" i="10"/>
  <c r="F34" i="10"/>
  <c r="C37" i="10"/>
  <c r="D37" i="10"/>
  <c r="E37" i="10"/>
  <c r="F37" i="10"/>
  <c r="B39" i="10"/>
  <c r="C39" i="10"/>
  <c r="D39" i="10"/>
  <c r="E39" i="10"/>
  <c r="F39" i="10"/>
  <c r="B40" i="10"/>
  <c r="C40" i="10"/>
  <c r="D40" i="10"/>
  <c r="E40" i="10"/>
  <c r="F40" i="10"/>
  <c r="B41" i="10"/>
  <c r="C41" i="10"/>
  <c r="D41" i="10"/>
  <c r="E41" i="10"/>
  <c r="F41" i="10"/>
  <c r="B42" i="10"/>
  <c r="C42" i="10"/>
  <c r="D42" i="10"/>
  <c r="E42" i="10"/>
  <c r="F42" i="10"/>
  <c r="B43" i="10"/>
  <c r="C43" i="10"/>
  <c r="D43" i="10"/>
  <c r="E43" i="10"/>
  <c r="F43" i="10"/>
  <c r="B44" i="10"/>
  <c r="C44" i="10"/>
  <c r="D44" i="10"/>
  <c r="E44" i="10"/>
  <c r="F44" i="10"/>
  <c r="B45" i="10"/>
  <c r="C45" i="10"/>
  <c r="D45" i="10"/>
  <c r="E45" i="10"/>
  <c r="F45" i="10"/>
  <c r="B46" i="10"/>
  <c r="C46" i="10"/>
  <c r="D46" i="10"/>
  <c r="E46" i="10"/>
  <c r="F46" i="10"/>
  <c r="B47" i="10"/>
  <c r="C47" i="10"/>
  <c r="D47" i="10"/>
  <c r="E47" i="10"/>
  <c r="F47" i="10"/>
  <c r="B48" i="10"/>
  <c r="C48" i="10"/>
  <c r="D48" i="10"/>
  <c r="E48" i="10"/>
  <c r="F48" i="10"/>
  <c r="B49" i="10"/>
  <c r="C49" i="10"/>
  <c r="D49" i="10"/>
  <c r="E49" i="10"/>
  <c r="F49" i="10"/>
  <c r="B50" i="10"/>
  <c r="C50" i="10"/>
  <c r="D50" i="10"/>
  <c r="E50" i="10"/>
  <c r="F50" i="10"/>
  <c r="B51" i="10"/>
  <c r="C51" i="10"/>
  <c r="D51" i="10"/>
  <c r="E51" i="10"/>
  <c r="F51" i="10"/>
  <c r="C10" i="10"/>
  <c r="F19" i="10"/>
  <c r="E19" i="10"/>
  <c r="D13" i="10"/>
  <c r="B37" i="10"/>
  <c r="B6" i="10"/>
  <c r="B10" i="10" s="1"/>
  <c r="U72" i="1"/>
  <c r="Q67" i="1"/>
  <c r="S74" i="1"/>
  <c r="Q72" i="1"/>
  <c r="T72" i="1"/>
  <c r="Q73" i="1"/>
  <c r="T61" i="1"/>
  <c r="T64" i="1" s="1"/>
  <c r="S61" i="1"/>
  <c r="S64" i="1" s="1"/>
  <c r="Q61" i="1"/>
  <c r="Q64" i="1" s="1"/>
  <c r="U61" i="1"/>
  <c r="U64" i="1" s="1"/>
  <c r="S72" i="1"/>
  <c r="R10" i="1"/>
  <c r="R35" i="1"/>
  <c r="Q35" i="1"/>
  <c r="R25" i="1"/>
  <c r="Q25" i="1"/>
  <c r="R6" i="1"/>
  <c r="Q6" i="1"/>
  <c r="U25" i="1"/>
  <c r="U10" i="1"/>
  <c r="U6" i="1"/>
  <c r="U56" i="1" s="1"/>
  <c r="T6" i="1"/>
  <c r="S6" i="1"/>
  <c r="S56" i="1" s="1"/>
  <c r="M34" i="1" l="1"/>
  <c r="I66" i="1"/>
  <c r="T71" i="1"/>
  <c r="M66" i="1"/>
  <c r="M68" i="1" s="1"/>
  <c r="X78" i="1"/>
  <c r="X70" i="1"/>
  <c r="X71" i="1"/>
  <c r="U78" i="1"/>
  <c r="U71" i="1"/>
  <c r="T12" i="1"/>
  <c r="T13" i="1" s="1"/>
  <c r="B13" i="10"/>
  <c r="F10" i="10"/>
  <c r="E10" i="10"/>
  <c r="H14" i="1"/>
  <c r="H21" i="1"/>
  <c r="H25" i="1" s="1"/>
  <c r="H27" i="1" s="1"/>
  <c r="T62" i="1"/>
  <c r="T65" i="1" s="1"/>
  <c r="T56" i="1"/>
  <c r="B19" i="10"/>
  <c r="X62" i="1"/>
  <c r="X65" i="1" s="1"/>
  <c r="X56" i="1"/>
  <c r="S62" i="1"/>
  <c r="S65" i="1" s="1"/>
  <c r="K60" i="1"/>
  <c r="D60" i="1"/>
  <c r="V76" i="1"/>
  <c r="H55" i="1"/>
  <c r="L65" i="1"/>
  <c r="L68" i="1" s="1"/>
  <c r="W66" i="1" s="1"/>
  <c r="W62" i="1"/>
  <c r="W65" i="1" s="1"/>
  <c r="I15" i="1"/>
  <c r="I21" i="1"/>
  <c r="T69" i="1" s="1"/>
  <c r="K16" i="1"/>
  <c r="K65" i="1"/>
  <c r="S25" i="1"/>
  <c r="S57" i="1" s="1"/>
  <c r="J21" i="1"/>
  <c r="J25" i="1" s="1"/>
  <c r="H60" i="1"/>
  <c r="S48" i="1"/>
  <c r="U57" i="1"/>
  <c r="Q78" i="1"/>
  <c r="Q74" i="1"/>
  <c r="Q70" i="1"/>
  <c r="J66" i="1"/>
  <c r="J68" i="1" s="1"/>
  <c r="U66" i="1" s="1"/>
  <c r="Q57" i="1"/>
  <c r="T76" i="1"/>
  <c r="J15" i="1"/>
  <c r="D13" i="1"/>
  <c r="J16" i="1" s="1"/>
  <c r="Q56" i="1"/>
  <c r="Q13" i="1" s="1"/>
  <c r="Q48" i="1"/>
  <c r="D66" i="1"/>
  <c r="D68" i="1" s="1"/>
  <c r="K54" i="1"/>
  <c r="L54" i="1" s="1"/>
  <c r="M54" i="1" s="1"/>
  <c r="T48" i="1"/>
  <c r="C14" i="1"/>
  <c r="C55" i="1"/>
  <c r="C21" i="1"/>
  <c r="Q75" i="1"/>
  <c r="U76" i="1"/>
  <c r="I14" i="1"/>
  <c r="C68" i="1"/>
  <c r="Q66" i="1" s="1"/>
  <c r="S10" i="1"/>
  <c r="U48" i="1"/>
  <c r="V57" i="1"/>
  <c r="Q12" i="1"/>
  <c r="S76" i="1"/>
  <c r="I16" i="1"/>
  <c r="I68" i="1"/>
  <c r="T66" i="1" s="1"/>
  <c r="Q62" i="1"/>
  <c r="Q65" i="1" s="1"/>
  <c r="V70" i="1"/>
  <c r="K15" i="1"/>
  <c r="T70" i="1"/>
  <c r="U62" i="1"/>
  <c r="U65" i="1" s="1"/>
  <c r="R12" i="1"/>
  <c r="K66" i="1"/>
  <c r="K21" i="1"/>
  <c r="K25" i="1" s="1"/>
  <c r="F13" i="10"/>
  <c r="V78" i="1"/>
  <c r="K14" i="1"/>
  <c r="T78" i="1"/>
  <c r="U70" i="1"/>
  <c r="E13" i="10"/>
  <c r="Q71" i="1"/>
  <c r="V62" i="1"/>
  <c r="V65" i="1" s="1"/>
  <c r="L21" i="1"/>
  <c r="L16" i="1"/>
  <c r="L15" i="1"/>
  <c r="J60" i="1"/>
  <c r="I60" i="1"/>
  <c r="C60" i="1"/>
  <c r="X57" i="1"/>
  <c r="X12" i="1" s="1"/>
  <c r="X13" i="1" s="1"/>
  <c r="L14" i="1"/>
  <c r="K29" i="1" l="1"/>
  <c r="K27" i="1"/>
  <c r="J29" i="1"/>
  <c r="J27" i="1"/>
  <c r="L25" i="1"/>
  <c r="W69" i="1"/>
  <c r="S78" i="1"/>
  <c r="S71" i="1"/>
  <c r="V69" i="1"/>
  <c r="V12" i="1"/>
  <c r="V13" i="1" s="1"/>
  <c r="V83" i="1" s="1"/>
  <c r="U69" i="1"/>
  <c r="U12" i="1"/>
  <c r="U13" i="1" s="1"/>
  <c r="S12" i="1"/>
  <c r="S13" i="1" s="1"/>
  <c r="S69" i="1"/>
  <c r="I25" i="1"/>
  <c r="X83" i="1"/>
  <c r="V48" i="1"/>
  <c r="W77" i="1" s="1"/>
  <c r="S79" i="1"/>
  <c r="C29" i="1"/>
  <c r="C33" i="1" s="1"/>
  <c r="C34" i="1" s="1"/>
  <c r="C25" i="1"/>
  <c r="Q79" i="1"/>
  <c r="C27" i="1"/>
  <c r="K68" i="1"/>
  <c r="V66" i="1" s="1"/>
  <c r="S77" i="1"/>
  <c r="T77" i="1"/>
  <c r="Q77" i="1"/>
  <c r="Q69" i="1"/>
  <c r="J33" i="1"/>
  <c r="J34" i="1" s="1"/>
  <c r="W79" i="1"/>
  <c r="Q76" i="1"/>
  <c r="U79" i="1"/>
  <c r="X48" i="1"/>
  <c r="Q83" i="1"/>
  <c r="H29" i="1"/>
  <c r="H33" i="1" s="1"/>
  <c r="S70" i="1"/>
  <c r="Q82" i="1"/>
  <c r="D21" i="1"/>
  <c r="D25" i="1" s="1"/>
  <c r="D55" i="1"/>
  <c r="D14" i="1"/>
  <c r="H15" i="1" s="1"/>
  <c r="H66" i="1"/>
  <c r="H68" i="1" s="1"/>
  <c r="S66" i="1" s="1"/>
  <c r="U77" i="1"/>
  <c r="S82" i="1"/>
  <c r="V79" i="1"/>
  <c r="T79" i="1"/>
  <c r="R13" i="1"/>
  <c r="R83" i="1" s="1"/>
  <c r="R82" i="1"/>
  <c r="T83" i="1"/>
  <c r="T82" i="1"/>
  <c r="V82" i="1"/>
  <c r="U82" i="1"/>
  <c r="I29" i="1" l="1"/>
  <c r="I27" i="1"/>
  <c r="L29" i="1"/>
  <c r="L33" i="1" s="1"/>
  <c r="W68" i="1" s="1"/>
  <c r="L27" i="1"/>
  <c r="U83" i="1"/>
  <c r="V77" i="1"/>
  <c r="X82" i="1"/>
  <c r="Q68" i="1"/>
  <c r="C39" i="1"/>
  <c r="J39" i="1"/>
  <c r="U68" i="1"/>
  <c r="H39" i="1"/>
  <c r="H34" i="1"/>
  <c r="S68" i="1"/>
  <c r="L34" i="1"/>
  <c r="D15" i="1"/>
  <c r="D29" i="1"/>
  <c r="D27" i="1"/>
  <c r="S83" i="1"/>
  <c r="L39" i="1"/>
  <c r="K35" i="1"/>
  <c r="K33" i="1"/>
  <c r="K36" i="1"/>
  <c r="J35" i="1"/>
  <c r="I33" i="1"/>
  <c r="I35" i="1"/>
  <c r="I36" i="1"/>
  <c r="L35" i="1"/>
  <c r="L36" i="1" l="1"/>
  <c r="D33" i="1"/>
  <c r="J36" i="1"/>
  <c r="I34" i="1"/>
  <c r="I39" i="1"/>
  <c r="T68" i="1"/>
  <c r="K39" i="1"/>
  <c r="K34" i="1"/>
  <c r="V68" i="1"/>
  <c r="D34" i="1" l="1"/>
  <c r="D39" i="1"/>
  <c r="K41" i="1"/>
  <c r="K40" i="1"/>
  <c r="L40" i="1"/>
  <c r="I40" i="1"/>
  <c r="I41" i="1"/>
  <c r="J40" i="1"/>
  <c r="L41" i="1"/>
  <c r="D40" i="1" l="1"/>
  <c r="J41" i="1"/>
  <c r="H40" i="1"/>
  <c r="D35" i="1"/>
  <c r="H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SHAH</author>
    <author>Admin</author>
  </authors>
  <commentList>
    <comment ref="C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Includes excise duty on sale of goods INR 39.9 Mn</t>
        </r>
      </text>
    </comment>
    <comment ref="D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Includes excise duty on sale of goods INR 14.4 Mn</t>
        </r>
      </text>
    </comment>
    <comment ref="H19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Includes other borrowing cost of Rs. 2.6 MN (includes loan processing charges, guarantee charges, loan facilitation charges and other ancillary cost) </t>
        </r>
      </text>
    </comment>
    <comment ref="D2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''Exceptional Items' of INR 369 lakhs represents net profit on sale of leasehold
rights on land and other assets.</t>
        </r>
      </text>
    </comment>
    <comment ref="H2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In March 2019, the Company has divested its equity in its subsidiary M/s Benani Foods Pvt Ltd which resulted in exceptional loss of INR 358 lakhs.</t>
        </r>
      </text>
    </comment>
  </commentList>
</comments>
</file>

<file path=xl/sharedStrings.xml><?xml version="1.0" encoding="utf-8"?>
<sst xmlns="http://schemas.openxmlformats.org/spreadsheetml/2006/main" count="246" uniqueCount="164">
  <si>
    <t>March Year Ended (INR Mn)</t>
  </si>
  <si>
    <t>FY19</t>
  </si>
  <si>
    <t>FY20</t>
  </si>
  <si>
    <t>Share Capital</t>
  </si>
  <si>
    <t>Reserves &amp; Surplus</t>
  </si>
  <si>
    <t>Networth/Shareholders' Fund/ Book Value</t>
  </si>
  <si>
    <t>Long Term Debt</t>
  </si>
  <si>
    <t>Short Term Debt</t>
  </si>
  <si>
    <t>Gross Block</t>
  </si>
  <si>
    <t>NON-CURRENT ASSETS</t>
  </si>
  <si>
    <t>Property, Plant and Equipment</t>
  </si>
  <si>
    <t>Capital work-in-progress</t>
  </si>
  <si>
    <t>Financial assets</t>
  </si>
  <si>
    <t>CURRENT ASSETS, LOANS &amp; ADVANCES</t>
  </si>
  <si>
    <t>Inventories</t>
  </si>
  <si>
    <t>Trade Receivable</t>
  </si>
  <si>
    <t>Investments</t>
  </si>
  <si>
    <t>Cash and cash equivalents</t>
  </si>
  <si>
    <t>Other Current Assets</t>
  </si>
  <si>
    <t>CURRENT LIABILITIES &amp; PROVISIONS</t>
  </si>
  <si>
    <t>Trade Payables</t>
  </si>
  <si>
    <t>Current Tax Liabilities (Net)</t>
  </si>
  <si>
    <t>NET CURRENT ASSETS</t>
  </si>
  <si>
    <t>TOTAL ASSETS</t>
  </si>
  <si>
    <t>TOTAL LIABILITIES</t>
  </si>
  <si>
    <t>Provisions</t>
  </si>
  <si>
    <t>Other Financial Liabilities</t>
  </si>
  <si>
    <t>Other Current Liabilities</t>
  </si>
  <si>
    <t>Check I</t>
  </si>
  <si>
    <t>FY18</t>
  </si>
  <si>
    <t>FY17</t>
  </si>
  <si>
    <t>Income</t>
  </si>
  <si>
    <t>Growth (%)</t>
  </si>
  <si>
    <t>CAGR (%) - 3 Years</t>
  </si>
  <si>
    <t>Expenditure</t>
  </si>
  <si>
    <t>Cost of Materials Consumed</t>
  </si>
  <si>
    <t>Employee Benefit Expense</t>
  </si>
  <si>
    <t>Other Expenses</t>
  </si>
  <si>
    <t>EBITDA</t>
  </si>
  <si>
    <t>EBITDA margin (%)</t>
  </si>
  <si>
    <t>Other Income</t>
  </si>
  <si>
    <t>Depreciation</t>
  </si>
  <si>
    <t>PBT</t>
  </si>
  <si>
    <t>Tax</t>
  </si>
  <si>
    <t>Effective tax rate (%)</t>
  </si>
  <si>
    <t>PAT margin (%)</t>
  </si>
  <si>
    <t>Other Comprehensive Income</t>
  </si>
  <si>
    <t>EPS</t>
  </si>
  <si>
    <t>FY21</t>
  </si>
  <si>
    <t>Changes in Inventories of FG, SIT and WIP</t>
  </si>
  <si>
    <t>Finance Cost</t>
  </si>
  <si>
    <t>Total  Comprehensive Income</t>
  </si>
  <si>
    <t>Basic</t>
  </si>
  <si>
    <t>Diluted</t>
  </si>
  <si>
    <t>CASH FLOW STATEMENT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</si>
  <si>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</si>
  <si>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</si>
  <si>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</si>
  <si>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</si>
  <si>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Net Inc./(Dec.) in Cash and Cash Equivalent</t>
  </si>
  <si>
    <t>Cash and Cash Equivalents at End of the year</t>
  </si>
  <si>
    <t>Our Calculations</t>
  </si>
  <si>
    <t xml:space="preserve">Operating Cash Inflow </t>
  </si>
  <si>
    <t>Capital Expenditure</t>
  </si>
  <si>
    <t>FCF</t>
  </si>
  <si>
    <t>No. of Shares</t>
  </si>
  <si>
    <t>Total Debt</t>
  </si>
  <si>
    <t>Market Cap (INR Mn)</t>
  </si>
  <si>
    <t>Enterprise Value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</si>
  <si>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</si>
  <si>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</si>
  <si>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</si>
  <si>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</si>
  <si>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</si>
  <si>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</si>
  <si>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</si>
  <si>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</si>
  <si>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</si>
  <si>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</si>
  <si>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</si>
  <si>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</si>
  <si>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</si>
  <si>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</si>
  <si>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Cash Conversion cycle</t>
  </si>
  <si>
    <t>Working Capital Days</t>
  </si>
  <si>
    <t>Interest Cost</t>
  </si>
  <si>
    <t>Interest Coverage</t>
  </si>
  <si>
    <t>Fixed Asset Tunover</t>
  </si>
  <si>
    <t>PAT from Continuing Operations</t>
  </si>
  <si>
    <t>PBT from Discontinuing Operations</t>
  </si>
  <si>
    <t>PAT from Discontinuing Operations</t>
  </si>
  <si>
    <t>Net Profit for the Year</t>
  </si>
  <si>
    <t>PROPERTY, PLANT &amp; EQUIPMENT HELD FOR SALE</t>
  </si>
  <si>
    <t>Income Statement</t>
  </si>
  <si>
    <t>Kriti</t>
  </si>
  <si>
    <t>Prince</t>
  </si>
  <si>
    <t>Apollo</t>
  </si>
  <si>
    <t>Finolex</t>
  </si>
  <si>
    <t>Astral</t>
  </si>
  <si>
    <t>Supreme</t>
  </si>
  <si>
    <t>Market Cap</t>
  </si>
  <si>
    <t>Interest Coverage Ratio</t>
  </si>
  <si>
    <t>No. of Shares (in Mn)</t>
  </si>
  <si>
    <t>Face Value per share (INR)</t>
  </si>
  <si>
    <t>Interest Cost (%)</t>
  </si>
  <si>
    <t>Net Debt/Equity</t>
  </si>
  <si>
    <t>Gross Debt/Equity</t>
  </si>
  <si>
    <t>Cash Conversion Cycle</t>
  </si>
  <si>
    <t>Payable days</t>
  </si>
  <si>
    <t>Receivable days</t>
  </si>
  <si>
    <t>Fixed Asset Turnover</t>
  </si>
  <si>
    <t>ROCE</t>
  </si>
  <si>
    <t>ROE</t>
  </si>
  <si>
    <t>Book Value per Share</t>
  </si>
  <si>
    <t>Book Value</t>
  </si>
  <si>
    <t>OPERATIONAL RATIOS COMPARISION</t>
  </si>
  <si>
    <t>EV/ EBITDA</t>
  </si>
  <si>
    <t>Price:Book Value</t>
  </si>
  <si>
    <t>Stock P:E</t>
  </si>
  <si>
    <t>CFO</t>
  </si>
  <si>
    <t>Cash Flow</t>
  </si>
  <si>
    <t>Short Term</t>
  </si>
  <si>
    <t>Long Term</t>
  </si>
  <si>
    <t>Total Networth</t>
  </si>
  <si>
    <t>Balance Sheet Comparision</t>
  </si>
  <si>
    <t>PAT Margin (%)</t>
  </si>
  <si>
    <t>3 Years CAGR (%)</t>
  </si>
  <si>
    <t>PAT</t>
  </si>
  <si>
    <t>EBITDA Margin (%)</t>
  </si>
  <si>
    <t>Operating Revenue</t>
  </si>
  <si>
    <t>P&amp;L Comparision</t>
  </si>
  <si>
    <t>INR Mn</t>
  </si>
  <si>
    <t>Peer Comparison Analysis - KRITI INDUSTRIES (INDIA) LIMITED</t>
  </si>
  <si>
    <t>FY21 Consol</t>
  </si>
  <si>
    <t>CMP (As on 31.03.2021)</t>
  </si>
  <si>
    <t>FY22</t>
  </si>
  <si>
    <t>Purchases of Stock in trade</t>
  </si>
  <si>
    <t>Right to use assets</t>
  </si>
  <si>
    <t>Intangible Assets</t>
  </si>
  <si>
    <t>NON-CURRENT LIABILITIES</t>
  </si>
  <si>
    <t>Exceptional Item (Loss)/Gain</t>
  </si>
  <si>
    <t>Deferred Tax Liabilities (Net)</t>
  </si>
  <si>
    <t>Capital Employed</t>
  </si>
  <si>
    <t>Consolidated Income Statement</t>
  </si>
  <si>
    <t>Consolidated Balance Sheet</t>
  </si>
  <si>
    <t>CMP(Rs) (As per Stock Price at BSE)</t>
  </si>
  <si>
    <t>Minority Interest / Non Controlling Interest</t>
  </si>
  <si>
    <t xml:space="preserve">Total Loans </t>
  </si>
  <si>
    <t>Cash &amp; cash equivalent and other bank balance</t>
  </si>
  <si>
    <t>FY23</t>
  </si>
  <si>
    <t>H1-FY24</t>
  </si>
  <si>
    <t>NA</t>
  </si>
  <si>
    <t>Bank Balance Other than Cash</t>
  </si>
  <si>
    <t>Current Tax Assets (Net)</t>
  </si>
  <si>
    <t>PBT and Extra Ordinary Items</t>
  </si>
  <si>
    <t>Extraordinary Items</t>
  </si>
  <si>
    <t>Other non current financial assets</t>
  </si>
  <si>
    <t>Lease Liability</t>
  </si>
  <si>
    <t>Financial Liablility</t>
  </si>
  <si>
    <t xml:space="preserve">RIR </t>
  </si>
  <si>
    <t>-</t>
  </si>
  <si>
    <t>9M-FY24</t>
  </si>
  <si>
    <t>9m</t>
  </si>
  <si>
    <t>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</si>
</sst>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 * #,##0_ ;_ * \-#,##0_ ;_ * &quot;-&quot;??_ ;_ @_ "/>
    <numFmt numFmtId="167" formatCode="_(* #,##0.0_);_(* \(#,##0.0\);_(* &quot;-&quot;??_);_(@_)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7">
    <xf numFmtId="0" fontId="0" fillId="0" borderId="0" xfId="0"/>
    <xf numFmtId="43" fontId="0" fillId="0" borderId="0" xfId="1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6" borderId="0" xfId="0" applyFill="1"/>
    <xf numFmtId="0" fontId="0" fillId="3" borderId="0" xfId="0" applyFill="1" applyAlignment="1">
      <alignment horizontal="center"/>
    </xf>
    <xf numFmtId="0" fontId="0" fillId="7" borderId="0" xfId="0" applyFill="1"/>
    <xf numFmtId="43" fontId="0" fillId="7" borderId="0" xfId="1" applyFont="1" applyFill="1"/>
    <xf numFmtId="165" fontId="0" fillId="7" borderId="0" xfId="2" applyNumberFormat="1" applyFont="1" applyFill="1"/>
    <xf numFmtId="10" fontId="0" fillId="7" borderId="0" xfId="2" applyNumberFormat="1" applyFont="1" applyFill="1"/>
    <xf numFmtId="0" fontId="0" fillId="9" borderId="0" xfId="0" applyFill="1" applyAlignment="1">
      <alignment vertical="top"/>
    </xf>
    <xf numFmtId="0" fontId="5" fillId="9" borderId="0" xfId="0" applyFont="1" applyFill="1" applyAlignment="1">
      <alignment vertical="top"/>
    </xf>
    <xf numFmtId="165" fontId="0" fillId="9" borderId="1" xfId="2" applyNumberFormat="1" applyFont="1" applyFill="1" applyBorder="1" applyAlignment="1">
      <alignment vertical="top"/>
    </xf>
    <xf numFmtId="0" fontId="0" fillId="9" borderId="1" xfId="0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167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vertical="top"/>
    </xf>
    <xf numFmtId="168" fontId="0" fillId="8" borderId="1" xfId="0" applyNumberFormat="1" applyFill="1" applyBorder="1" applyAlignment="1">
      <alignment vertical="top"/>
    </xf>
    <xf numFmtId="0" fontId="2" fillId="9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5" fillId="9" borderId="1" xfId="0" applyFont="1" applyFill="1" applyBorder="1" applyAlignment="1">
      <alignment vertical="top"/>
    </xf>
    <xf numFmtId="165" fontId="0" fillId="9" borderId="1" xfId="0" applyNumberFormat="1" applyFill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2" fillId="9" borderId="0" xfId="0" applyFont="1" applyFill="1" applyAlignment="1">
      <alignment vertical="top"/>
    </xf>
    <xf numFmtId="43" fontId="2" fillId="9" borderId="1" xfId="3" applyFont="1" applyFill="1" applyBorder="1" applyAlignment="1">
      <alignment vertical="top"/>
    </xf>
    <xf numFmtId="43" fontId="2" fillId="0" borderId="1" xfId="3" applyFont="1" applyFill="1" applyBorder="1" applyAlignment="1">
      <alignment vertical="top"/>
    </xf>
    <xf numFmtId="166" fontId="0" fillId="0" borderId="1" xfId="3" applyNumberFormat="1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164" fontId="1" fillId="0" borderId="1" xfId="5" applyFont="1" applyFill="1" applyBorder="1" applyAlignment="1">
      <alignment vertical="top"/>
    </xf>
    <xf numFmtId="0" fontId="0" fillId="8" borderId="1" xfId="0" applyFill="1" applyBorder="1" applyAlignment="1">
      <alignment vertical="top"/>
    </xf>
    <xf numFmtId="164" fontId="0" fillId="0" borderId="1" xfId="5" applyFont="1" applyFill="1" applyBorder="1" applyAlignment="1">
      <alignment vertical="top"/>
    </xf>
    <xf numFmtId="0" fontId="0" fillId="9" borderId="1" xfId="0" applyFill="1" applyBorder="1" applyAlignment="1">
      <alignment horizontal="right" vertical="top"/>
    </xf>
    <xf numFmtId="164" fontId="2" fillId="0" borderId="1" xfId="0" applyNumberFormat="1" applyFont="1" applyBorder="1" applyAlignment="1">
      <alignment vertical="top"/>
    </xf>
    <xf numFmtId="10" fontId="2" fillId="9" borderId="1" xfId="2" applyNumberFormat="1" applyFont="1" applyFill="1" applyBorder="1" applyAlignment="1">
      <alignment vertical="top"/>
    </xf>
    <xf numFmtId="10" fontId="2" fillId="0" borderId="1" xfId="2" applyNumberFormat="1" applyFont="1" applyFill="1" applyBorder="1" applyAlignment="1">
      <alignment vertical="top"/>
    </xf>
    <xf numFmtId="165" fontId="5" fillId="9" borderId="1" xfId="2" applyNumberFormat="1" applyFont="1" applyFill="1" applyBorder="1" applyAlignment="1">
      <alignment vertical="top"/>
    </xf>
    <xf numFmtId="165" fontId="5" fillId="0" borderId="1" xfId="2" applyNumberFormat="1" applyFont="1" applyFill="1" applyBorder="1" applyAlignment="1">
      <alignment vertical="top"/>
    </xf>
    <xf numFmtId="164" fontId="2" fillId="9" borderId="1" xfId="0" applyNumberFormat="1" applyFont="1" applyFill="1" applyBorder="1" applyAlignment="1">
      <alignment vertical="top"/>
    </xf>
    <xf numFmtId="164" fontId="2" fillId="9" borderId="1" xfId="3" applyNumberFormat="1" applyFont="1" applyFill="1" applyBorder="1" applyAlignment="1">
      <alignment vertical="top"/>
    </xf>
    <xf numFmtId="164" fontId="2" fillId="0" borderId="1" xfId="3" applyNumberFormat="1" applyFont="1" applyFill="1" applyBorder="1" applyAlignment="1">
      <alignment vertical="top"/>
    </xf>
    <xf numFmtId="164" fontId="0" fillId="9" borderId="1" xfId="3" applyNumberFormat="1" applyFont="1" applyFill="1" applyBorder="1" applyAlignment="1">
      <alignment vertical="top"/>
    </xf>
    <xf numFmtId="164" fontId="0" fillId="0" borderId="1" xfId="3" applyNumberFormat="1" applyFont="1" applyFill="1" applyBorder="1" applyAlignment="1">
      <alignment vertical="top"/>
    </xf>
    <xf numFmtId="0" fontId="11" fillId="9" borderId="1" xfId="0" applyFont="1" applyFill="1" applyBorder="1" applyAlignment="1">
      <alignment horizontal="center" vertical="top"/>
    </xf>
    <xf numFmtId="0" fontId="12" fillId="9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12" fillId="10" borderId="1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top"/>
    </xf>
    <xf numFmtId="0" fontId="2" fillId="11" borderId="1" xfId="0" applyFont="1" applyFill="1" applyBorder="1" applyAlignment="1">
      <alignment horizontal="center" vertical="top" wrapText="1"/>
    </xf>
    <xf numFmtId="0" fontId="0" fillId="13" borderId="0" xfId="0" applyFill="1"/>
    <xf numFmtId="0" fontId="0" fillId="13" borderId="0" xfId="0" applyFill="1" applyAlignment="1">
      <alignment horizontal="center"/>
    </xf>
    <xf numFmtId="165" fontId="6" fillId="13" borderId="0" xfId="2" applyNumberFormat="1" applyFont="1" applyFill="1" applyBorder="1"/>
    <xf numFmtId="43" fontId="0" fillId="13" borderId="0" xfId="1" applyFont="1" applyFill="1"/>
    <xf numFmtId="43" fontId="1" fillId="13" borderId="0" xfId="1" applyFont="1" applyFill="1" applyBorder="1"/>
    <xf numFmtId="43" fontId="0" fillId="13" borderId="0" xfId="1" applyFont="1" applyFill="1" applyBorder="1" applyAlignment="1">
      <alignment horizontal="center"/>
    </xf>
    <xf numFmtId="43" fontId="2" fillId="13" borderId="0" xfId="1" applyFont="1" applyFill="1"/>
    <xf numFmtId="10" fontId="6" fillId="13" borderId="0" xfId="2" applyNumberFormat="1" applyFont="1" applyFill="1"/>
    <xf numFmtId="43" fontId="2" fillId="13" borderId="0" xfId="1" applyFont="1" applyFill="1" applyBorder="1"/>
    <xf numFmtId="43" fontId="0" fillId="13" borderId="0" xfId="1" applyFont="1" applyFill="1" applyBorder="1"/>
    <xf numFmtId="165" fontId="6" fillId="13" borderId="0" xfId="2" applyNumberFormat="1" applyFont="1" applyFill="1"/>
    <xf numFmtId="43" fontId="2" fillId="13" borderId="0" xfId="1" applyFont="1" applyFill="1" applyBorder="1" applyAlignment="1">
      <alignment horizontal="center"/>
    </xf>
    <xf numFmtId="0" fontId="0" fillId="9" borderId="0" xfId="0" applyFill="1"/>
    <xf numFmtId="0" fontId="10" fillId="9" borderId="0" xfId="0" applyFont="1" applyFill="1"/>
    <xf numFmtId="43" fontId="0" fillId="9" borderId="0" xfId="0" applyNumberFormat="1" applyFill="1"/>
    <xf numFmtId="43" fontId="0" fillId="9" borderId="0" xfId="1" applyFont="1" applyFill="1"/>
    <xf numFmtId="164" fontId="0" fillId="9" borderId="0" xfId="0" applyNumberFormat="1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166" fontId="0" fillId="0" borderId="1" xfId="1" applyNumberFormat="1" applyFont="1" applyBorder="1"/>
    <xf numFmtId="0" fontId="2" fillId="5" borderId="1" xfId="0" applyFont="1" applyFill="1" applyBorder="1"/>
    <xf numFmtId="43" fontId="2" fillId="5" borderId="1" xfId="1" applyFont="1" applyFill="1" applyBorder="1"/>
    <xf numFmtId="166" fontId="2" fillId="5" borderId="1" xfId="1" applyNumberFormat="1" applyFont="1" applyFill="1" applyBorder="1"/>
    <xf numFmtId="0" fontId="2" fillId="0" borderId="1" xfId="0" applyFont="1" applyBorder="1"/>
    <xf numFmtId="43" fontId="2" fillId="0" borderId="1" xfId="1" applyFont="1" applyBorder="1"/>
    <xf numFmtId="166" fontId="2" fillId="0" borderId="1" xfId="1" applyNumberFormat="1" applyFont="1" applyBorder="1"/>
    <xf numFmtId="0" fontId="4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left" indent="1"/>
    </xf>
    <xf numFmtId="166" fontId="0" fillId="0" borderId="1" xfId="1" applyNumberFormat="1" applyFont="1" applyFill="1" applyBorder="1"/>
    <xf numFmtId="0" fontId="2" fillId="5" borderId="1" xfId="0" applyFont="1" applyFill="1" applyBorder="1" applyAlignment="1">
      <alignment horizontal="left"/>
    </xf>
    <xf numFmtId="166" fontId="0" fillId="0" borderId="1" xfId="0" applyNumberFormat="1" applyBorder="1"/>
    <xf numFmtId="0" fontId="6" fillId="7" borderId="1" xfId="0" applyFont="1" applyFill="1" applyBorder="1"/>
    <xf numFmtId="165" fontId="6" fillId="7" borderId="1" xfId="2" applyNumberFormat="1" applyFont="1" applyFill="1" applyBorder="1"/>
    <xf numFmtId="43" fontId="6" fillId="7" borderId="1" xfId="1" applyFont="1" applyFill="1" applyBorder="1"/>
    <xf numFmtId="165" fontId="6" fillId="7" borderId="1" xfId="1" applyNumberFormat="1" applyFont="1" applyFill="1" applyBorder="1"/>
    <xf numFmtId="43" fontId="1" fillId="0" borderId="1" xfId="1" applyFont="1" applyBorder="1"/>
    <xf numFmtId="166" fontId="1" fillId="0" borderId="1" xfId="1" applyNumberFormat="1" applyFont="1" applyBorder="1"/>
    <xf numFmtId="43" fontId="7" fillId="7" borderId="1" xfId="1" applyFont="1" applyFill="1" applyBorder="1"/>
    <xf numFmtId="165" fontId="7" fillId="7" borderId="1" xfId="1" applyNumberFormat="1" applyFont="1" applyFill="1" applyBorder="1"/>
    <xf numFmtId="0" fontId="2" fillId="7" borderId="1" xfId="0" applyFont="1" applyFill="1" applyBorder="1"/>
    <xf numFmtId="43" fontId="2" fillId="7" borderId="1" xfId="1" applyFont="1" applyFill="1" applyBorder="1"/>
    <xf numFmtId="166" fontId="2" fillId="7" borderId="1" xfId="1" applyNumberFormat="1" applyFont="1" applyFill="1" applyBorder="1"/>
    <xf numFmtId="43" fontId="2" fillId="7" borderId="1" xfId="1" applyFont="1" applyFill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6" fillId="0" borderId="1" xfId="0" applyFont="1" applyBorder="1"/>
    <xf numFmtId="43" fontId="6" fillId="0" borderId="1" xfId="1" applyFont="1" applyFill="1" applyBorder="1"/>
    <xf numFmtId="165" fontId="6" fillId="0" borderId="1" xfId="2" applyNumberFormat="1" applyFont="1" applyFill="1" applyBorder="1"/>
    <xf numFmtId="0" fontId="0" fillId="6" borderId="1" xfId="0" applyFill="1" applyBorder="1"/>
    <xf numFmtId="43" fontId="0" fillId="4" borderId="1" xfId="1" applyFont="1" applyFill="1" applyBorder="1"/>
    <xf numFmtId="0" fontId="9" fillId="7" borderId="1" xfId="0" applyFont="1" applyFill="1" applyBorder="1"/>
    <xf numFmtId="166" fontId="9" fillId="7" borderId="1" xfId="1" applyNumberFormat="1" applyFont="1" applyFill="1" applyBorder="1"/>
    <xf numFmtId="0" fontId="0" fillId="7" borderId="1" xfId="0" applyFill="1" applyBorder="1"/>
    <xf numFmtId="166" fontId="0" fillId="7" borderId="1" xfId="1" applyNumberFormat="1" applyFont="1" applyFill="1" applyBorder="1"/>
    <xf numFmtId="43" fontId="0" fillId="7" borderId="1" xfId="1" applyFont="1" applyFill="1" applyBorder="1"/>
    <xf numFmtId="10" fontId="6" fillId="7" borderId="1" xfId="2" applyNumberFormat="1" applyFont="1" applyFill="1" applyBorder="1"/>
    <xf numFmtId="9" fontId="0" fillId="3" borderId="1" xfId="2" applyFont="1" applyFill="1" applyBorder="1" applyAlignment="1">
      <alignment horizontal="center"/>
    </xf>
    <xf numFmtId="9" fontId="0" fillId="0" borderId="1" xfId="2" applyFont="1" applyBorder="1"/>
    <xf numFmtId="0" fontId="0" fillId="0" borderId="5" xfId="0" applyBorder="1"/>
    <xf numFmtId="9" fontId="6" fillId="7" borderId="1" xfId="2" applyFont="1" applyFill="1" applyBorder="1"/>
    <xf numFmtId="0" fontId="12" fillId="0" borderId="0" xfId="0" applyFont="1" applyAlignment="1">
      <alignment horizontal="center"/>
    </xf>
    <xf numFmtId="0" fontId="0" fillId="3" borderId="8" xfId="0" applyFill="1" applyBorder="1" applyAlignment="1">
      <alignment horizontal="center"/>
    </xf>
    <xf numFmtId="166" fontId="0" fillId="0" borderId="8" xfId="1" applyNumberFormat="1" applyFont="1" applyBorder="1"/>
    <xf numFmtId="9" fontId="6" fillId="7" borderId="8" xfId="2" applyFont="1" applyFill="1" applyBorder="1"/>
    <xf numFmtId="165" fontId="6" fillId="7" borderId="8" xfId="2" applyNumberFormat="1" applyFont="1" applyFill="1" applyBorder="1"/>
    <xf numFmtId="43" fontId="2" fillId="7" borderId="8" xfId="1" applyFont="1" applyFill="1" applyBorder="1" applyAlignment="1">
      <alignment horizontal="center"/>
    </xf>
    <xf numFmtId="43" fontId="0" fillId="0" borderId="8" xfId="1" applyFont="1" applyBorder="1" applyAlignment="1">
      <alignment horizontal="center"/>
    </xf>
    <xf numFmtId="165" fontId="6" fillId="0" borderId="8" xfId="2" applyNumberFormat="1" applyFont="1" applyFill="1" applyBorder="1"/>
    <xf numFmtId="0" fontId="0" fillId="0" borderId="8" xfId="0" applyBorder="1"/>
    <xf numFmtId="9" fontId="0" fillId="0" borderId="8" xfId="2" applyFont="1" applyBorder="1"/>
    <xf numFmtId="0" fontId="0" fillId="9" borderId="1" xfId="0" applyFill="1" applyBorder="1"/>
    <xf numFmtId="166" fontId="0" fillId="9" borderId="0" xfId="0" applyNumberFormat="1" applyFill="1"/>
    <xf numFmtId="3" fontId="0" fillId="0" borderId="0" xfId="0" applyNumberFormat="1"/>
    <xf numFmtId="3" fontId="0" fillId="9" borderId="0" xfId="0" applyNumberFormat="1" applyFill="1"/>
    <xf numFmtId="4" fontId="0" fillId="9" borderId="0" xfId="0" applyNumberFormat="1" applyFill="1"/>
    <xf numFmtId="43" fontId="1" fillId="7" borderId="1" xfId="1" applyFont="1" applyFill="1" applyBorder="1"/>
    <xf numFmtId="166" fontId="1" fillId="7" borderId="1" xfId="1" applyNumberFormat="1" applyFont="1" applyFill="1" applyBorder="1"/>
    <xf numFmtId="166" fontId="1" fillId="7" borderId="8" xfId="1" applyNumberFormat="1" applyFont="1" applyFill="1" applyBorder="1"/>
    <xf numFmtId="43" fontId="14" fillId="7" borderId="0" xfId="1" applyFont="1" applyFill="1"/>
    <xf numFmtId="43" fontId="14" fillId="7" borderId="0" xfId="1" applyFont="1" applyFill="1" applyAlignment="1">
      <alignment horizontal="right"/>
    </xf>
    <xf numFmtId="166" fontId="2" fillId="0" borderId="1" xfId="1" applyNumberFormat="1" applyFont="1" applyFill="1" applyBorder="1"/>
    <xf numFmtId="165" fontId="14" fillId="7" borderId="0" xfId="2" applyNumberFormat="1" applyFont="1" applyFill="1"/>
    <xf numFmtId="10" fontId="14" fillId="7" borderId="0" xfId="2" applyNumberFormat="1" applyFont="1" applyFill="1"/>
    <xf numFmtId="9" fontId="14" fillId="7" borderId="0" xfId="2" applyFont="1" applyFill="1"/>
    <xf numFmtId="43" fontId="14" fillId="9" borderId="0" xfId="1" applyFont="1" applyFill="1" applyAlignment="1">
      <alignment horizontal="right"/>
    </xf>
    <xf numFmtId="165" fontId="6" fillId="9" borderId="1" xfId="2" applyNumberFormat="1" applyFont="1" applyFill="1" applyBorder="1"/>
    <xf numFmtId="165" fontId="6" fillId="9" borderId="8" xfId="2" applyNumberFormat="1" applyFont="1" applyFill="1" applyBorder="1"/>
    <xf numFmtId="166" fontId="2" fillId="9" borderId="1" xfId="1" applyNumberFormat="1" applyFont="1" applyFill="1" applyBorder="1"/>
    <xf numFmtId="166" fontId="2" fillId="9" borderId="8" xfId="1" applyNumberFormat="1" applyFont="1" applyFill="1" applyBorder="1"/>
    <xf numFmtId="166" fontId="2" fillId="7" borderId="8" xfId="1" applyNumberFormat="1" applyFont="1" applyFill="1" applyBorder="1"/>
    <xf numFmtId="166" fontId="0" fillId="9" borderId="1" xfId="1" applyNumberFormat="1" applyFont="1" applyFill="1" applyBorder="1"/>
    <xf numFmtId="166" fontId="0" fillId="9" borderId="8" xfId="1" applyNumberFormat="1" applyFont="1" applyFill="1" applyBorder="1"/>
    <xf numFmtId="10" fontId="6" fillId="9" borderId="1" xfId="2" applyNumberFormat="1" applyFont="1" applyFill="1" applyBorder="1"/>
    <xf numFmtId="43" fontId="0" fillId="9" borderId="1" xfId="1" applyFont="1" applyFill="1" applyBorder="1"/>
    <xf numFmtId="43" fontId="0" fillId="9" borderId="1" xfId="1" applyFont="1" applyFill="1" applyBorder="1" applyAlignment="1">
      <alignment horizontal="right"/>
    </xf>
    <xf numFmtId="43" fontId="0" fillId="9" borderId="8" xfId="1" applyFont="1" applyFill="1" applyBorder="1"/>
    <xf numFmtId="166" fontId="9" fillId="9" borderId="1" xfId="1" applyNumberFormat="1" applyFont="1" applyFill="1" applyBorder="1"/>
    <xf numFmtId="166" fontId="9" fillId="9" borderId="8" xfId="1" applyNumberFormat="1" applyFont="1" applyFill="1" applyBorder="1"/>
    <xf numFmtId="0" fontId="8" fillId="12" borderId="2" xfId="0" applyFont="1" applyFill="1" applyBorder="1" applyAlignment="1">
      <alignment horizontal="center" vertical="top"/>
    </xf>
    <xf numFmtId="0" fontId="8" fillId="12" borderId="3" xfId="0" applyFont="1" applyFill="1" applyBorder="1" applyAlignment="1">
      <alignment horizontal="center" vertical="top"/>
    </xf>
    <xf numFmtId="0" fontId="8" fillId="12" borderId="4" xfId="0" applyFont="1" applyFill="1" applyBorder="1" applyAlignment="1">
      <alignment horizontal="center" vertical="top"/>
    </xf>
    <xf numFmtId="0" fontId="12" fillId="10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0" fontId="6" fillId="9" borderId="8" xfId="2" applyNumberFormat="1" applyFont="1" applyFill="1" applyBorder="1"/>
  </cellXfs>
  <cellStyles count="6">
    <cellStyle name="Comma" xfId="1" builtinId="3"/>
    <cellStyle name="Comma 2" xfId="3" xr:uid="{00000000-0005-0000-0000-000001000000}"/>
    <cellStyle name="Comma 2 2" xfId="4" xr:uid="{00000000-0005-0000-0000-000002000000}"/>
    <cellStyle name="Comma 3" xfId="5" xr:uid="{00000000-0005-0000-0000-000003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Summary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"/>
      <sheetName val="Standalone"/>
      <sheetName val="Peer Analysis working "/>
      <sheetName val="Peer Analysis Final "/>
      <sheetName val="Sheet1"/>
      <sheetName val="Peer Analysis working"/>
      <sheetName val="Peer Analysis Final"/>
    </sheetNames>
    <sheetDataSet>
      <sheetData sheetId="0"/>
      <sheetData sheetId="1"/>
      <sheetData sheetId="2">
        <row r="5">
          <cell r="C5">
            <v>4922.2</v>
          </cell>
          <cell r="D5">
            <v>6728.6</v>
          </cell>
          <cell r="E5">
            <v>5689.2</v>
          </cell>
          <cell r="F5">
            <v>44274</v>
          </cell>
          <cell r="I5">
            <v>680.69399999999996</v>
          </cell>
          <cell r="J5">
            <v>4754.6000000000004</v>
          </cell>
          <cell r="K5">
            <v>3151.3</v>
          </cell>
          <cell r="L5">
            <v>6058.3</v>
          </cell>
          <cell r="M5">
            <v>25609</v>
          </cell>
        </row>
        <row r="6">
          <cell r="I6">
            <v>0</v>
          </cell>
          <cell r="J6">
            <v>0</v>
          </cell>
          <cell r="K6">
            <v>389.3</v>
          </cell>
          <cell r="L6">
            <v>66.7</v>
          </cell>
          <cell r="M6">
            <v>859</v>
          </cell>
        </row>
        <row r="7">
          <cell r="B7">
            <v>6.6957261377430521E-2</v>
          </cell>
          <cell r="C7">
            <v>1.7483450932637146E-2</v>
          </cell>
          <cell r="D7">
            <v>0.11395326030791875</v>
          </cell>
          <cell r="E7">
            <v>8.1957653928725893E-2</v>
          </cell>
          <cell r="F7">
            <v>7.2805272529955722E-2</v>
          </cell>
          <cell r="I7">
            <v>180.61199999999999</v>
          </cell>
          <cell r="J7">
            <v>0</v>
          </cell>
          <cell r="K7">
            <v>832.6</v>
          </cell>
          <cell r="L7">
            <v>862.5</v>
          </cell>
          <cell r="M7">
            <v>2879</v>
          </cell>
        </row>
        <row r="12">
          <cell r="B12">
            <v>233.76000000000022</v>
          </cell>
          <cell r="C12">
            <v>874.7</v>
          </cell>
          <cell r="D12">
            <v>933</v>
          </cell>
          <cell r="E12">
            <v>977.9</v>
          </cell>
          <cell r="F12">
            <v>5489</v>
          </cell>
        </row>
        <row r="14">
          <cell r="B14">
            <v>0.27796799337795663</v>
          </cell>
          <cell r="C14">
            <v>0.20517447704828018</v>
          </cell>
          <cell r="D14">
            <v>0.33549630488669613</v>
          </cell>
          <cell r="E14">
            <v>-2.4487478418460316</v>
          </cell>
          <cell r="F14">
            <v>5.7989028682093879E-2</v>
          </cell>
        </row>
        <row r="25">
          <cell r="B25">
            <v>62.377000000000223</v>
          </cell>
          <cell r="C25">
            <v>788.3</v>
          </cell>
          <cell r="D25">
            <v>296</v>
          </cell>
          <cell r="E25">
            <v>99.7</v>
          </cell>
          <cell r="F25">
            <v>3451</v>
          </cell>
        </row>
        <row r="27">
          <cell r="B27">
            <v>0.15020466640116381</v>
          </cell>
          <cell r="C27">
            <v>-2.3617924740187757E-2</v>
          </cell>
          <cell r="D27">
            <v>0.2798301533370493</v>
          </cell>
          <cell r="E27">
            <v>-1.7739968460390942E-2</v>
          </cell>
          <cell r="F27">
            <v>1.3492351397157654E-2</v>
          </cell>
          <cell r="I27">
            <v>16042570</v>
          </cell>
          <cell r="J27">
            <v>15050871</v>
          </cell>
          <cell r="K27">
            <v>37759530</v>
          </cell>
          <cell r="L27">
            <v>30603181</v>
          </cell>
          <cell r="M27">
            <v>109971221</v>
          </cell>
        </row>
        <row r="28">
          <cell r="I28">
            <v>70.587307999999993</v>
          </cell>
          <cell r="J28">
            <v>569.82597606000002</v>
          </cell>
          <cell r="K28">
            <v>104.9714934</v>
          </cell>
          <cell r="L28">
            <v>220.95496682000004</v>
          </cell>
          <cell r="M28">
            <v>2525.489090265</v>
          </cell>
        </row>
        <row r="29">
          <cell r="B29">
            <v>3.76</v>
          </cell>
          <cell r="C29">
            <v>52.21</v>
          </cell>
          <cell r="D29">
            <v>7.83</v>
          </cell>
          <cell r="E29">
            <v>3.26</v>
          </cell>
          <cell r="F29">
            <v>31.37</v>
          </cell>
        </row>
        <row r="31">
          <cell r="I31">
            <v>29.757307999999966</v>
          </cell>
          <cell r="J31">
            <v>387.32597606000002</v>
          </cell>
          <cell r="K31">
            <v>625.27149340000017</v>
          </cell>
          <cell r="L31">
            <v>998.55496682</v>
          </cell>
          <cell r="M31">
            <v>-3254.5109097349996</v>
          </cell>
        </row>
        <row r="32">
          <cell r="J32">
            <v>378.6</v>
          </cell>
          <cell r="K32">
            <v>27.8</v>
          </cell>
          <cell r="L32">
            <v>72.2</v>
          </cell>
          <cell r="M32">
            <v>229.65</v>
          </cell>
        </row>
        <row r="34">
          <cell r="I34">
            <v>424.30483395116869</v>
          </cell>
          <cell r="J34">
            <v>3159.0198334701026</v>
          </cell>
          <cell r="K34">
            <v>834.57076928658807</v>
          </cell>
          <cell r="L34">
            <v>1979.6308102742653</v>
          </cell>
          <cell r="M34">
            <v>2328.7001605629166</v>
          </cell>
        </row>
        <row r="35">
          <cell r="I35">
            <v>11.702127659574469</v>
          </cell>
          <cell r="J35">
            <v>7.2514843899636086</v>
          </cell>
          <cell r="K35">
            <v>3.5504469987228608</v>
          </cell>
          <cell r="L35">
            <v>22.147239263803684</v>
          </cell>
          <cell r="M35">
            <v>7.3206885559451704</v>
          </cell>
        </row>
        <row r="36">
          <cell r="I36">
            <v>0.10369903069514348</v>
          </cell>
          <cell r="J36">
            <v>0.11984730073192279</v>
          </cell>
          <cell r="K36">
            <v>3.3310536413543618E-2</v>
          </cell>
          <cell r="L36">
            <v>3.6471446910849581E-2</v>
          </cell>
          <cell r="M36">
            <v>9.8617247462415569E-2</v>
          </cell>
        </row>
        <row r="37">
          <cell r="I37">
            <v>0.12729854551676908</v>
          </cell>
          <cell r="J37">
            <v>0.44281007895278379</v>
          </cell>
          <cell r="K37">
            <v>0.67017309046087903</v>
          </cell>
          <cell r="L37">
            <v>1.021121757664383</v>
          </cell>
          <cell r="M37">
            <v>-0.59291508648843139</v>
          </cell>
        </row>
        <row r="38">
          <cell r="I38">
            <v>9.1637358343103104E-2</v>
          </cell>
          <cell r="J38">
            <v>0.16579733310898917</v>
          </cell>
          <cell r="K38">
            <v>9.392948941706597E-2</v>
          </cell>
          <cell r="L38">
            <v>1.6456761797864088E-2</v>
          </cell>
          <cell r="M38">
            <v>0.13475731188254128</v>
          </cell>
        </row>
        <row r="39">
          <cell r="I39">
            <v>0.15966919879744115</v>
          </cell>
          <cell r="J39">
            <v>0.23463756949794889</v>
          </cell>
          <cell r="K39">
            <v>0.16266310441067727</v>
          </cell>
          <cell r="L39">
            <v>7.0130917016226549E-2</v>
          </cell>
          <cell r="M39">
            <v>0.12677259525029899</v>
          </cell>
        </row>
        <row r="40">
          <cell r="I40">
            <v>0.19664505085895492</v>
          </cell>
          <cell r="J40">
            <v>0.68930559505911992</v>
          </cell>
          <cell r="K40">
            <v>0.63170644710638169</v>
          </cell>
          <cell r="L40">
            <v>0.8970505519229417</v>
          </cell>
          <cell r="M40">
            <v>0.46451642047251207</v>
          </cell>
        </row>
        <row r="41">
          <cell r="I41">
            <v>0.2653350844873027</v>
          </cell>
          <cell r="J41">
            <v>0</v>
          </cell>
          <cell r="K41">
            <v>0.38774474026592198</v>
          </cell>
          <cell r="L41">
            <v>0.15337635970486771</v>
          </cell>
          <cell r="M41">
            <v>0.14596430942246866</v>
          </cell>
        </row>
        <row r="42">
          <cell r="I42">
            <v>-5.998289980519883E-2</v>
          </cell>
          <cell r="J42">
            <v>-3.8383880873259578E-2</v>
          </cell>
          <cell r="K42">
            <v>0.16510646399898457</v>
          </cell>
          <cell r="L42">
            <v>0.128352838254956</v>
          </cell>
          <cell r="M42">
            <v>-0.22570190167519233</v>
          </cell>
        </row>
        <row r="44">
          <cell r="I44">
            <v>3.4090909090909088E-2</v>
          </cell>
          <cell r="J44">
            <v>0.10565240359218171</v>
          </cell>
          <cell r="K44">
            <v>0</v>
          </cell>
          <cell r="L44">
            <v>0</v>
          </cell>
          <cell r="M44">
            <v>6.531678641410843E-2</v>
          </cell>
        </row>
        <row r="45">
          <cell r="I45">
            <v>66.342013720741051</v>
          </cell>
          <cell r="J45">
            <v>65.062573645930684</v>
          </cell>
          <cell r="K45">
            <v>86.592976250631622</v>
          </cell>
          <cell r="L45">
            <v>107.90185790620825</v>
          </cell>
          <cell r="M45">
            <v>56.711275240547494</v>
          </cell>
        </row>
        <row r="46">
          <cell r="I46">
            <v>6242.8348665021331</v>
          </cell>
          <cell r="J46">
            <v>17.260000000000002</v>
          </cell>
          <cell r="K46">
            <v>29.69</v>
          </cell>
          <cell r="L46">
            <v>50.87</v>
          </cell>
          <cell r="M46">
            <v>51.52</v>
          </cell>
        </row>
        <row r="47">
          <cell r="I47">
            <v>0</v>
          </cell>
          <cell r="J47">
            <v>0</v>
          </cell>
          <cell r="K47">
            <v>10.79</v>
          </cell>
          <cell r="L47">
            <v>0</v>
          </cell>
          <cell r="M47">
            <v>16.899999999999999</v>
          </cell>
        </row>
        <row r="48">
          <cell r="I48">
            <v>-6176.4928527813918</v>
          </cell>
          <cell r="J48">
            <v>47.802573645930678</v>
          </cell>
          <cell r="K48">
            <v>67.692976250631631</v>
          </cell>
          <cell r="L48">
            <v>57.031857906208252</v>
          </cell>
          <cell r="M48">
            <v>22.091275240547482</v>
          </cell>
        </row>
        <row r="49">
          <cell r="I49">
            <v>38.568782865166789</v>
          </cell>
          <cell r="J49">
            <v>104.5124131485921</v>
          </cell>
          <cell r="K49">
            <v>-3.1679695627619462</v>
          </cell>
          <cell r="L49">
            <v>102.35551571398437</v>
          </cell>
          <cell r="M49">
            <v>168.22119076658987</v>
          </cell>
        </row>
        <row r="50">
          <cell r="I50">
            <v>0.19180342391424715</v>
          </cell>
          <cell r="J50">
            <v>0</v>
          </cell>
          <cell r="K50">
            <v>0.24519191423193387</v>
          </cell>
          <cell r="L50">
            <v>0.14496340938441668</v>
          </cell>
          <cell r="M50">
            <v>0.13001605136436598</v>
          </cell>
        </row>
        <row r="51">
          <cell r="I51">
            <v>3.7837018647884131</v>
          </cell>
          <cell r="J51">
            <v>158.70422535211267</v>
          </cell>
          <cell r="K51">
            <v>2.2760347129506009</v>
          </cell>
          <cell r="L51">
            <v>3.4877505567928733</v>
          </cell>
          <cell r="M51">
            <v>10.687242798353909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view="pageBreakPreview" topLeftCell="A34" zoomScaleNormal="100" zoomScaleSheetLayoutView="100" workbookViewId="0">
      <selection activeCell="B6" sqref="B6"/>
    </sheetView>
  </sheetViews>
  <sheetFormatPr defaultColWidth="9.140625" defaultRowHeight="15" x14ac:dyDescent="0.25"/>
  <cols>
    <col min="1" max="1" width="25.42578125" style="10" customWidth="1"/>
    <col min="2" max="3" width="14.7109375" style="10" customWidth="1"/>
    <col min="4" max="5" width="14.7109375" style="11" customWidth="1"/>
    <col min="6" max="7" width="14.7109375" style="10" customWidth="1"/>
    <col min="8" max="16384" width="9.140625" style="10"/>
  </cols>
  <sheetData>
    <row r="1" spans="1:7" s="2" customFormat="1" ht="18.75" x14ac:dyDescent="0.25">
      <c r="A1" s="149" t="s">
        <v>132</v>
      </c>
      <c r="B1" s="150"/>
      <c r="C1" s="150"/>
      <c r="D1" s="150"/>
      <c r="E1" s="150"/>
      <c r="F1" s="151"/>
      <c r="G1" s="47"/>
    </row>
    <row r="2" spans="1:7" s="45" customFormat="1" x14ac:dyDescent="0.25">
      <c r="A2" s="152" t="s">
        <v>131</v>
      </c>
      <c r="B2" s="48" t="s">
        <v>94</v>
      </c>
      <c r="C2" s="48" t="s">
        <v>95</v>
      </c>
      <c r="D2" s="48" t="s">
        <v>96</v>
      </c>
      <c r="E2" s="48" t="s">
        <v>97</v>
      </c>
      <c r="F2" s="48" t="s">
        <v>98</v>
      </c>
      <c r="G2" s="48" t="s">
        <v>99</v>
      </c>
    </row>
    <row r="3" spans="1:7" s="45" customFormat="1" ht="15.75" x14ac:dyDescent="0.25">
      <c r="A3" s="152"/>
      <c r="B3" s="46" t="s">
        <v>133</v>
      </c>
      <c r="C3" s="46" t="s">
        <v>133</v>
      </c>
      <c r="D3" s="46" t="s">
        <v>133</v>
      </c>
      <c r="E3" s="46" t="s">
        <v>133</v>
      </c>
      <c r="F3" s="46" t="s">
        <v>133</v>
      </c>
      <c r="G3" s="46" t="s">
        <v>133</v>
      </c>
    </row>
    <row r="4" spans="1:7" ht="15.75" x14ac:dyDescent="0.25">
      <c r="A4" s="18" t="s">
        <v>130</v>
      </c>
      <c r="B4" s="44"/>
      <c r="C4" s="43"/>
      <c r="D4" s="42"/>
      <c r="E4" s="42"/>
      <c r="F4" s="42"/>
      <c r="G4" s="42"/>
    </row>
    <row r="5" spans="1:7" x14ac:dyDescent="0.25">
      <c r="A5" s="18" t="s">
        <v>93</v>
      </c>
      <c r="B5" s="3"/>
      <c r="C5" s="13"/>
      <c r="D5" s="20"/>
      <c r="E5" s="20"/>
      <c r="F5" s="20"/>
      <c r="G5" s="20"/>
    </row>
    <row r="6" spans="1:7" x14ac:dyDescent="0.25">
      <c r="A6" s="13" t="s">
        <v>129</v>
      </c>
      <c r="B6" s="41" t="e">
        <f>#REF!*10</f>
        <v>#REF!</v>
      </c>
      <c r="C6" s="40">
        <f>'[1]Peer Analysis working '!C5*10</f>
        <v>49222</v>
      </c>
      <c r="D6" s="40">
        <f>'[1]Peer Analysis working '!D5*10</f>
        <v>67286</v>
      </c>
      <c r="E6" s="40">
        <f>'[1]Peer Analysis working '!E5*10</f>
        <v>56892</v>
      </c>
      <c r="F6" s="40">
        <f>'[1]Peer Analysis working '!F5*10</f>
        <v>442740</v>
      </c>
      <c r="G6" s="40"/>
    </row>
    <row r="7" spans="1:7" x14ac:dyDescent="0.25">
      <c r="A7" s="13" t="s">
        <v>126</v>
      </c>
      <c r="B7" s="36">
        <f>'[1]Peer Analysis working '!B7</f>
        <v>6.6957261377430521E-2</v>
      </c>
      <c r="C7" s="35">
        <f>'[1]Peer Analysis working '!C7</f>
        <v>1.7483450932637146E-2</v>
      </c>
      <c r="D7" s="35">
        <f>'[1]Peer Analysis working '!D7</f>
        <v>0.11395326030791875</v>
      </c>
      <c r="E7" s="35">
        <f>'[1]Peer Analysis working '!E7</f>
        <v>8.1957653928725893E-2</v>
      </c>
      <c r="F7" s="35">
        <f>'[1]Peer Analysis working '!F7</f>
        <v>7.2805272529955722E-2</v>
      </c>
      <c r="G7" s="35"/>
    </row>
    <row r="8" spans="1:7" s="23" customFormat="1" x14ac:dyDescent="0.25">
      <c r="A8" s="18" t="s">
        <v>38</v>
      </c>
      <c r="B8" s="39">
        <f>'[1]Peer Analysis working '!B12*10</f>
        <v>2337.6000000000022</v>
      </c>
      <c r="C8" s="38">
        <f>'[1]Peer Analysis working '!C12*10</f>
        <v>8747</v>
      </c>
      <c r="D8" s="38">
        <f>'[1]Peer Analysis working '!D12*10</f>
        <v>9330</v>
      </c>
      <c r="E8" s="38">
        <f>'[1]Peer Analysis working '!E12*10</f>
        <v>9779</v>
      </c>
      <c r="F8" s="38">
        <f>'[1]Peer Analysis working '!F12*10</f>
        <v>54890</v>
      </c>
      <c r="G8" s="38"/>
    </row>
    <row r="9" spans="1:7" x14ac:dyDescent="0.25">
      <c r="A9" s="13" t="s">
        <v>126</v>
      </c>
      <c r="B9" s="36">
        <f>'[1]Peer Analysis working '!B14</f>
        <v>0.27796799337795663</v>
      </c>
      <c r="C9" s="35">
        <f>'[1]Peer Analysis working '!C14</f>
        <v>0.20517447704828018</v>
      </c>
      <c r="D9" s="35">
        <f>'[1]Peer Analysis working '!D14</f>
        <v>0.33549630488669613</v>
      </c>
      <c r="E9" s="35">
        <f>'[1]Peer Analysis working '!E14</f>
        <v>-2.4487478418460316</v>
      </c>
      <c r="F9" s="35">
        <f>'[1]Peer Analysis working '!F14</f>
        <v>5.7989028682093879E-2</v>
      </c>
      <c r="G9" s="35"/>
    </row>
    <row r="10" spans="1:7" s="23" customFormat="1" x14ac:dyDescent="0.25">
      <c r="A10" s="18" t="s">
        <v>128</v>
      </c>
      <c r="B10" s="34" t="e">
        <f>+B8/B$6</f>
        <v>#REF!</v>
      </c>
      <c r="C10" s="34">
        <f>+C8/C$6</f>
        <v>0.17770509121937345</v>
      </c>
      <c r="D10" s="34">
        <f>+D8/D$6</f>
        <v>0.13866183158457926</v>
      </c>
      <c r="E10" s="34">
        <f>+E8/E$6</f>
        <v>0.17188708430007735</v>
      </c>
      <c r="F10" s="34">
        <f>+F8/F$6</f>
        <v>0.12397795545918598</v>
      </c>
      <c r="G10" s="34"/>
    </row>
    <row r="11" spans="1:7" s="23" customFormat="1" x14ac:dyDescent="0.25">
      <c r="A11" s="18" t="s">
        <v>127</v>
      </c>
      <c r="B11" s="32">
        <f>'[1]Peer Analysis working '!B25*10</f>
        <v>623.77000000000226</v>
      </c>
      <c r="C11" s="37">
        <f>'[1]Peer Analysis working '!C25*10</f>
        <v>7883</v>
      </c>
      <c r="D11" s="37">
        <f>'[1]Peer Analysis working '!D25*10</f>
        <v>2960</v>
      </c>
      <c r="E11" s="37">
        <f>'[1]Peer Analysis working '!E25*10</f>
        <v>997</v>
      </c>
      <c r="F11" s="37">
        <f>'[1]Peer Analysis working '!F25*10</f>
        <v>34510</v>
      </c>
      <c r="G11" s="37"/>
    </row>
    <row r="12" spans="1:7" x14ac:dyDescent="0.25">
      <c r="A12" s="13" t="s">
        <v>126</v>
      </c>
      <c r="B12" s="36">
        <f>'[1]Peer Analysis working '!B27</f>
        <v>0.15020466640116381</v>
      </c>
      <c r="C12" s="35">
        <f>'[1]Peer Analysis working '!C27</f>
        <v>-2.3617924740187757E-2</v>
      </c>
      <c r="D12" s="35">
        <f>'[1]Peer Analysis working '!D27</f>
        <v>0.2798301533370493</v>
      </c>
      <c r="E12" s="35">
        <f>'[1]Peer Analysis working '!E27</f>
        <v>-1.7739968460390942E-2</v>
      </c>
      <c r="F12" s="35">
        <f>'[1]Peer Analysis working '!F27</f>
        <v>1.3492351397157654E-2</v>
      </c>
      <c r="G12" s="35"/>
    </row>
    <row r="13" spans="1:7" x14ac:dyDescent="0.25">
      <c r="A13" s="18" t="s">
        <v>125</v>
      </c>
      <c r="B13" s="34" t="e">
        <f>+B11/B$6</f>
        <v>#REF!</v>
      </c>
      <c r="C13" s="33">
        <f>+C11/C$6</f>
        <v>0.1601519645686888</v>
      </c>
      <c r="D13" s="33">
        <f>+D11/D$6</f>
        <v>4.3991320631334901E-2</v>
      </c>
      <c r="E13" s="33">
        <f>+E11/E$6</f>
        <v>1.7524432257610911E-2</v>
      </c>
      <c r="F13" s="33">
        <f>+F11/F$6</f>
        <v>7.7946424538103631E-2</v>
      </c>
      <c r="G13" s="33"/>
    </row>
    <row r="14" spans="1:7" x14ac:dyDescent="0.25">
      <c r="A14" s="13" t="s">
        <v>47</v>
      </c>
      <c r="B14" s="14">
        <f>'[1]Peer Analysis working '!B29</f>
        <v>3.76</v>
      </c>
      <c r="C14" s="14">
        <f>'[1]Peer Analysis working '!C29</f>
        <v>52.21</v>
      </c>
      <c r="D14" s="14">
        <f>'[1]Peer Analysis working '!D29</f>
        <v>7.83</v>
      </c>
      <c r="E14" s="14">
        <f>'[1]Peer Analysis working '!E29</f>
        <v>3.26</v>
      </c>
      <c r="F14" s="14">
        <f>'[1]Peer Analysis working '!F29</f>
        <v>31.37</v>
      </c>
      <c r="G14" s="14"/>
    </row>
    <row r="15" spans="1:7" x14ac:dyDescent="0.25">
      <c r="A15" s="13"/>
      <c r="B15" s="3"/>
      <c r="C15" s="13"/>
      <c r="D15" s="20"/>
      <c r="E15" s="20"/>
      <c r="F15" s="13"/>
      <c r="G15" s="13"/>
    </row>
    <row r="16" spans="1:7" x14ac:dyDescent="0.25">
      <c r="A16" s="13"/>
      <c r="B16" s="3"/>
      <c r="C16" s="13"/>
      <c r="D16" s="20"/>
      <c r="E16" s="20"/>
      <c r="F16" s="13"/>
      <c r="G16" s="13"/>
    </row>
    <row r="17" spans="1:7" x14ac:dyDescent="0.25">
      <c r="A17" s="18" t="s">
        <v>124</v>
      </c>
      <c r="B17" s="19"/>
      <c r="C17" s="18"/>
      <c r="D17" s="18"/>
      <c r="E17" s="18"/>
      <c r="F17" s="18"/>
      <c r="G17" s="18"/>
    </row>
    <row r="18" spans="1:7" s="23" customFormat="1" x14ac:dyDescent="0.25">
      <c r="A18" s="18" t="s">
        <v>123</v>
      </c>
      <c r="B18" s="32">
        <f>'[1]Peer Analysis working '!I5*10</f>
        <v>6806.94</v>
      </c>
      <c r="C18" s="32">
        <f>'[1]Peer Analysis working '!J5*10</f>
        <v>47546</v>
      </c>
      <c r="D18" s="32">
        <f>'[1]Peer Analysis working '!K5*10</f>
        <v>31513</v>
      </c>
      <c r="E18" s="32">
        <f>'[1]Peer Analysis working '!L5*10</f>
        <v>60583</v>
      </c>
      <c r="F18" s="32">
        <f>'[1]Peer Analysis working '!M5*10</f>
        <v>256090</v>
      </c>
      <c r="G18" s="32"/>
    </row>
    <row r="19" spans="1:7" s="23" customFormat="1" x14ac:dyDescent="0.25">
      <c r="A19" s="18" t="s">
        <v>66</v>
      </c>
      <c r="B19" s="32">
        <f>SUM(B20:B21)</f>
        <v>1806.12</v>
      </c>
      <c r="C19" s="32">
        <f>SUM(C20:C21)</f>
        <v>0</v>
      </c>
      <c r="D19" s="32">
        <f>SUM(D20:D21)</f>
        <v>12219</v>
      </c>
      <c r="E19" s="32">
        <f>SUM(E20:E21)</f>
        <v>9292</v>
      </c>
      <c r="F19" s="32">
        <f>SUM(F20:F21)</f>
        <v>37380</v>
      </c>
      <c r="G19" s="32"/>
    </row>
    <row r="20" spans="1:7" x14ac:dyDescent="0.25">
      <c r="A20" s="31" t="s">
        <v>122</v>
      </c>
      <c r="B20" s="14">
        <f>'[1]Peer Analysis working '!I6*10</f>
        <v>0</v>
      </c>
      <c r="C20" s="14">
        <f>'[1]Peer Analysis working '!J6*10</f>
        <v>0</v>
      </c>
      <c r="D20" s="14">
        <f>'[1]Peer Analysis working '!K6*10</f>
        <v>3893</v>
      </c>
      <c r="E20" s="14">
        <f>'[1]Peer Analysis working '!L6*10</f>
        <v>667</v>
      </c>
      <c r="F20" s="14">
        <f>'[1]Peer Analysis working '!M6*10</f>
        <v>8590</v>
      </c>
      <c r="G20" s="14"/>
    </row>
    <row r="21" spans="1:7" x14ac:dyDescent="0.25">
      <c r="A21" s="31" t="s">
        <v>121</v>
      </c>
      <c r="B21" s="14">
        <f>'[1]Peer Analysis working '!I7*10</f>
        <v>1806.12</v>
      </c>
      <c r="C21" s="14">
        <f>'[1]Peer Analysis working '!J7*10</f>
        <v>0</v>
      </c>
      <c r="D21" s="14">
        <f>'[1]Peer Analysis working '!K7*10</f>
        <v>8326</v>
      </c>
      <c r="E21" s="14">
        <f>'[1]Peer Analysis working '!L7*10</f>
        <v>8625</v>
      </c>
      <c r="F21" s="14">
        <f>'[1]Peer Analysis working '!M7*10</f>
        <v>28790</v>
      </c>
      <c r="G21" s="14"/>
    </row>
    <row r="22" spans="1:7" x14ac:dyDescent="0.25">
      <c r="A22" s="13"/>
      <c r="B22" s="3"/>
      <c r="C22" s="13"/>
      <c r="D22" s="20"/>
      <c r="E22" s="20"/>
      <c r="F22" s="13"/>
      <c r="G22" s="13"/>
    </row>
    <row r="23" spans="1:7" x14ac:dyDescent="0.25">
      <c r="A23" s="18" t="s">
        <v>120</v>
      </c>
      <c r="B23" s="19"/>
      <c r="C23" s="18"/>
      <c r="D23" s="18"/>
      <c r="E23" s="18"/>
      <c r="F23" s="18"/>
      <c r="G23" s="18"/>
    </row>
    <row r="24" spans="1:7" x14ac:dyDescent="0.25">
      <c r="A24" s="29" t="s">
        <v>119</v>
      </c>
      <c r="B24" s="30"/>
      <c r="C24" s="13"/>
      <c r="D24" s="13"/>
      <c r="E24" s="13"/>
      <c r="F24" s="13"/>
      <c r="G24" s="13"/>
    </row>
    <row r="25" spans="1:7" x14ac:dyDescent="0.25">
      <c r="A25" s="29" t="s">
        <v>64</v>
      </c>
      <c r="B25" s="28"/>
      <c r="C25" s="13"/>
      <c r="D25" s="13"/>
      <c r="E25" s="13"/>
      <c r="F25" s="13"/>
      <c r="G25" s="13"/>
    </row>
    <row r="26" spans="1:7" s="2" customFormat="1" x14ac:dyDescent="0.25">
      <c r="A26" s="3"/>
      <c r="B26" s="3"/>
      <c r="C26" s="3"/>
      <c r="D26" s="27"/>
      <c r="E26" s="27"/>
      <c r="F26" s="27"/>
      <c r="G26" s="27"/>
    </row>
    <row r="27" spans="1:7" s="2" customFormat="1" x14ac:dyDescent="0.25">
      <c r="A27" s="3" t="s">
        <v>65</v>
      </c>
      <c r="B27" s="26">
        <f>'[1]Peer Analysis working '!I27</f>
        <v>16042570</v>
      </c>
      <c r="C27" s="26">
        <f>'[1]Peer Analysis working '!J27</f>
        <v>15050871</v>
      </c>
      <c r="D27" s="26">
        <f>'[1]Peer Analysis working '!K27</f>
        <v>37759530</v>
      </c>
      <c r="E27" s="26">
        <f>'[1]Peer Analysis working '!L27</f>
        <v>30603181</v>
      </c>
      <c r="F27" s="26">
        <f>'[1]Peer Analysis working '!M27</f>
        <v>109971221</v>
      </c>
      <c r="G27" s="26"/>
    </row>
    <row r="28" spans="1:7" s="23" customFormat="1" x14ac:dyDescent="0.25">
      <c r="A28" s="18" t="s">
        <v>100</v>
      </c>
      <c r="B28" s="25">
        <f>'[1]Peer Analysis working '!I28*10</f>
        <v>705.87307999999996</v>
      </c>
      <c r="C28" s="24">
        <f>'[1]Peer Analysis working '!J28*10</f>
        <v>5698.2597605999999</v>
      </c>
      <c r="D28" s="24">
        <f>'[1]Peer Analysis working '!K28*10</f>
        <v>1049.7149340000001</v>
      </c>
      <c r="E28" s="24">
        <f>'[1]Peer Analysis working '!L28*10</f>
        <v>2209.5496682000003</v>
      </c>
      <c r="F28" s="24">
        <f>'[1]Peer Analysis working '!M28*10</f>
        <v>25254.89090265</v>
      </c>
      <c r="G28" s="24"/>
    </row>
    <row r="29" spans="1:7" s="23" customFormat="1" x14ac:dyDescent="0.25">
      <c r="A29" s="18" t="s">
        <v>68</v>
      </c>
      <c r="B29" s="25">
        <f>'[1]Peer Analysis working '!I31*10</f>
        <v>297.57307999999966</v>
      </c>
      <c r="C29" s="24">
        <f>'[1]Peer Analysis working '!J31*10</f>
        <v>3873.2597605999999</v>
      </c>
      <c r="D29" s="24">
        <f>'[1]Peer Analysis working '!K31*10</f>
        <v>6252.7149340000014</v>
      </c>
      <c r="E29" s="24">
        <f>'[1]Peer Analysis working '!L31*10</f>
        <v>9985.5496681999994</v>
      </c>
      <c r="F29" s="24">
        <f>'[1]Peer Analysis working '!M31*10</f>
        <v>-32545.109097349996</v>
      </c>
      <c r="G29" s="24"/>
    </row>
    <row r="30" spans="1:7" x14ac:dyDescent="0.25">
      <c r="A30" s="13"/>
      <c r="B30" s="3"/>
      <c r="C30" s="13"/>
      <c r="D30" s="20"/>
      <c r="E30" s="13"/>
      <c r="F30" s="13"/>
      <c r="G30" s="13"/>
    </row>
    <row r="31" spans="1:7" x14ac:dyDescent="0.25">
      <c r="A31" s="13" t="s">
        <v>118</v>
      </c>
      <c r="B31" s="15">
        <f>'[1]Peer Analysis working '!I35</f>
        <v>11.702127659574469</v>
      </c>
      <c r="C31" s="15">
        <f>'[1]Peer Analysis working '!J35</f>
        <v>7.2514843899636086</v>
      </c>
      <c r="D31" s="15">
        <f>'[1]Peer Analysis working '!K35</f>
        <v>3.5504469987228608</v>
      </c>
      <c r="E31" s="15">
        <f>'[1]Peer Analysis working '!L35</f>
        <v>22.147239263803684</v>
      </c>
      <c r="F31" s="15">
        <f>'[1]Peer Analysis working '!M35</f>
        <v>7.3206885559451704</v>
      </c>
      <c r="G31" s="15"/>
    </row>
    <row r="32" spans="1:7" x14ac:dyDescent="0.25">
      <c r="A32" s="13" t="s">
        <v>79</v>
      </c>
      <c r="B32" s="22">
        <f>'[1]Peer Analysis working '!I44</f>
        <v>3.4090909090909088E-2</v>
      </c>
      <c r="C32" s="21">
        <f>'[1]Peer Analysis working '!J44</f>
        <v>0.10565240359218171</v>
      </c>
      <c r="D32" s="21">
        <f>'[1]Peer Analysis working '!K44</f>
        <v>0</v>
      </c>
      <c r="E32" s="21">
        <f>'[1]Peer Analysis working '!L44</f>
        <v>0</v>
      </c>
      <c r="F32" s="21">
        <f>'[1]Peer Analysis working '!M44</f>
        <v>6.531678641410843E-2</v>
      </c>
      <c r="G32" s="21"/>
    </row>
    <row r="33" spans="1:7" x14ac:dyDescent="0.25">
      <c r="A33" s="13" t="s">
        <v>117</v>
      </c>
      <c r="B33" s="15">
        <f>'[1]Peer Analysis working '!I36</f>
        <v>0.10369903069514348</v>
      </c>
      <c r="C33" s="15">
        <f>'[1]Peer Analysis working '!J36</f>
        <v>0.11984730073192279</v>
      </c>
      <c r="D33" s="15">
        <f>'[1]Peer Analysis working '!K36</f>
        <v>3.3310536413543618E-2</v>
      </c>
      <c r="E33" s="15">
        <f>'[1]Peer Analysis working '!L36</f>
        <v>3.6471446910849581E-2</v>
      </c>
      <c r="F33" s="15">
        <f>'[1]Peer Analysis working '!M36</f>
        <v>9.8617247462415569E-2</v>
      </c>
      <c r="G33" s="15"/>
    </row>
    <row r="34" spans="1:7" x14ac:dyDescent="0.25">
      <c r="A34" s="13" t="s">
        <v>116</v>
      </c>
      <c r="B34" s="15">
        <f>'[1]Peer Analysis working '!I37</f>
        <v>0.12729854551676908</v>
      </c>
      <c r="C34" s="15">
        <f>'[1]Peer Analysis working '!J37</f>
        <v>0.44281007895278379</v>
      </c>
      <c r="D34" s="15">
        <f>'[1]Peer Analysis working '!K37</f>
        <v>0.67017309046087903</v>
      </c>
      <c r="E34" s="15">
        <f>'[1]Peer Analysis working '!L37</f>
        <v>1.021121757664383</v>
      </c>
      <c r="F34" s="15">
        <f>'[1]Peer Analysis working '!M37</f>
        <v>-0.59291508648843139</v>
      </c>
      <c r="G34" s="15"/>
    </row>
    <row r="35" spans="1:7" x14ac:dyDescent="0.25">
      <c r="A35" s="13"/>
      <c r="B35" s="3"/>
      <c r="C35" s="13"/>
      <c r="D35" s="20"/>
      <c r="E35" s="20"/>
      <c r="F35" s="13"/>
      <c r="G35" s="13"/>
    </row>
    <row r="36" spans="1:7" x14ac:dyDescent="0.25">
      <c r="A36" s="18" t="s">
        <v>115</v>
      </c>
      <c r="B36" s="19"/>
      <c r="C36" s="18"/>
      <c r="D36" s="18"/>
      <c r="E36" s="18"/>
      <c r="F36" s="18"/>
      <c r="G36" s="18"/>
    </row>
    <row r="37" spans="1:7" x14ac:dyDescent="0.25">
      <c r="A37" s="18" t="s">
        <v>134</v>
      </c>
      <c r="B37" s="14" t="e">
        <f>#REF!</f>
        <v>#REF!</v>
      </c>
      <c r="C37" s="14">
        <f>'[1]Peer Analysis working '!J32</f>
        <v>378.6</v>
      </c>
      <c r="D37" s="14">
        <f>'[1]Peer Analysis working '!K32</f>
        <v>27.8</v>
      </c>
      <c r="E37" s="14">
        <f>'[1]Peer Analysis working '!L32</f>
        <v>72.2</v>
      </c>
      <c r="F37" s="14">
        <f>'[1]Peer Analysis working '!M32</f>
        <v>229.65</v>
      </c>
      <c r="G37" s="14"/>
    </row>
    <row r="38" spans="1:7" x14ac:dyDescent="0.25">
      <c r="A38" s="13" t="s">
        <v>114</v>
      </c>
      <c r="B38" s="14">
        <f>B18</f>
        <v>6806.94</v>
      </c>
      <c r="C38" s="14">
        <f>C18</f>
        <v>47546</v>
      </c>
      <c r="D38" s="14">
        <f>D18</f>
        <v>31513</v>
      </c>
      <c r="E38" s="14">
        <f>E18</f>
        <v>60583</v>
      </c>
      <c r="F38" s="14">
        <f>F18</f>
        <v>256090</v>
      </c>
      <c r="G38" s="14"/>
    </row>
    <row r="39" spans="1:7" x14ac:dyDescent="0.25">
      <c r="A39" s="13" t="s">
        <v>113</v>
      </c>
      <c r="B39" s="14">
        <f>'[1]Peer Analysis working '!I34</f>
        <v>424.30483395116869</v>
      </c>
      <c r="C39" s="14">
        <f>'[1]Peer Analysis working '!J34</f>
        <v>3159.0198334701026</v>
      </c>
      <c r="D39" s="14">
        <f>'[1]Peer Analysis working '!K34</f>
        <v>834.57076928658807</v>
      </c>
      <c r="E39" s="14">
        <f>'[1]Peer Analysis working '!L34</f>
        <v>1979.6308102742653</v>
      </c>
      <c r="F39" s="14">
        <f>'[1]Peer Analysis working '!M34</f>
        <v>2328.7001605629166</v>
      </c>
      <c r="G39" s="14"/>
    </row>
    <row r="40" spans="1:7" x14ac:dyDescent="0.25">
      <c r="A40" s="13" t="s">
        <v>112</v>
      </c>
      <c r="B40" s="12">
        <f>'[1]Peer Analysis working '!I38</f>
        <v>9.1637358343103104E-2</v>
      </c>
      <c r="C40" s="12">
        <f>'[1]Peer Analysis working '!J38</f>
        <v>0.16579733310898917</v>
      </c>
      <c r="D40" s="12">
        <f>'[1]Peer Analysis working '!K38</f>
        <v>9.392948941706597E-2</v>
      </c>
      <c r="E40" s="12">
        <f>'[1]Peer Analysis working '!L38</f>
        <v>1.6456761797864088E-2</v>
      </c>
      <c r="F40" s="12">
        <f>'[1]Peer Analysis working '!M38</f>
        <v>0.13475731188254128</v>
      </c>
      <c r="G40" s="12"/>
    </row>
    <row r="41" spans="1:7" x14ac:dyDescent="0.25">
      <c r="A41" s="13" t="s">
        <v>111</v>
      </c>
      <c r="B41" s="12">
        <f>'[1]Peer Analysis working '!I39</f>
        <v>0.15966919879744115</v>
      </c>
      <c r="C41" s="12">
        <f>'[1]Peer Analysis working '!J39</f>
        <v>0.23463756949794889</v>
      </c>
      <c r="D41" s="12">
        <f>'[1]Peer Analysis working '!K39</f>
        <v>0.16266310441067727</v>
      </c>
      <c r="E41" s="12">
        <f>'[1]Peer Analysis working '!L39</f>
        <v>7.0130917016226549E-2</v>
      </c>
      <c r="F41" s="12">
        <f>'[1]Peer Analysis working '!M39</f>
        <v>0.12677259525029899</v>
      </c>
      <c r="G41" s="12"/>
    </row>
    <row r="42" spans="1:7" x14ac:dyDescent="0.25">
      <c r="A42" s="13" t="s">
        <v>110</v>
      </c>
      <c r="B42" s="15">
        <f>'[1]Peer Analysis working '!I40</f>
        <v>0.19664505085895492</v>
      </c>
      <c r="C42" s="15">
        <f>'[1]Peer Analysis working '!J40</f>
        <v>0.68930559505911992</v>
      </c>
      <c r="D42" s="15">
        <f>'[1]Peer Analysis working '!K40</f>
        <v>0.63170644710638169</v>
      </c>
      <c r="E42" s="15">
        <f>'[1]Peer Analysis working '!L40</f>
        <v>0.8970505519229417</v>
      </c>
      <c r="F42" s="15">
        <f>'[1]Peer Analysis working '!M40</f>
        <v>0.46451642047251207</v>
      </c>
      <c r="G42" s="15"/>
    </row>
    <row r="43" spans="1:7" x14ac:dyDescent="0.25">
      <c r="A43" s="13" t="s">
        <v>109</v>
      </c>
      <c r="B43" s="16">
        <f>'[1]Peer Analysis working '!I45</f>
        <v>66.342013720741051</v>
      </c>
      <c r="C43" s="16">
        <f>'[1]Peer Analysis working '!J45</f>
        <v>65.062573645930684</v>
      </c>
      <c r="D43" s="16">
        <f>'[1]Peer Analysis working '!K45</f>
        <v>86.592976250631622</v>
      </c>
      <c r="E43" s="16">
        <f>'[1]Peer Analysis working '!L45</f>
        <v>107.90185790620825</v>
      </c>
      <c r="F43" s="16">
        <f>'[1]Peer Analysis working '!M45</f>
        <v>56.711275240547494</v>
      </c>
      <c r="G43" s="16"/>
    </row>
    <row r="44" spans="1:7" x14ac:dyDescent="0.25">
      <c r="A44" s="13" t="s">
        <v>82</v>
      </c>
      <c r="B44" s="16">
        <f>'[1]Peer Analysis working '!I47</f>
        <v>0</v>
      </c>
      <c r="C44" s="16">
        <f>'[1]Peer Analysis working '!J47</f>
        <v>0</v>
      </c>
      <c r="D44" s="16">
        <f>'[1]Peer Analysis working '!K47</f>
        <v>10.79</v>
      </c>
      <c r="E44" s="16">
        <f>'[1]Peer Analysis working '!L47</f>
        <v>0</v>
      </c>
      <c r="F44" s="16">
        <f>'[1]Peer Analysis working '!M47</f>
        <v>16.899999999999999</v>
      </c>
      <c r="G44" s="16"/>
    </row>
    <row r="45" spans="1:7" x14ac:dyDescent="0.25">
      <c r="A45" s="13" t="s">
        <v>108</v>
      </c>
      <c r="B45" s="17">
        <f>'[1]Peer Analysis working '!I46</f>
        <v>6242.8348665021331</v>
      </c>
      <c r="C45" s="16">
        <f>'[1]Peer Analysis working '!J46</f>
        <v>17.260000000000002</v>
      </c>
      <c r="D45" s="16">
        <f>'[1]Peer Analysis working '!K46</f>
        <v>29.69</v>
      </c>
      <c r="E45" s="16">
        <f>'[1]Peer Analysis working '!L46</f>
        <v>50.87</v>
      </c>
      <c r="F45" s="16">
        <f>'[1]Peer Analysis working '!M46</f>
        <v>51.52</v>
      </c>
      <c r="G45" s="16"/>
    </row>
    <row r="46" spans="1:7" x14ac:dyDescent="0.25">
      <c r="A46" s="13" t="s">
        <v>107</v>
      </c>
      <c r="B46" s="17">
        <f>'[1]Peer Analysis working '!I48</f>
        <v>-6176.4928527813918</v>
      </c>
      <c r="C46" s="16">
        <f>'[1]Peer Analysis working '!J48</f>
        <v>47.802573645930678</v>
      </c>
      <c r="D46" s="16">
        <f>'[1]Peer Analysis working '!K48</f>
        <v>67.692976250631631</v>
      </c>
      <c r="E46" s="16">
        <f>'[1]Peer Analysis working '!L48</f>
        <v>57.031857906208252</v>
      </c>
      <c r="F46" s="16">
        <f>'[1]Peer Analysis working '!M48</f>
        <v>22.091275240547482</v>
      </c>
      <c r="G46" s="16"/>
    </row>
    <row r="47" spans="1:7" x14ac:dyDescent="0.25">
      <c r="A47" s="13" t="s">
        <v>84</v>
      </c>
      <c r="B47" s="16">
        <f>'[1]Peer Analysis working '!I49</f>
        <v>38.568782865166789</v>
      </c>
      <c r="C47" s="16">
        <f>'[1]Peer Analysis working '!J49</f>
        <v>104.5124131485921</v>
      </c>
      <c r="D47" s="16">
        <f>'[1]Peer Analysis working '!K49</f>
        <v>-3.1679695627619462</v>
      </c>
      <c r="E47" s="16">
        <f>'[1]Peer Analysis working '!L49</f>
        <v>102.35551571398437</v>
      </c>
      <c r="F47" s="16">
        <f>'[1]Peer Analysis working '!M49</f>
        <v>168.22119076658987</v>
      </c>
      <c r="G47" s="16"/>
    </row>
    <row r="48" spans="1:7" x14ac:dyDescent="0.25">
      <c r="A48" s="13" t="s">
        <v>106</v>
      </c>
      <c r="B48" s="15">
        <f>'[1]Peer Analysis working '!I41</f>
        <v>0.2653350844873027</v>
      </c>
      <c r="C48" s="15">
        <f>'[1]Peer Analysis working '!J41</f>
        <v>0</v>
      </c>
      <c r="D48" s="15">
        <f>'[1]Peer Analysis working '!K41</f>
        <v>0.38774474026592198</v>
      </c>
      <c r="E48" s="15">
        <f>'[1]Peer Analysis working '!L41</f>
        <v>0.15337635970486771</v>
      </c>
      <c r="F48" s="15">
        <f>'[1]Peer Analysis working '!M41</f>
        <v>0.14596430942246866</v>
      </c>
      <c r="G48" s="15"/>
    </row>
    <row r="49" spans="1:7" x14ac:dyDescent="0.25">
      <c r="A49" s="13" t="s">
        <v>105</v>
      </c>
      <c r="B49" s="15">
        <f>'[1]Peer Analysis working '!I42</f>
        <v>-5.998289980519883E-2</v>
      </c>
      <c r="C49" s="15">
        <f>'[1]Peer Analysis working '!J42</f>
        <v>-3.8383880873259578E-2</v>
      </c>
      <c r="D49" s="15">
        <f>'[1]Peer Analysis working '!K42</f>
        <v>0.16510646399898457</v>
      </c>
      <c r="E49" s="15">
        <f>'[1]Peer Analysis working '!L42</f>
        <v>0.128352838254956</v>
      </c>
      <c r="F49" s="15">
        <f>'[1]Peer Analysis working '!M42</f>
        <v>-0.22570190167519233</v>
      </c>
      <c r="G49" s="15"/>
    </row>
    <row r="50" spans="1:7" x14ac:dyDescent="0.25">
      <c r="A50" s="13" t="s">
        <v>101</v>
      </c>
      <c r="B50" s="14">
        <f>'[1]Peer Analysis working '!I51</f>
        <v>3.7837018647884131</v>
      </c>
      <c r="C50" s="14">
        <f>'[1]Peer Analysis working '!J51</f>
        <v>158.70422535211267</v>
      </c>
      <c r="D50" s="14">
        <f>'[1]Peer Analysis working '!K51</f>
        <v>2.2760347129506009</v>
      </c>
      <c r="E50" s="14">
        <f>'[1]Peer Analysis working '!L51</f>
        <v>3.4877505567928733</v>
      </c>
      <c r="F50" s="14">
        <f>'[1]Peer Analysis working '!M51</f>
        <v>10.687242798353909</v>
      </c>
      <c r="G50" s="14"/>
    </row>
    <row r="51" spans="1:7" x14ac:dyDescent="0.25">
      <c r="A51" s="13" t="s">
        <v>104</v>
      </c>
      <c r="B51" s="12">
        <f>'[1]Peer Analysis working '!I50</f>
        <v>0.19180342391424715</v>
      </c>
      <c r="C51" s="12">
        <f>'[1]Peer Analysis working '!J50</f>
        <v>0</v>
      </c>
      <c r="D51" s="12">
        <f>'[1]Peer Analysis working '!K50</f>
        <v>0.24519191423193387</v>
      </c>
      <c r="E51" s="12">
        <f>'[1]Peer Analysis working '!L50</f>
        <v>0.14496340938441668</v>
      </c>
      <c r="F51" s="12">
        <f>'[1]Peer Analysis working '!M50</f>
        <v>0.13001605136436598</v>
      </c>
      <c r="G51" s="12"/>
    </row>
  </sheetData>
  <mergeCells count="2">
    <mergeCell ref="A1:F1"/>
    <mergeCell ref="A2:A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87"/>
  <sheetViews>
    <sheetView tabSelected="1" zoomScale="85" zoomScaleNormal="85" workbookViewId="0">
      <pane xSplit="1" ySplit="3" topLeftCell="L28" activePane="bottomRight" state="frozen"/>
      <selection pane="topRight" activeCell="B1" sqref="B1"/>
      <selection pane="bottomLeft" activeCell="A3" sqref="A3"/>
      <selection pane="bottomRight" activeCell="M25" sqref="M25"/>
    </sheetView>
  </sheetViews>
  <sheetFormatPr defaultColWidth="8.85546875" defaultRowHeight="15" x14ac:dyDescent="0.25"/>
  <cols>
    <col min="1" max="1" width="46.85546875" style="61" bestFit="1" customWidth="1"/>
    <col min="2" max="2" width="3.28515625" style="61" hidden="1" customWidth="1"/>
    <col min="3" max="3" width="9.140625" style="61" hidden="1" customWidth="1"/>
    <col min="4" max="7" width="8.85546875" style="61" hidden="1" customWidth="1"/>
    <col min="8" max="8" width="9.85546875" style="61" customWidth="1"/>
    <col min="9" max="9" width="10" style="61" customWidth="1"/>
    <col min="10" max="10" width="9.5703125" style="61" customWidth="1"/>
    <col min="11" max="11" width="11.85546875" style="61" bestFit="1" customWidth="1"/>
    <col min="12" max="12" width="11" style="61" bestFit="1" customWidth="1"/>
    <col min="13" max="13" width="9.140625" style="61" customWidth="1"/>
    <col min="14" max="14" width="2.5703125" style="61" customWidth="1"/>
    <col min="15" max="15" width="65.5703125" style="61" bestFit="1" customWidth="1"/>
    <col min="16" max="16" width="2.85546875" style="61" hidden="1" customWidth="1"/>
    <col min="17" max="17" width="9.140625" style="61" hidden="1" customWidth="1"/>
    <col min="18" max="18" width="8.85546875" style="61" hidden="1" customWidth="1"/>
    <col min="19" max="19" width="11.7109375" style="61" bestFit="1" customWidth="1"/>
    <col min="20" max="21" width="8.85546875" style="61"/>
    <col min="22" max="22" width="8.85546875" style="61" customWidth="1"/>
    <col min="23" max="23" width="8.85546875" style="61"/>
    <col min="24" max="24" width="10.5703125" style="61" customWidth="1"/>
    <col min="25" max="25" width="10" style="61" bestFit="1" customWidth="1"/>
    <col min="26" max="26" width="6.140625" style="61" customWidth="1"/>
    <col min="27" max="27" width="12.5703125" style="61" bestFit="1" customWidth="1"/>
    <col min="28" max="16384" width="8.85546875" style="61"/>
  </cols>
  <sheetData>
    <row r="1" spans="1:27" ht="18.75" x14ac:dyDescent="0.3">
      <c r="A1" s="155" t="s">
        <v>159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7" ht="12.6" customHeight="1" x14ac:dyDescent="0.25">
      <c r="A2" s="154" t="s">
        <v>143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11"/>
      <c r="N2" s="49"/>
      <c r="O2" s="153" t="s">
        <v>144</v>
      </c>
      <c r="P2" s="154"/>
      <c r="Q2" s="154"/>
      <c r="R2" s="154"/>
      <c r="S2" s="154"/>
      <c r="T2" s="154"/>
      <c r="U2" s="154"/>
      <c r="V2" s="154"/>
      <c r="W2" s="154"/>
      <c r="X2" s="154"/>
    </row>
    <row r="3" spans="1:27" x14ac:dyDescent="0.25">
      <c r="A3" s="66" t="s">
        <v>0</v>
      </c>
      <c r="B3" s="67"/>
      <c r="C3" s="67" t="s">
        <v>30</v>
      </c>
      <c r="D3" s="67" t="s">
        <v>29</v>
      </c>
      <c r="E3" s="67"/>
      <c r="F3" s="67"/>
      <c r="G3" s="67"/>
      <c r="H3" s="67" t="s">
        <v>1</v>
      </c>
      <c r="I3" s="67" t="s">
        <v>2</v>
      </c>
      <c r="J3" s="67" t="s">
        <v>48</v>
      </c>
      <c r="K3" s="67" t="s">
        <v>135</v>
      </c>
      <c r="L3" s="112" t="s">
        <v>149</v>
      </c>
      <c r="M3" s="67" t="s">
        <v>161</v>
      </c>
      <c r="N3" s="50"/>
      <c r="O3" s="66" t="s">
        <v>0</v>
      </c>
      <c r="P3" s="66"/>
      <c r="Q3" s="67" t="s">
        <v>30</v>
      </c>
      <c r="R3" s="67" t="s">
        <v>29</v>
      </c>
      <c r="S3" s="67" t="s">
        <v>1</v>
      </c>
      <c r="T3" s="67" t="s">
        <v>2</v>
      </c>
      <c r="U3" s="67" t="s">
        <v>48</v>
      </c>
      <c r="V3" s="67" t="s">
        <v>135</v>
      </c>
      <c r="W3" s="67" t="s">
        <v>149</v>
      </c>
      <c r="X3" s="67" t="s">
        <v>150</v>
      </c>
    </row>
    <row r="4" spans="1:27" x14ac:dyDescent="0.25">
      <c r="A4" s="68" t="s">
        <v>31</v>
      </c>
      <c r="B4" s="69"/>
      <c r="C4" s="70">
        <v>25271.9</v>
      </c>
      <c r="D4" s="70">
        <v>41824.199999999997</v>
      </c>
      <c r="E4" s="70"/>
      <c r="F4" s="70"/>
      <c r="G4" s="70"/>
      <c r="H4" s="70">
        <v>430.45</v>
      </c>
      <c r="I4" s="70">
        <v>335.8</v>
      </c>
      <c r="J4" s="70">
        <v>300.72000000000003</v>
      </c>
      <c r="K4" s="70">
        <v>423.28</v>
      </c>
      <c r="L4" s="70">
        <v>573.34</v>
      </c>
      <c r="M4" s="70">
        <v>451.83</v>
      </c>
      <c r="N4" s="49"/>
      <c r="O4" s="68" t="s">
        <v>3</v>
      </c>
      <c r="P4" s="69"/>
      <c r="Q4" s="70">
        <v>186.1</v>
      </c>
      <c r="R4" s="70">
        <v>186.1</v>
      </c>
      <c r="S4" s="70">
        <v>68.83</v>
      </c>
      <c r="T4" s="70">
        <v>68.826863000000003</v>
      </c>
      <c r="U4" s="70">
        <v>68.826863000000003</v>
      </c>
      <c r="V4" s="70">
        <v>69.02</v>
      </c>
      <c r="W4" s="70">
        <v>69.39</v>
      </c>
      <c r="X4" s="70">
        <v>69.569999999999993</v>
      </c>
      <c r="Z4" s="124"/>
    </row>
    <row r="5" spans="1:27" x14ac:dyDescent="0.25">
      <c r="A5" s="83" t="s">
        <v>32</v>
      </c>
      <c r="B5" s="84"/>
      <c r="C5" s="84"/>
      <c r="D5" s="84">
        <f t="shared" ref="D5" si="0">D4/C4-1</f>
        <v>0.65496856192055186</v>
      </c>
      <c r="E5" s="84"/>
      <c r="F5" s="84"/>
      <c r="G5" s="84"/>
      <c r="H5" s="84">
        <f>H4/D4-1</f>
        <v>-0.98970811157176941</v>
      </c>
      <c r="I5" s="110">
        <f>I4/H4-1</f>
        <v>-0.21988616564060859</v>
      </c>
      <c r="J5" s="110">
        <f>J4/I4-1</f>
        <v>-0.10446694460988681</v>
      </c>
      <c r="K5" s="110">
        <f>K4/J4-1</f>
        <v>0.40755520085128993</v>
      </c>
      <c r="L5" s="114">
        <f>L4/K4-1</f>
        <v>0.35451710451710472</v>
      </c>
      <c r="M5" s="110"/>
      <c r="N5" s="51"/>
      <c r="O5" s="68" t="s">
        <v>4</v>
      </c>
      <c r="P5" s="69"/>
      <c r="Q5" s="70">
        <v>485</v>
      </c>
      <c r="R5" s="70">
        <v>641.20000000000005</v>
      </c>
      <c r="S5" s="70">
        <v>132.37100000000001</v>
      </c>
      <c r="T5" s="70">
        <v>137.68</v>
      </c>
      <c r="U5" s="70">
        <v>151.76</v>
      </c>
      <c r="V5" s="70">
        <v>192.28</v>
      </c>
      <c r="W5" s="70">
        <v>260.87</v>
      </c>
      <c r="X5" s="70">
        <v>316.43</v>
      </c>
      <c r="Z5" s="63"/>
    </row>
    <row r="6" spans="1:27" x14ac:dyDescent="0.25">
      <c r="A6" s="83" t="s">
        <v>33</v>
      </c>
      <c r="B6" s="85"/>
      <c r="C6" s="86"/>
      <c r="D6" s="86"/>
      <c r="E6" s="86"/>
      <c r="F6" s="86"/>
      <c r="G6" s="86"/>
      <c r="H6" s="84"/>
      <c r="I6" s="110">
        <f>((I4/C4)^(1/3)-1)</f>
        <v>-0.76314588604123412</v>
      </c>
      <c r="J6" s="110">
        <f>((J4/D4)^(1/3)-1)</f>
        <v>-0.80699070546672536</v>
      </c>
      <c r="K6" s="110">
        <f>((K4/H4)^(1/3)-1)</f>
        <v>-5.5834458040537882E-3</v>
      </c>
      <c r="L6" s="114">
        <f>((L4/I4)^(1/3)-1)</f>
        <v>0.19520898719918511</v>
      </c>
      <c r="M6" s="110"/>
      <c r="N6" s="51"/>
      <c r="O6" s="71" t="s">
        <v>5</v>
      </c>
      <c r="P6" s="72"/>
      <c r="Q6" s="73">
        <f t="shared" ref="Q6:R6" si="1">SUM(Q4:Q5)</f>
        <v>671.1</v>
      </c>
      <c r="R6" s="73">
        <f t="shared" si="1"/>
        <v>827.30000000000007</v>
      </c>
      <c r="S6" s="73">
        <f t="shared" ref="S6:X6" si="2">SUM(S4:S5)</f>
        <v>201.20100000000002</v>
      </c>
      <c r="T6" s="73">
        <f t="shared" si="2"/>
        <v>206.50686300000001</v>
      </c>
      <c r="U6" s="73">
        <f t="shared" si="2"/>
        <v>220.58686299999999</v>
      </c>
      <c r="V6" s="73">
        <f t="shared" si="2"/>
        <v>261.3</v>
      </c>
      <c r="W6" s="73">
        <f t="shared" ref="W6" si="3">SUM(W4:W5)</f>
        <v>330.26</v>
      </c>
      <c r="X6" s="73">
        <f t="shared" si="2"/>
        <v>386</v>
      </c>
    </row>
    <row r="7" spans="1:27" x14ac:dyDescent="0.25">
      <c r="A7" s="78" t="s">
        <v>34</v>
      </c>
      <c r="B7" s="69"/>
      <c r="C7" s="69"/>
      <c r="D7" s="69"/>
      <c r="E7" s="69"/>
      <c r="F7" s="69"/>
      <c r="G7" s="69"/>
      <c r="H7" s="70"/>
      <c r="I7" s="70"/>
      <c r="J7" s="70"/>
      <c r="K7" s="70"/>
      <c r="L7" s="113"/>
      <c r="M7" s="70"/>
      <c r="N7" s="52"/>
      <c r="O7" s="68" t="s">
        <v>146</v>
      </c>
      <c r="P7" s="69"/>
      <c r="Q7" s="70">
        <v>-7.3</v>
      </c>
      <c r="R7" s="70">
        <v>-5.4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AA7" s="123"/>
    </row>
    <row r="8" spans="1:27" x14ac:dyDescent="0.25">
      <c r="A8" s="79" t="s">
        <v>35</v>
      </c>
      <c r="B8" s="69"/>
      <c r="C8" s="70">
        <v>1029.0999999999999</v>
      </c>
      <c r="D8" s="70">
        <v>1072.4000000000001</v>
      </c>
      <c r="E8" s="70"/>
      <c r="F8" s="70"/>
      <c r="G8" s="70"/>
      <c r="H8" s="70">
        <v>236.92</v>
      </c>
      <c r="I8" s="70">
        <v>208.07</v>
      </c>
      <c r="J8" s="70">
        <v>169.34</v>
      </c>
      <c r="K8" s="70">
        <v>266.2</v>
      </c>
      <c r="L8" s="70">
        <v>280.73</v>
      </c>
      <c r="M8" s="70">
        <v>239.67</v>
      </c>
      <c r="N8" s="52"/>
      <c r="O8" s="68" t="s">
        <v>6</v>
      </c>
      <c r="P8" s="69"/>
      <c r="Q8" s="70">
        <f>18.8</f>
        <v>18.8</v>
      </c>
      <c r="R8" s="70">
        <v>0</v>
      </c>
      <c r="S8" s="70">
        <v>35.807000000000002</v>
      </c>
      <c r="T8" s="70">
        <v>25.43</v>
      </c>
      <c r="U8" s="70">
        <v>28.37</v>
      </c>
      <c r="V8" s="70">
        <v>68.64</v>
      </c>
      <c r="W8" s="70">
        <v>222.58</v>
      </c>
      <c r="X8" s="70">
        <v>221.99</v>
      </c>
      <c r="AA8" s="123"/>
    </row>
    <row r="9" spans="1:27" x14ac:dyDescent="0.25">
      <c r="A9" s="79" t="s">
        <v>49</v>
      </c>
      <c r="B9" s="87"/>
      <c r="C9" s="88">
        <v>-1091.4000000000001</v>
      </c>
      <c r="D9" s="88">
        <v>-3299.5</v>
      </c>
      <c r="E9" s="88"/>
      <c r="F9" s="88"/>
      <c r="G9" s="88"/>
      <c r="H9" s="70">
        <v>54.11</v>
      </c>
      <c r="I9" s="70">
        <v>-2.5</v>
      </c>
      <c r="J9" s="70">
        <v>7.52</v>
      </c>
      <c r="K9" s="70">
        <v>-9.16</v>
      </c>
      <c r="L9" s="70">
        <v>5.07</v>
      </c>
      <c r="M9" s="70">
        <v>-5.86</v>
      </c>
      <c r="N9" s="53"/>
      <c r="O9" s="68" t="s">
        <v>7</v>
      </c>
      <c r="P9" s="69"/>
      <c r="Q9" s="70">
        <v>205.7</v>
      </c>
      <c r="R9" s="70">
        <v>32.9</v>
      </c>
      <c r="S9" s="70">
        <v>40.536999999999999</v>
      </c>
      <c r="T9" s="70">
        <v>29.38</v>
      </c>
      <c r="U9" s="70">
        <v>4.49</v>
      </c>
      <c r="V9" s="70">
        <v>220.41</v>
      </c>
      <c r="W9" s="70">
        <v>96.53</v>
      </c>
      <c r="X9" s="70">
        <v>95.85</v>
      </c>
      <c r="AA9" s="123"/>
    </row>
    <row r="10" spans="1:27" x14ac:dyDescent="0.25">
      <c r="A10" s="79" t="s">
        <v>136</v>
      </c>
      <c r="B10" s="87"/>
      <c r="C10" s="88">
        <v>24116.3</v>
      </c>
      <c r="D10" s="88">
        <v>42768.2</v>
      </c>
      <c r="E10" s="88"/>
      <c r="F10" s="88"/>
      <c r="G10" s="88"/>
      <c r="H10" s="70">
        <v>0</v>
      </c>
      <c r="I10" s="70">
        <v>10.67</v>
      </c>
      <c r="J10" s="70">
        <v>11.85</v>
      </c>
      <c r="K10" s="70">
        <v>25.81</v>
      </c>
      <c r="L10" s="70">
        <v>79.78</v>
      </c>
      <c r="M10" s="70">
        <v>54.29</v>
      </c>
      <c r="N10" s="54"/>
      <c r="O10" s="71" t="s">
        <v>147</v>
      </c>
      <c r="P10" s="72"/>
      <c r="Q10" s="73">
        <f t="shared" ref="Q10:R10" si="4">SUM(Q8:Q9)</f>
        <v>224.5</v>
      </c>
      <c r="R10" s="73">
        <f t="shared" si="4"/>
        <v>32.9</v>
      </c>
      <c r="S10" s="73">
        <f t="shared" ref="S10:X10" si="5">SUM(S8:S9)</f>
        <v>76.343999999999994</v>
      </c>
      <c r="T10" s="73">
        <f t="shared" si="5"/>
        <v>54.81</v>
      </c>
      <c r="U10" s="73">
        <f t="shared" si="5"/>
        <v>32.86</v>
      </c>
      <c r="V10" s="73">
        <f t="shared" si="5"/>
        <v>289.05</v>
      </c>
      <c r="W10" s="73">
        <f t="shared" si="5"/>
        <v>319.11</v>
      </c>
      <c r="X10" s="73">
        <f t="shared" si="5"/>
        <v>317.84000000000003</v>
      </c>
      <c r="AA10" s="125"/>
    </row>
    <row r="11" spans="1:27" x14ac:dyDescent="0.25">
      <c r="A11" s="79" t="s">
        <v>36</v>
      </c>
      <c r="B11" s="87"/>
      <c r="C11" s="88">
        <v>324.5</v>
      </c>
      <c r="D11" s="88">
        <v>331.1</v>
      </c>
      <c r="E11" s="88"/>
      <c r="F11" s="88"/>
      <c r="G11" s="88"/>
      <c r="H11" s="70">
        <v>46.68</v>
      </c>
      <c r="I11" s="70">
        <v>47.21</v>
      </c>
      <c r="J11" s="70">
        <v>47.49</v>
      </c>
      <c r="K11" s="70">
        <v>50.75</v>
      </c>
      <c r="L11" s="70">
        <v>64.510000000000005</v>
      </c>
      <c r="M11" s="70">
        <v>59.56</v>
      </c>
      <c r="N11" s="53"/>
      <c r="O11" s="74"/>
      <c r="P11" s="75"/>
      <c r="Q11" s="76"/>
      <c r="R11" s="76"/>
      <c r="S11" s="76"/>
      <c r="T11" s="76"/>
      <c r="U11" s="70"/>
      <c r="V11" s="70"/>
      <c r="W11" s="70"/>
      <c r="X11" s="70"/>
    </row>
    <row r="12" spans="1:27" x14ac:dyDescent="0.25">
      <c r="A12" s="79" t="s">
        <v>37</v>
      </c>
      <c r="B12" s="69"/>
      <c r="C12" s="70">
        <f>727.9+39.9</f>
        <v>767.8</v>
      </c>
      <c r="D12" s="70">
        <f>704.3+14.4</f>
        <v>718.69999999999993</v>
      </c>
      <c r="E12" s="70"/>
      <c r="F12" s="70"/>
      <c r="G12" s="70"/>
      <c r="H12" s="70">
        <v>41.67</v>
      </c>
      <c r="I12" s="70">
        <v>41</v>
      </c>
      <c r="J12" s="70">
        <v>35.72</v>
      </c>
      <c r="K12" s="70">
        <v>41.05</v>
      </c>
      <c r="L12" s="70">
        <v>62.47</v>
      </c>
      <c r="M12" s="70">
        <v>44.63</v>
      </c>
      <c r="N12" s="52"/>
      <c r="O12" s="71" t="s">
        <v>142</v>
      </c>
      <c r="P12" s="72"/>
      <c r="Q12" s="73">
        <f t="shared" ref="Q12:R12" si="6">Q6+Q7+Q8+Q54</f>
        <v>707.80000000000007</v>
      </c>
      <c r="R12" s="73">
        <f t="shared" si="6"/>
        <v>821.90000000000009</v>
      </c>
      <c r="S12" s="73">
        <f>S57-S47</f>
        <v>258.81400000000008</v>
      </c>
      <c r="T12" s="73">
        <f t="shared" ref="T12:X12" si="7">T57-T47</f>
        <v>249.42699999999999</v>
      </c>
      <c r="U12" s="73">
        <f t="shared" si="7"/>
        <v>265.89600000000007</v>
      </c>
      <c r="V12" s="73">
        <f t="shared" si="7"/>
        <v>342.10600000000005</v>
      </c>
      <c r="W12" s="73">
        <f t="shared" si="7"/>
        <v>562.29</v>
      </c>
      <c r="X12" s="73">
        <f t="shared" si="7"/>
        <v>618.35200000000009</v>
      </c>
    </row>
    <row r="13" spans="1:27" x14ac:dyDescent="0.25">
      <c r="A13" s="71" t="s">
        <v>38</v>
      </c>
      <c r="B13" s="72"/>
      <c r="C13" s="73">
        <f t="shared" ref="C13:M13" si="8">C4-SUM(C8:C12)</f>
        <v>125.60000000000218</v>
      </c>
      <c r="D13" s="73">
        <f t="shared" si="8"/>
        <v>233.30000000000291</v>
      </c>
      <c r="E13" s="73"/>
      <c r="F13" s="73"/>
      <c r="G13" s="73"/>
      <c r="H13" s="73">
        <f t="shared" si="8"/>
        <v>51.069999999999993</v>
      </c>
      <c r="I13" s="73">
        <f t="shared" si="8"/>
        <v>31.350000000000023</v>
      </c>
      <c r="J13" s="73">
        <f>J4-SUM(J8:J12)</f>
        <v>28.800000000000011</v>
      </c>
      <c r="K13" s="73">
        <f t="shared" si="8"/>
        <v>48.629999999999995</v>
      </c>
      <c r="L13" s="73">
        <f t="shared" si="8"/>
        <v>80.779999999999973</v>
      </c>
      <c r="M13" s="73">
        <f t="shared" si="8"/>
        <v>59.54000000000002</v>
      </c>
      <c r="N13" s="55"/>
      <c r="O13" s="71" t="s">
        <v>142</v>
      </c>
      <c r="P13" s="72"/>
      <c r="Q13" s="73">
        <f t="shared" ref="Q13:R13" si="9">Q56-Q47-Q9</f>
        <v>707.8</v>
      </c>
      <c r="R13" s="73">
        <f t="shared" si="9"/>
        <v>-32.9</v>
      </c>
      <c r="S13" s="73">
        <f>S12</f>
        <v>258.81400000000008</v>
      </c>
      <c r="T13" s="73">
        <f t="shared" ref="T13:X13" si="10">T12</f>
        <v>249.42699999999999</v>
      </c>
      <c r="U13" s="73">
        <f t="shared" si="10"/>
        <v>265.89600000000007</v>
      </c>
      <c r="V13" s="73">
        <f t="shared" si="10"/>
        <v>342.10600000000005</v>
      </c>
      <c r="W13" s="73">
        <f t="shared" si="10"/>
        <v>562.29</v>
      </c>
      <c r="X13" s="73">
        <f t="shared" si="10"/>
        <v>618.35200000000009</v>
      </c>
    </row>
    <row r="14" spans="1:27" x14ac:dyDescent="0.25">
      <c r="A14" s="83" t="s">
        <v>39</v>
      </c>
      <c r="B14" s="84"/>
      <c r="C14" s="84">
        <f t="shared" ref="C14:M14" si="11">C13/C4</f>
        <v>4.9699468579727756E-3</v>
      </c>
      <c r="D14" s="84">
        <f t="shared" si="11"/>
        <v>5.5781102806509849E-3</v>
      </c>
      <c r="E14" s="84"/>
      <c r="F14" s="84"/>
      <c r="G14" s="84"/>
      <c r="H14" s="136">
        <f t="shared" si="11"/>
        <v>0.11864328028807061</v>
      </c>
      <c r="I14" s="136">
        <f t="shared" si="11"/>
        <v>9.3359142346634963E-2</v>
      </c>
      <c r="J14" s="136">
        <f t="shared" si="11"/>
        <v>9.5770151636073456E-2</v>
      </c>
      <c r="K14" s="136">
        <f t="shared" si="11"/>
        <v>0.11488848988848989</v>
      </c>
      <c r="L14" s="137">
        <f t="shared" si="11"/>
        <v>0.14089371053824951</v>
      </c>
      <c r="M14" s="156">
        <f t="shared" si="11"/>
        <v>0.13177522519531687</v>
      </c>
      <c r="N14" s="56"/>
      <c r="O14" s="68"/>
      <c r="P14" s="69"/>
      <c r="Q14" s="70"/>
      <c r="R14" s="70"/>
      <c r="S14" s="70"/>
      <c r="T14" s="70"/>
      <c r="U14" s="70"/>
      <c r="V14" s="70"/>
      <c r="W14" s="70"/>
      <c r="X14" s="70"/>
    </row>
    <row r="15" spans="1:27" x14ac:dyDescent="0.25">
      <c r="A15" s="83" t="s">
        <v>32</v>
      </c>
      <c r="B15" s="84"/>
      <c r="C15" s="84"/>
      <c r="D15" s="84">
        <f t="shared" ref="D15" si="12">D14/C14-1</f>
        <v>0.12236819428010492</v>
      </c>
      <c r="E15" s="84"/>
      <c r="F15" s="84"/>
      <c r="G15" s="84"/>
      <c r="H15" s="84">
        <f t="shared" ref="H15" si="13">H14/D14-1</f>
        <v>20.269439706061984</v>
      </c>
      <c r="I15" s="110">
        <f>I13/H13-1</f>
        <v>-0.38613667515175198</v>
      </c>
      <c r="J15" s="110">
        <f>J13/I13-1</f>
        <v>-8.13397129186606E-2</v>
      </c>
      <c r="K15" s="110">
        <f>K13/J13-1</f>
        <v>0.68854166666666594</v>
      </c>
      <c r="L15" s="114">
        <f>L13/K13-1</f>
        <v>0.66111453835081191</v>
      </c>
      <c r="M15" s="110"/>
      <c r="N15" s="51"/>
      <c r="O15" s="71" t="s">
        <v>8</v>
      </c>
      <c r="P15" s="72"/>
      <c r="Q15" s="73"/>
      <c r="R15" s="73"/>
      <c r="S15" s="73"/>
      <c r="T15" s="73"/>
      <c r="U15" s="73"/>
      <c r="V15" s="73"/>
      <c r="W15" s="73"/>
      <c r="X15" s="73"/>
    </row>
    <row r="16" spans="1:27" x14ac:dyDescent="0.25">
      <c r="A16" s="83" t="s">
        <v>33</v>
      </c>
      <c r="B16" s="89"/>
      <c r="C16" s="90"/>
      <c r="D16" s="90"/>
      <c r="E16" s="90"/>
      <c r="F16" s="90"/>
      <c r="G16" s="90"/>
      <c r="H16" s="84"/>
      <c r="I16" s="110">
        <f>((I13/C13)^(1/3)-1)</f>
        <v>-0.37037402664227759</v>
      </c>
      <c r="J16" s="110">
        <f>((J13/D13)^(1/3)-1)</f>
        <v>-0.50208036839244885</v>
      </c>
      <c r="K16" s="110">
        <f>((K13/H13)^(1/3)-1)</f>
        <v>-1.618644064408914E-2</v>
      </c>
      <c r="L16" s="114">
        <f>((L13/I13)^(1/3)-1)</f>
        <v>0.37095153203806897</v>
      </c>
      <c r="M16" s="110"/>
      <c r="N16" s="51"/>
      <c r="O16" s="77" t="s">
        <v>9</v>
      </c>
      <c r="P16" s="69"/>
      <c r="Q16" s="70"/>
      <c r="R16" s="70"/>
      <c r="S16" s="70"/>
      <c r="T16" s="70"/>
      <c r="U16" s="70"/>
      <c r="V16" s="70"/>
      <c r="W16" s="70"/>
      <c r="X16" s="70"/>
    </row>
    <row r="17" spans="1:27" x14ac:dyDescent="0.25">
      <c r="A17" s="68" t="s">
        <v>40</v>
      </c>
      <c r="B17" s="69"/>
      <c r="C17" s="70">
        <v>30.8</v>
      </c>
      <c r="D17" s="70">
        <v>22.1</v>
      </c>
      <c r="E17" s="70"/>
      <c r="F17" s="70"/>
      <c r="G17" s="70"/>
      <c r="H17" s="70">
        <v>5.3</v>
      </c>
      <c r="I17" s="70">
        <v>5</v>
      </c>
      <c r="J17" s="70">
        <v>6.75</v>
      </c>
      <c r="K17" s="70">
        <v>16.3</v>
      </c>
      <c r="L17" s="70">
        <v>20.96</v>
      </c>
      <c r="M17" s="70">
        <v>14</v>
      </c>
      <c r="N17" s="52"/>
      <c r="O17" s="68" t="s">
        <v>10</v>
      </c>
      <c r="P17" s="69"/>
      <c r="Q17" s="70">
        <v>137.80000000000001</v>
      </c>
      <c r="R17" s="70">
        <v>99.3</v>
      </c>
      <c r="S17" s="70">
        <v>75.001000000000005</v>
      </c>
      <c r="T17" s="70">
        <v>69.36</v>
      </c>
      <c r="U17" s="70">
        <v>62.77</v>
      </c>
      <c r="V17" s="70">
        <v>74.7</v>
      </c>
      <c r="W17" s="70">
        <v>62.42</v>
      </c>
      <c r="X17" s="70">
        <v>65.75</v>
      </c>
    </row>
    <row r="18" spans="1:27" x14ac:dyDescent="0.25">
      <c r="A18" s="68" t="s">
        <v>41</v>
      </c>
      <c r="B18" s="69"/>
      <c r="C18" s="70">
        <v>60.6</v>
      </c>
      <c r="D18" s="70">
        <v>46.1</v>
      </c>
      <c r="E18" s="70"/>
      <c r="F18" s="70"/>
      <c r="G18" s="70"/>
      <c r="H18" s="70">
        <v>10.75</v>
      </c>
      <c r="I18" s="70">
        <v>11.26</v>
      </c>
      <c r="J18" s="70">
        <v>11.17</v>
      </c>
      <c r="K18" s="70">
        <v>10.69</v>
      </c>
      <c r="L18" s="70">
        <v>11.9</v>
      </c>
      <c r="M18" s="70">
        <v>9.32</v>
      </c>
      <c r="N18" s="52"/>
      <c r="O18" s="68" t="s">
        <v>138</v>
      </c>
      <c r="P18" s="69"/>
      <c r="Q18" s="70"/>
      <c r="R18" s="70"/>
      <c r="S18" s="70">
        <v>0</v>
      </c>
      <c r="T18" s="70">
        <v>0</v>
      </c>
      <c r="U18" s="70">
        <v>0</v>
      </c>
      <c r="V18" s="70">
        <v>7.4</v>
      </c>
      <c r="W18" s="70">
        <v>7.4</v>
      </c>
      <c r="X18" s="70">
        <v>7.4</v>
      </c>
    </row>
    <row r="19" spans="1:27" x14ac:dyDescent="0.25">
      <c r="A19" s="68" t="s">
        <v>50</v>
      </c>
      <c r="B19" s="69"/>
      <c r="C19" s="70">
        <v>28.1</v>
      </c>
      <c r="D19" s="70">
        <v>14.2</v>
      </c>
      <c r="E19" s="70"/>
      <c r="F19" s="70"/>
      <c r="G19" s="70"/>
      <c r="H19" s="70">
        <v>9.9600000000000009</v>
      </c>
      <c r="I19" s="70">
        <v>8.44</v>
      </c>
      <c r="J19" s="70">
        <v>5.82</v>
      </c>
      <c r="K19" s="70">
        <v>6.35</v>
      </c>
      <c r="L19" s="70">
        <v>10.45</v>
      </c>
      <c r="M19" s="70">
        <v>7.94</v>
      </c>
      <c r="N19" s="52"/>
      <c r="O19" s="68" t="s">
        <v>11</v>
      </c>
      <c r="P19" s="69"/>
      <c r="Q19" s="70">
        <v>0</v>
      </c>
      <c r="R19" s="70">
        <v>1.1000000000000001</v>
      </c>
      <c r="S19" s="70">
        <v>0</v>
      </c>
      <c r="T19" s="70">
        <v>0.54</v>
      </c>
      <c r="U19" s="70">
        <v>7</v>
      </c>
      <c r="V19" s="70">
        <v>203.79</v>
      </c>
      <c r="W19" s="70">
        <v>243.67</v>
      </c>
      <c r="X19" s="70">
        <v>252.55</v>
      </c>
    </row>
    <row r="20" spans="1:27" x14ac:dyDescent="0.25">
      <c r="A20" s="68" t="s">
        <v>140</v>
      </c>
      <c r="B20" s="69"/>
      <c r="C20" s="70">
        <v>0</v>
      </c>
      <c r="D20" s="70">
        <v>36.9</v>
      </c>
      <c r="E20" s="70"/>
      <c r="F20" s="70"/>
      <c r="G20" s="70"/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/>
      <c r="N20" s="52"/>
      <c r="O20" s="68" t="s">
        <v>137</v>
      </c>
      <c r="P20" s="69"/>
      <c r="Q20" s="70">
        <v>0</v>
      </c>
      <c r="R20" s="70">
        <v>0</v>
      </c>
      <c r="S20" s="70">
        <v>0</v>
      </c>
      <c r="T20" s="70">
        <v>0.66300000000000003</v>
      </c>
      <c r="U20" s="70">
        <v>0</v>
      </c>
      <c r="V20" s="70">
        <v>2.95</v>
      </c>
      <c r="W20" s="70">
        <v>2.21</v>
      </c>
      <c r="X20" s="70">
        <v>1.8440000000000001</v>
      </c>
    </row>
    <row r="21" spans="1:27" x14ac:dyDescent="0.25">
      <c r="A21" s="91" t="s">
        <v>154</v>
      </c>
      <c r="B21" s="92"/>
      <c r="C21" s="93">
        <f t="shared" ref="C21:J21" si="14">C13+C17+C20-SUM(C18:C19)</f>
        <v>67.700000000002191</v>
      </c>
      <c r="D21" s="93">
        <f t="shared" si="14"/>
        <v>232.0000000000029</v>
      </c>
      <c r="E21" s="93"/>
      <c r="F21" s="93"/>
      <c r="G21" s="93"/>
      <c r="H21" s="93">
        <f>H13+H17+H20-SUM(H18:H19)</f>
        <v>35.659999999999989</v>
      </c>
      <c r="I21" s="93">
        <f>I13+I17+I20-SUM(I18:I19)</f>
        <v>16.650000000000023</v>
      </c>
      <c r="J21" s="93">
        <f t="shared" si="14"/>
        <v>18.560000000000009</v>
      </c>
      <c r="K21" s="93">
        <f>K13+K17+K20-SUM(K18:K19)</f>
        <v>47.889999999999993</v>
      </c>
      <c r="L21" s="140">
        <f>L13+L17+L20-SUM(L18:L19)</f>
        <v>79.389999999999986</v>
      </c>
      <c r="M21" s="140">
        <f>M13+M17+M20-SUM(M18:M19)</f>
        <v>56.280000000000015</v>
      </c>
      <c r="N21" s="52"/>
      <c r="O21" s="78" t="s">
        <v>12</v>
      </c>
      <c r="P21" s="69"/>
      <c r="Q21" s="70"/>
      <c r="R21" s="70"/>
      <c r="S21" s="70"/>
      <c r="T21" s="70"/>
      <c r="U21" s="70"/>
      <c r="V21" s="70"/>
      <c r="W21" s="70"/>
      <c r="X21" s="70"/>
    </row>
    <row r="22" spans="1:27" x14ac:dyDescent="0.25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113"/>
      <c r="M22" s="70"/>
      <c r="N22" s="52"/>
      <c r="O22" s="79" t="s">
        <v>16</v>
      </c>
      <c r="P22" s="69"/>
      <c r="Q22" s="70"/>
      <c r="R22" s="70"/>
      <c r="S22" s="70"/>
      <c r="T22" s="70">
        <v>0</v>
      </c>
      <c r="U22" s="70">
        <v>0</v>
      </c>
      <c r="V22" s="70">
        <v>0</v>
      </c>
      <c r="W22" s="70">
        <v>0</v>
      </c>
      <c r="X22" s="70">
        <v>0</v>
      </c>
    </row>
    <row r="23" spans="1:27" x14ac:dyDescent="0.25">
      <c r="A23" s="68" t="s">
        <v>155</v>
      </c>
      <c r="B23" s="69"/>
      <c r="C23" s="70"/>
      <c r="D23" s="70"/>
      <c r="E23" s="70"/>
      <c r="F23" s="70"/>
      <c r="G23" s="70"/>
      <c r="H23" s="141">
        <v>0</v>
      </c>
      <c r="I23" s="141">
        <v>0</v>
      </c>
      <c r="J23" s="141">
        <v>0</v>
      </c>
      <c r="K23" s="141">
        <v>10.93</v>
      </c>
      <c r="L23" s="142">
        <v>0</v>
      </c>
      <c r="M23" s="141">
        <v>0</v>
      </c>
      <c r="N23" s="57"/>
      <c r="O23" s="79" t="s">
        <v>156</v>
      </c>
      <c r="P23" s="69"/>
      <c r="Q23" s="70">
        <v>46.7</v>
      </c>
      <c r="R23" s="70">
        <v>14.5</v>
      </c>
      <c r="S23" s="70">
        <v>4.476</v>
      </c>
      <c r="T23" s="70">
        <v>4.53</v>
      </c>
      <c r="U23" s="70">
        <v>6.01</v>
      </c>
      <c r="V23" s="70">
        <v>4.05</v>
      </c>
      <c r="W23" s="70">
        <v>3</v>
      </c>
      <c r="X23" s="70">
        <v>3.036</v>
      </c>
    </row>
    <row r="24" spans="1:27" x14ac:dyDescent="0.25">
      <c r="A24" s="68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113"/>
      <c r="M24" s="70"/>
      <c r="N24" s="58"/>
      <c r="P24" s="69"/>
      <c r="Q24" s="70">
        <v>279.8</v>
      </c>
      <c r="R24" s="70">
        <v>267</v>
      </c>
      <c r="S24" s="70"/>
      <c r="T24" s="70"/>
      <c r="U24" s="70"/>
      <c r="V24" s="80"/>
      <c r="W24" s="80"/>
      <c r="X24" s="80"/>
      <c r="Y24" s="122"/>
    </row>
    <row r="25" spans="1:27" x14ac:dyDescent="0.25">
      <c r="A25" s="71" t="s">
        <v>42</v>
      </c>
      <c r="B25" s="72"/>
      <c r="C25" s="73">
        <f t="shared" ref="C25:D25" si="15">C17+C21+C24-SUM(C22:C23)</f>
        <v>98.500000000002188</v>
      </c>
      <c r="D25" s="73">
        <f t="shared" si="15"/>
        <v>254.10000000000289</v>
      </c>
      <c r="E25" s="73"/>
      <c r="F25" s="73"/>
      <c r="G25" s="73"/>
      <c r="H25" s="73">
        <f>H21-H23</f>
        <v>35.659999999999989</v>
      </c>
      <c r="I25" s="73">
        <f>I21-I23</f>
        <v>16.650000000000023</v>
      </c>
      <c r="J25" s="73">
        <f t="shared" ref="J25:M25" si="16">J21-J23</f>
        <v>18.560000000000009</v>
      </c>
      <c r="K25" s="73">
        <f t="shared" si="16"/>
        <v>36.959999999999994</v>
      </c>
      <c r="L25" s="73">
        <f t="shared" si="16"/>
        <v>79.389999999999986</v>
      </c>
      <c r="M25" s="73">
        <f t="shared" si="16"/>
        <v>56.280000000000015</v>
      </c>
      <c r="N25" s="59"/>
      <c r="O25" s="81" t="s">
        <v>9</v>
      </c>
      <c r="P25" s="72"/>
      <c r="Q25" s="73">
        <f t="shared" ref="Q25:X25" si="17">SUM(Q17:Q24)</f>
        <v>464.3</v>
      </c>
      <c r="R25" s="73">
        <f t="shared" si="17"/>
        <v>381.9</v>
      </c>
      <c r="S25" s="73">
        <f t="shared" si="17"/>
        <v>79.477000000000004</v>
      </c>
      <c r="T25" s="73">
        <f t="shared" si="17"/>
        <v>75.093000000000004</v>
      </c>
      <c r="U25" s="73">
        <f t="shared" si="17"/>
        <v>75.780000000000015</v>
      </c>
      <c r="V25" s="73">
        <f t="shared" si="17"/>
        <v>292.89</v>
      </c>
      <c r="W25" s="73">
        <f t="shared" si="17"/>
        <v>318.7</v>
      </c>
      <c r="X25" s="73">
        <f t="shared" si="17"/>
        <v>330.58000000000004</v>
      </c>
    </row>
    <row r="26" spans="1:27" x14ac:dyDescent="0.25">
      <c r="A26" s="68" t="s">
        <v>43</v>
      </c>
      <c r="B26" s="69"/>
      <c r="C26" s="70">
        <v>24</v>
      </c>
      <c r="D26" s="70">
        <v>82</v>
      </c>
      <c r="E26" s="70"/>
      <c r="F26" s="70"/>
      <c r="G26" s="70"/>
      <c r="H26" s="141">
        <v>9.64</v>
      </c>
      <c r="I26" s="141">
        <v>2.46</v>
      </c>
      <c r="J26" s="141">
        <v>5.25</v>
      </c>
      <c r="K26" s="141">
        <v>8.82</v>
      </c>
      <c r="L26" s="142">
        <v>19.670000000000002</v>
      </c>
      <c r="M26" s="141">
        <v>13.4</v>
      </c>
      <c r="N26" s="59"/>
      <c r="O26" s="77" t="s">
        <v>13</v>
      </c>
      <c r="P26" s="75"/>
      <c r="Q26" s="76"/>
      <c r="R26" s="76"/>
      <c r="S26" s="131"/>
      <c r="T26" s="131"/>
      <c r="U26" s="80"/>
      <c r="V26" s="80"/>
      <c r="W26" s="80"/>
      <c r="X26" s="80"/>
      <c r="Y26" s="122"/>
      <c r="Z26" s="122"/>
      <c r="AA26" s="122"/>
    </row>
    <row r="27" spans="1:27" x14ac:dyDescent="0.25">
      <c r="A27" s="83" t="s">
        <v>44</v>
      </c>
      <c r="B27" s="84"/>
      <c r="C27" s="84">
        <f>C26/C21</f>
        <v>0.35450516986704911</v>
      </c>
      <c r="D27" s="84">
        <f>D26/D21</f>
        <v>0.35344827586206456</v>
      </c>
      <c r="E27" s="84"/>
      <c r="F27" s="84"/>
      <c r="G27" s="84"/>
      <c r="H27" s="136">
        <f>H26/H25</f>
        <v>0.27033090297251833</v>
      </c>
      <c r="I27" s="136">
        <f t="shared" ref="I27:M27" si="18">I26/I25</f>
        <v>0.14774774774774754</v>
      </c>
      <c r="J27" s="136">
        <f t="shared" si="18"/>
        <v>0.2828663793103447</v>
      </c>
      <c r="K27" s="136">
        <f t="shared" si="18"/>
        <v>0.23863636363636367</v>
      </c>
      <c r="L27" s="136">
        <f t="shared" si="18"/>
        <v>0.24776420204055932</v>
      </c>
      <c r="M27" s="136">
        <f t="shared" si="18"/>
        <v>0.23809523809523803</v>
      </c>
      <c r="N27" s="57"/>
      <c r="O27" s="68" t="s">
        <v>14</v>
      </c>
      <c r="P27" s="69"/>
      <c r="Q27" s="70"/>
      <c r="R27" s="70"/>
      <c r="S27" s="70">
        <v>126.83499999999999</v>
      </c>
      <c r="T27" s="70">
        <v>133.52000000000001</v>
      </c>
      <c r="U27" s="70">
        <v>129.52000000000001</v>
      </c>
      <c r="V27" s="70">
        <v>162.75</v>
      </c>
      <c r="W27" s="70">
        <v>182.99</v>
      </c>
      <c r="X27" s="70">
        <v>182.14</v>
      </c>
    </row>
    <row r="28" spans="1:27" x14ac:dyDescent="0.25">
      <c r="A28" s="83"/>
      <c r="B28" s="84"/>
      <c r="C28" s="84"/>
      <c r="D28" s="84"/>
      <c r="E28" s="84"/>
      <c r="F28" s="84"/>
      <c r="G28" s="84"/>
      <c r="H28" s="136"/>
      <c r="I28" s="136"/>
      <c r="J28" s="136"/>
      <c r="K28" s="136"/>
      <c r="L28" s="137"/>
      <c r="M28" s="136"/>
      <c r="N28" s="60"/>
      <c r="O28" s="78" t="s">
        <v>12</v>
      </c>
      <c r="P28" s="69"/>
      <c r="Q28" s="70">
        <v>1532.7</v>
      </c>
      <c r="R28" s="70">
        <v>4854</v>
      </c>
      <c r="S28" s="70"/>
      <c r="T28" s="70"/>
      <c r="U28" s="70"/>
      <c r="V28" s="70"/>
      <c r="W28" s="70"/>
      <c r="X28" s="70"/>
    </row>
    <row r="29" spans="1:27" x14ac:dyDescent="0.25">
      <c r="A29" s="71" t="s">
        <v>88</v>
      </c>
      <c r="B29" s="72"/>
      <c r="C29" s="73">
        <f>C21-C26</f>
        <v>43.700000000002191</v>
      </c>
      <c r="D29" s="73">
        <f>D21-D26</f>
        <v>150.0000000000029</v>
      </c>
      <c r="E29" s="73"/>
      <c r="F29" s="73"/>
      <c r="G29" s="73"/>
      <c r="H29" s="73">
        <f>H21-H26</f>
        <v>26.019999999999989</v>
      </c>
      <c r="I29" s="73">
        <f>I25-I26</f>
        <v>14.190000000000023</v>
      </c>
      <c r="J29" s="73">
        <f t="shared" ref="J29:M29" si="19">J25-J26</f>
        <v>13.310000000000009</v>
      </c>
      <c r="K29" s="73">
        <f t="shared" si="19"/>
        <v>28.139999999999993</v>
      </c>
      <c r="L29" s="73">
        <f t="shared" si="19"/>
        <v>59.719999999999985</v>
      </c>
      <c r="M29" s="73">
        <f t="shared" si="19"/>
        <v>42.880000000000017</v>
      </c>
      <c r="N29" s="54"/>
      <c r="O29" s="79" t="s">
        <v>15</v>
      </c>
      <c r="P29" s="69"/>
      <c r="Q29" s="70">
        <v>0</v>
      </c>
      <c r="R29" s="70">
        <v>0</v>
      </c>
      <c r="S29" s="70">
        <v>141.99700000000001</v>
      </c>
      <c r="T29" s="70">
        <v>100.72</v>
      </c>
      <c r="U29" s="70">
        <v>112.74</v>
      </c>
      <c r="V29" s="70">
        <v>104.38</v>
      </c>
      <c r="W29" s="70">
        <v>164.51</v>
      </c>
      <c r="X29" s="70">
        <v>185.37</v>
      </c>
    </row>
    <row r="30" spans="1:27" x14ac:dyDescent="0.25">
      <c r="A30" s="91" t="s">
        <v>89</v>
      </c>
      <c r="B30" s="92"/>
      <c r="C30" s="92">
        <v>0</v>
      </c>
      <c r="D30" s="92">
        <v>0</v>
      </c>
      <c r="E30" s="92"/>
      <c r="F30" s="92"/>
      <c r="G30" s="92"/>
      <c r="H30" s="92">
        <v>0</v>
      </c>
      <c r="I30" s="92">
        <v>0</v>
      </c>
      <c r="J30" s="92">
        <v>0</v>
      </c>
      <c r="K30" s="94">
        <v>0</v>
      </c>
      <c r="L30" s="116">
        <v>0</v>
      </c>
      <c r="M30" s="94">
        <v>0</v>
      </c>
      <c r="N30" s="57"/>
      <c r="O30" s="79" t="s">
        <v>17</v>
      </c>
      <c r="P30" s="69"/>
      <c r="Q30" s="70">
        <v>1273.8</v>
      </c>
      <c r="R30" s="70">
        <v>4008.7</v>
      </c>
      <c r="S30" s="70">
        <v>0.151</v>
      </c>
      <c r="T30" s="70">
        <v>0.51</v>
      </c>
      <c r="U30" s="70">
        <v>0.02</v>
      </c>
      <c r="V30" s="70">
        <v>7.1999999999999995E-2</v>
      </c>
      <c r="W30" s="70">
        <v>0.17</v>
      </c>
      <c r="X30" s="70">
        <v>0.12</v>
      </c>
    </row>
    <row r="31" spans="1:27" x14ac:dyDescent="0.25">
      <c r="A31" s="68" t="s">
        <v>43</v>
      </c>
      <c r="B31" s="69"/>
      <c r="C31" s="69">
        <v>0</v>
      </c>
      <c r="D31" s="69">
        <v>0</v>
      </c>
      <c r="E31" s="69"/>
      <c r="F31" s="69"/>
      <c r="G31" s="69"/>
      <c r="H31" s="69">
        <v>0</v>
      </c>
      <c r="I31" s="69">
        <v>0</v>
      </c>
      <c r="J31" s="69">
        <v>0</v>
      </c>
      <c r="K31" s="95">
        <v>0</v>
      </c>
      <c r="L31" s="117">
        <v>0</v>
      </c>
      <c r="M31" s="95">
        <v>0</v>
      </c>
      <c r="N31" s="57"/>
      <c r="O31" s="79" t="s">
        <v>152</v>
      </c>
      <c r="P31" s="69"/>
      <c r="Q31" s="70">
        <v>133.9</v>
      </c>
      <c r="R31" s="70">
        <v>323.8</v>
      </c>
      <c r="S31" s="70">
        <v>6.3979999999999997</v>
      </c>
      <c r="T31" s="70">
        <v>1.484</v>
      </c>
      <c r="U31" s="70">
        <v>6.36</v>
      </c>
      <c r="V31" s="70">
        <v>8.7189999999999994</v>
      </c>
      <c r="W31" s="70">
        <v>10.91</v>
      </c>
      <c r="X31" s="70">
        <v>31.41</v>
      </c>
    </row>
    <row r="32" spans="1:27" x14ac:dyDescent="0.25">
      <c r="A32" s="71" t="s">
        <v>90</v>
      </c>
      <c r="B32" s="72"/>
      <c r="C32" s="72">
        <f t="shared" ref="C32:J32" si="20">C30-C31</f>
        <v>0</v>
      </c>
      <c r="D32" s="72">
        <f t="shared" si="20"/>
        <v>0</v>
      </c>
      <c r="E32" s="72"/>
      <c r="F32" s="72"/>
      <c r="G32" s="72"/>
      <c r="H32" s="72">
        <f t="shared" si="20"/>
        <v>0</v>
      </c>
      <c r="I32" s="72">
        <f t="shared" si="20"/>
        <v>0</v>
      </c>
      <c r="J32" s="72">
        <f t="shared" si="20"/>
        <v>0</v>
      </c>
      <c r="K32" s="72">
        <f>K30-K31</f>
        <v>0</v>
      </c>
      <c r="L32" s="72">
        <f>L30-L31</f>
        <v>0</v>
      </c>
      <c r="M32" s="72">
        <f>M30-M31</f>
        <v>0</v>
      </c>
      <c r="N32" s="56"/>
      <c r="O32" s="68" t="s">
        <v>153</v>
      </c>
      <c r="P32" s="69"/>
      <c r="Q32" s="70">
        <v>0</v>
      </c>
      <c r="R32" s="70">
        <v>72.400000000000006</v>
      </c>
      <c r="S32" s="70">
        <v>0</v>
      </c>
      <c r="T32" s="70">
        <v>0.44</v>
      </c>
      <c r="U32" s="70">
        <v>0</v>
      </c>
      <c r="V32" s="70">
        <v>1.0649999999999999</v>
      </c>
      <c r="W32" s="70">
        <v>0</v>
      </c>
      <c r="X32" s="70">
        <v>0</v>
      </c>
    </row>
    <row r="33" spans="1:24" x14ac:dyDescent="0.25">
      <c r="A33" s="71" t="s">
        <v>91</v>
      </c>
      <c r="B33" s="72"/>
      <c r="C33" s="73">
        <f t="shared" ref="C33:H33" si="21">C29+C32</f>
        <v>43.700000000002191</v>
      </c>
      <c r="D33" s="73">
        <f t="shared" si="21"/>
        <v>150.0000000000029</v>
      </c>
      <c r="E33" s="73"/>
      <c r="F33" s="73"/>
      <c r="G33" s="73"/>
      <c r="H33" s="73">
        <f t="shared" si="21"/>
        <v>26.019999999999989</v>
      </c>
      <c r="I33" s="73">
        <f>I29+I32</f>
        <v>14.190000000000023</v>
      </c>
      <c r="J33" s="73">
        <f>J29+J32</f>
        <v>13.310000000000009</v>
      </c>
      <c r="K33" s="73">
        <f>K29+K32</f>
        <v>28.139999999999993</v>
      </c>
      <c r="L33" s="73">
        <f>L29+L32</f>
        <v>59.719999999999985</v>
      </c>
      <c r="M33" s="73">
        <f>M29+M32</f>
        <v>42.880000000000017</v>
      </c>
      <c r="N33" s="56"/>
      <c r="O33" s="68" t="s">
        <v>18</v>
      </c>
      <c r="P33" s="69"/>
      <c r="Q33" s="70">
        <v>54.6</v>
      </c>
      <c r="R33" s="70">
        <v>63.5</v>
      </c>
      <c r="S33" s="70">
        <v>7.173</v>
      </c>
      <c r="T33" s="70">
        <v>6</v>
      </c>
      <c r="U33" s="70">
        <v>12.366</v>
      </c>
      <c r="V33" s="70">
        <v>95.43</v>
      </c>
      <c r="W33" s="70">
        <v>95</v>
      </c>
      <c r="X33" s="70">
        <v>90.97</v>
      </c>
    </row>
    <row r="34" spans="1:24" x14ac:dyDescent="0.25">
      <c r="A34" s="83" t="s">
        <v>45</v>
      </c>
      <c r="B34" s="84"/>
      <c r="C34" s="106">
        <f t="shared" ref="C34:M34" si="22">C33/C4</f>
        <v>1.7291932937373996E-3</v>
      </c>
      <c r="D34" s="106">
        <f t="shared" si="22"/>
        <v>3.5864403861879703E-3</v>
      </c>
      <c r="E34" s="106"/>
      <c r="F34" s="106"/>
      <c r="G34" s="106"/>
      <c r="H34" s="143">
        <f t="shared" si="22"/>
        <v>6.0448367986990333E-2</v>
      </c>
      <c r="I34" s="136">
        <f t="shared" si="22"/>
        <v>4.2257296009529551E-2</v>
      </c>
      <c r="J34" s="136">
        <f t="shared" si="22"/>
        <v>4.426044160681035E-2</v>
      </c>
      <c r="K34" s="136">
        <f t="shared" si="22"/>
        <v>6.6480816480816468E-2</v>
      </c>
      <c r="L34" s="137">
        <f t="shared" si="22"/>
        <v>0.10416157951651722</v>
      </c>
      <c r="M34" s="137">
        <f t="shared" si="22"/>
        <v>9.4902950224642055E-2</v>
      </c>
      <c r="N34" s="51"/>
      <c r="P34" s="69"/>
      <c r="Q34" s="70">
        <v>33.9</v>
      </c>
      <c r="R34" s="70">
        <v>311.3</v>
      </c>
      <c r="S34" s="70"/>
      <c r="T34" s="70"/>
      <c r="U34" s="70"/>
      <c r="V34" s="70"/>
      <c r="W34" s="70"/>
      <c r="X34" s="70"/>
    </row>
    <row r="35" spans="1:24" x14ac:dyDescent="0.25">
      <c r="A35" s="83" t="s">
        <v>32</v>
      </c>
      <c r="B35" s="84"/>
      <c r="C35" s="84"/>
      <c r="D35" s="84">
        <f t="shared" ref="D35" si="23">D34/C34-1</f>
        <v>1.0740540685514697</v>
      </c>
      <c r="E35" s="84"/>
      <c r="F35" s="84"/>
      <c r="G35" s="84"/>
      <c r="H35" s="84">
        <f>H34/D34-1</f>
        <v>15.854697549076214</v>
      </c>
      <c r="I35" s="110">
        <f>I29/H29-1</f>
        <v>-0.45465026902382677</v>
      </c>
      <c r="J35" s="110">
        <f>J29/I29-1</f>
        <v>-6.201550387596988E-2</v>
      </c>
      <c r="K35" s="110">
        <f>K29/J29-1</f>
        <v>1.1141998497370378</v>
      </c>
      <c r="L35" s="114">
        <f>L29/K29-1</f>
        <v>1.1222459132906892</v>
      </c>
      <c r="M35" s="110"/>
      <c r="N35" s="51"/>
      <c r="O35" s="81" t="s">
        <v>13</v>
      </c>
      <c r="P35" s="72"/>
      <c r="Q35" s="73">
        <f>SUM(Q28:Q34)</f>
        <v>3028.9</v>
      </c>
      <c r="R35" s="73">
        <f>SUM(R28:R34)</f>
        <v>9633.6999999999989</v>
      </c>
      <c r="S35" s="73">
        <f>SUM(S27:S34)</f>
        <v>282.55400000000003</v>
      </c>
      <c r="T35" s="73">
        <f>SUM(T27:T34)</f>
        <v>242.67400000000001</v>
      </c>
      <c r="U35" s="73">
        <f>SUM(U27:U34)</f>
        <v>261.00600000000003</v>
      </c>
      <c r="V35" s="73">
        <f>SUM(V27:V33)</f>
        <v>372.416</v>
      </c>
      <c r="W35" s="73">
        <f t="shared" ref="W35:X35" si="24">SUM(W27:W33)</f>
        <v>453.58000000000004</v>
      </c>
      <c r="X35" s="73">
        <f t="shared" si="24"/>
        <v>490.01</v>
      </c>
    </row>
    <row r="36" spans="1:24" x14ac:dyDescent="0.25">
      <c r="A36" s="83" t="s">
        <v>33</v>
      </c>
      <c r="B36" s="85"/>
      <c r="C36" s="86"/>
      <c r="D36" s="86"/>
      <c r="E36" s="86"/>
      <c r="F36" s="86"/>
      <c r="G36" s="86"/>
      <c r="H36" s="84"/>
      <c r="I36" s="110">
        <f>((I29/C29)^(1/3)-1)</f>
        <v>-0.3126673314802596</v>
      </c>
      <c r="J36" s="110">
        <f>((J29/D29)^(1/3)-1)</f>
        <v>-0.55397185365795343</v>
      </c>
      <c r="K36" s="110">
        <f>((K29/H29)^(1/3)-1)</f>
        <v>2.6452681552273427E-2</v>
      </c>
      <c r="L36" s="114">
        <f>((L29/I29)^(1/3)-1)</f>
        <v>0.61452881792537695</v>
      </c>
      <c r="M36" s="110"/>
      <c r="N36" s="52"/>
      <c r="O36" s="68"/>
      <c r="P36" s="69"/>
      <c r="Q36" s="70"/>
      <c r="R36" s="70"/>
      <c r="S36" s="70"/>
      <c r="T36" s="70"/>
      <c r="U36" s="70"/>
      <c r="V36" s="70"/>
      <c r="W36" s="70"/>
      <c r="X36" s="70"/>
    </row>
    <row r="37" spans="1:24" x14ac:dyDescent="0.25">
      <c r="A37" s="96"/>
      <c r="B37" s="97"/>
      <c r="C37" s="97"/>
      <c r="D37" s="97"/>
      <c r="E37" s="97"/>
      <c r="F37" s="97"/>
      <c r="G37" s="97"/>
      <c r="H37" s="98"/>
      <c r="I37" s="98"/>
      <c r="J37" s="98"/>
      <c r="K37" s="98"/>
      <c r="L37" s="118"/>
      <c r="M37" s="98"/>
      <c r="N37" s="57"/>
      <c r="O37" s="71" t="s">
        <v>92</v>
      </c>
      <c r="P37" s="72"/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</row>
    <row r="38" spans="1:24" x14ac:dyDescent="0.25">
      <c r="A38" s="68" t="s">
        <v>46</v>
      </c>
      <c r="B38" s="69"/>
      <c r="C38" s="70">
        <v>-3.3</v>
      </c>
      <c r="D38" s="70">
        <v>-2.1</v>
      </c>
      <c r="E38" s="70"/>
      <c r="F38" s="70"/>
      <c r="G38" s="70"/>
      <c r="H38" s="141">
        <v>3.3000000000000002E-2</v>
      </c>
      <c r="I38" s="141">
        <v>-0.53</v>
      </c>
      <c r="J38" s="141">
        <v>0.78</v>
      </c>
      <c r="K38" s="141">
        <v>-2.02</v>
      </c>
      <c r="L38" s="142">
        <v>-2.27</v>
      </c>
      <c r="M38" s="141">
        <v>-2.5</v>
      </c>
      <c r="N38" s="51"/>
      <c r="O38" s="68"/>
      <c r="P38" s="69"/>
      <c r="Q38" s="70"/>
      <c r="R38" s="70"/>
      <c r="S38" s="70"/>
      <c r="T38" s="70"/>
      <c r="U38" s="70"/>
      <c r="V38" s="70"/>
      <c r="W38" s="70"/>
      <c r="X38" s="70"/>
    </row>
    <row r="39" spans="1:24" x14ac:dyDescent="0.25">
      <c r="A39" s="74" t="s">
        <v>51</v>
      </c>
      <c r="B39" s="75"/>
      <c r="C39" s="76">
        <f t="shared" ref="C39:I39" si="25">C33+C38</f>
        <v>40.400000000002194</v>
      </c>
      <c r="D39" s="76">
        <f t="shared" si="25"/>
        <v>147.9000000000029</v>
      </c>
      <c r="E39" s="76"/>
      <c r="F39" s="76"/>
      <c r="G39" s="76"/>
      <c r="H39" s="138">
        <f t="shared" si="25"/>
        <v>26.05299999999999</v>
      </c>
      <c r="I39" s="138">
        <f t="shared" si="25"/>
        <v>13.660000000000023</v>
      </c>
      <c r="J39" s="138">
        <f>J33+J38</f>
        <v>14.090000000000009</v>
      </c>
      <c r="K39" s="138">
        <f>K33+K38</f>
        <v>26.119999999999994</v>
      </c>
      <c r="L39" s="139">
        <f>L33+L38</f>
        <v>57.449999999999982</v>
      </c>
      <c r="M39" s="139">
        <f>M33+M38</f>
        <v>40.380000000000017</v>
      </c>
      <c r="N39" s="51"/>
      <c r="O39" s="78" t="s">
        <v>19</v>
      </c>
      <c r="P39" s="69"/>
      <c r="Q39" s="70"/>
      <c r="R39" s="70"/>
      <c r="S39" s="70"/>
      <c r="T39" s="70"/>
      <c r="U39" s="70"/>
      <c r="V39" s="70"/>
      <c r="W39" s="70"/>
      <c r="X39" s="70"/>
    </row>
    <row r="40" spans="1:24" x14ac:dyDescent="0.25">
      <c r="A40" s="83" t="s">
        <v>32</v>
      </c>
      <c r="B40" s="84"/>
      <c r="C40" s="84"/>
      <c r="D40" s="84">
        <f t="shared" ref="D40" si="26">D39/C39-1</f>
        <v>2.6608910891087838</v>
      </c>
      <c r="E40" s="84"/>
      <c r="F40" s="84"/>
      <c r="G40" s="84"/>
      <c r="H40" s="84">
        <f>H39/D39-1</f>
        <v>-0.82384719405003737</v>
      </c>
      <c r="I40" s="84">
        <f>I39/H39-1</f>
        <v>-0.47568418224388642</v>
      </c>
      <c r="J40" s="84">
        <f>J39/I39-1</f>
        <v>3.1478770131770473E-2</v>
      </c>
      <c r="K40" s="84">
        <f>K39/J39-1</f>
        <v>0.85379701916252504</v>
      </c>
      <c r="L40" s="115">
        <f>L39/K39-1</f>
        <v>1.1994640122511484</v>
      </c>
      <c r="M40" s="84"/>
      <c r="N40" s="49"/>
      <c r="O40" s="68" t="s">
        <v>158</v>
      </c>
      <c r="P40" s="69"/>
      <c r="Q40" s="70"/>
      <c r="R40" s="70"/>
      <c r="S40" s="70" t="s">
        <v>160</v>
      </c>
      <c r="T40" s="70"/>
      <c r="U40" s="70"/>
      <c r="V40" s="70"/>
      <c r="W40" s="70"/>
      <c r="X40" s="70"/>
    </row>
    <row r="41" spans="1:24" x14ac:dyDescent="0.25">
      <c r="A41" s="83" t="s">
        <v>33</v>
      </c>
      <c r="B41" s="85"/>
      <c r="C41" s="85"/>
      <c r="D41" s="85"/>
      <c r="E41" s="85"/>
      <c r="F41" s="85"/>
      <c r="G41" s="85"/>
      <c r="H41" s="84"/>
      <c r="I41" s="84">
        <f>((I39/C39)^(1/3)-1)</f>
        <v>-0.30333641323188276</v>
      </c>
      <c r="J41" s="84">
        <f>((J39/D39)^(1/3)-1)</f>
        <v>-0.54328254876875004</v>
      </c>
      <c r="K41" s="84">
        <f>((K39/H39)^(1/3)-1)</f>
        <v>8.5649314489510964E-4</v>
      </c>
      <c r="L41" s="115">
        <f>((L39/I39)^(1/3)-1)</f>
        <v>0.6141594929274603</v>
      </c>
      <c r="M41" s="84"/>
      <c r="N41" s="49"/>
      <c r="O41" s="68" t="s">
        <v>157</v>
      </c>
      <c r="P41" s="69"/>
      <c r="Q41" s="70"/>
      <c r="R41" s="70"/>
      <c r="S41" s="70"/>
      <c r="T41" s="70">
        <v>0</v>
      </c>
      <c r="U41" s="70">
        <v>0</v>
      </c>
      <c r="V41" s="70">
        <v>0.65</v>
      </c>
      <c r="W41" s="70">
        <v>0.17</v>
      </c>
      <c r="X41" s="70">
        <v>0.115</v>
      </c>
    </row>
    <row r="42" spans="1:24" x14ac:dyDescent="0.25">
      <c r="A42" s="68" t="s">
        <v>47</v>
      </c>
      <c r="B42" s="69"/>
      <c r="C42" s="69"/>
      <c r="D42" s="69"/>
      <c r="E42" s="69"/>
      <c r="F42" s="69"/>
      <c r="G42" s="69"/>
      <c r="H42" s="69"/>
      <c r="I42" s="69"/>
      <c r="J42" s="69"/>
      <c r="K42" s="68"/>
      <c r="L42" s="119"/>
      <c r="M42" s="68"/>
      <c r="N42" s="49"/>
      <c r="O42" s="68" t="s">
        <v>20</v>
      </c>
      <c r="P42" s="69"/>
      <c r="Q42" s="70">
        <v>2802.7</v>
      </c>
      <c r="R42" s="70"/>
      <c r="S42" s="70">
        <v>50.939</v>
      </c>
      <c r="T42" s="70">
        <v>28.58</v>
      </c>
      <c r="U42" s="70">
        <v>53.56</v>
      </c>
      <c r="V42" s="70">
        <v>86.6</v>
      </c>
      <c r="W42" s="70">
        <v>93.12</v>
      </c>
      <c r="X42" s="70">
        <v>85.507000000000005</v>
      </c>
    </row>
    <row r="43" spans="1:24" x14ac:dyDescent="0.25">
      <c r="A43" s="79" t="s">
        <v>52</v>
      </c>
      <c r="B43" s="69"/>
      <c r="C43" s="69">
        <v>3.04</v>
      </c>
      <c r="D43" s="69">
        <v>8.68</v>
      </c>
      <c r="E43" s="69"/>
      <c r="F43" s="69"/>
      <c r="G43" s="69"/>
      <c r="H43" s="144">
        <v>3.84</v>
      </c>
      <c r="I43" s="144">
        <v>2.1</v>
      </c>
      <c r="J43" s="145">
        <v>1.97</v>
      </c>
      <c r="K43" s="144">
        <v>4.1500000000000004</v>
      </c>
      <c r="L43" s="146">
        <v>8.69</v>
      </c>
      <c r="M43" s="146">
        <v>6.19</v>
      </c>
      <c r="N43" s="51"/>
      <c r="O43" s="68" t="s">
        <v>26</v>
      </c>
      <c r="P43" s="69"/>
      <c r="Q43" s="70">
        <v>40.799999999999997</v>
      </c>
      <c r="R43" s="70"/>
      <c r="S43" s="70">
        <v>7.0519999999999996</v>
      </c>
      <c r="T43" s="70">
        <v>5.23</v>
      </c>
      <c r="U43" s="70">
        <v>7.62</v>
      </c>
      <c r="V43" s="70">
        <v>10.42</v>
      </c>
      <c r="W43" s="70">
        <v>10.19</v>
      </c>
      <c r="X43" s="70">
        <v>8.4019999999999992</v>
      </c>
    </row>
    <row r="44" spans="1:24" x14ac:dyDescent="0.25">
      <c r="A44" s="79" t="s">
        <v>53</v>
      </c>
      <c r="B44" s="69"/>
      <c r="C44" s="69">
        <v>3.02</v>
      </c>
      <c r="D44" s="69">
        <v>8.58</v>
      </c>
      <c r="E44" s="69"/>
      <c r="F44" s="69"/>
      <c r="G44" s="69"/>
      <c r="H44" s="144">
        <v>3.84</v>
      </c>
      <c r="I44" s="144">
        <v>2.1</v>
      </c>
      <c r="J44" s="145">
        <v>1.97</v>
      </c>
      <c r="K44" s="144">
        <v>4.1500000000000004</v>
      </c>
      <c r="L44" s="146">
        <v>8.69</v>
      </c>
      <c r="M44" s="146">
        <v>6.19</v>
      </c>
      <c r="N44" s="51"/>
      <c r="O44" s="68" t="s">
        <v>25</v>
      </c>
      <c r="P44" s="68"/>
      <c r="Q44" s="70">
        <v>35.200000000000003</v>
      </c>
      <c r="R44" s="70"/>
      <c r="S44" s="70">
        <v>1.7949999999999999</v>
      </c>
      <c r="T44" s="70">
        <v>1.94</v>
      </c>
      <c r="U44" s="70">
        <v>1.87</v>
      </c>
      <c r="V44" s="70">
        <v>1.83</v>
      </c>
      <c r="W44" s="70">
        <v>2.02</v>
      </c>
      <c r="X44" s="70">
        <v>3.8959999999999999</v>
      </c>
    </row>
    <row r="45" spans="1:24" x14ac:dyDescent="0.25">
      <c r="A45" s="83" t="s">
        <v>32</v>
      </c>
      <c r="B45" s="84"/>
      <c r="C45" s="84"/>
      <c r="D45" s="84">
        <f t="shared" ref="D45" si="27">D44/C44-1</f>
        <v>1.8410596026490067</v>
      </c>
      <c r="E45" s="84"/>
      <c r="F45" s="84"/>
      <c r="G45" s="84"/>
      <c r="H45" s="84">
        <f>H44/D44-1</f>
        <v>-0.5524475524475525</v>
      </c>
      <c r="I45" s="84">
        <f>I44/H44-1</f>
        <v>-0.453125</v>
      </c>
      <c r="J45" s="84">
        <f>J44/I44-1</f>
        <v>-6.1904761904761907E-2</v>
      </c>
      <c r="K45" s="84">
        <f>K44/J44-1</f>
        <v>1.106598984771574</v>
      </c>
      <c r="L45" s="115">
        <f>L44/K44-1</f>
        <v>1.0939759036144574</v>
      </c>
      <c r="M45" s="84"/>
      <c r="N45" s="49"/>
      <c r="O45" s="68" t="s">
        <v>21</v>
      </c>
      <c r="P45" s="69"/>
      <c r="Q45" s="70">
        <v>0</v>
      </c>
      <c r="R45" s="70"/>
      <c r="S45" s="70">
        <v>0.439</v>
      </c>
      <c r="T45" s="70">
        <v>0</v>
      </c>
      <c r="U45" s="70">
        <v>1.48</v>
      </c>
      <c r="V45" s="70">
        <v>0</v>
      </c>
      <c r="W45" s="70">
        <v>2.5299999999999998</v>
      </c>
      <c r="X45" s="70">
        <v>0.97899999999999998</v>
      </c>
    </row>
    <row r="46" spans="1:24" x14ac:dyDescent="0.25">
      <c r="A46" s="83" t="s">
        <v>33</v>
      </c>
      <c r="B46" s="85"/>
      <c r="C46" s="85"/>
      <c r="D46" s="85"/>
      <c r="E46" s="85"/>
      <c r="F46" s="85"/>
      <c r="G46" s="85"/>
      <c r="H46" s="84"/>
      <c r="I46" s="84">
        <f>((I44/C44)^(1/3)-1)</f>
        <v>-0.11406039405894441</v>
      </c>
      <c r="J46" s="84">
        <f>((J44/D44)^(1/3)-1)</f>
        <v>-0.38765950711011687</v>
      </c>
      <c r="K46" s="84">
        <f>((K44/H44)^(1/3)-1)</f>
        <v>2.6216415591065578E-2</v>
      </c>
      <c r="L46" s="115">
        <f>((L44/I44)^(1/3)-1)</f>
        <v>0.60546248038807482</v>
      </c>
      <c r="M46" s="84"/>
      <c r="N46" s="49"/>
      <c r="O46" s="68" t="s">
        <v>27</v>
      </c>
      <c r="P46" s="69"/>
      <c r="Q46" s="70">
        <v>42</v>
      </c>
      <c r="R46" s="70"/>
      <c r="S46" s="70">
        <v>2.4550000000000001</v>
      </c>
      <c r="T46" s="70">
        <v>3.21</v>
      </c>
      <c r="U46" s="70">
        <v>1.87</v>
      </c>
      <c r="V46" s="70">
        <v>3.94</v>
      </c>
      <c r="W46" s="70">
        <v>5.6</v>
      </c>
      <c r="X46" s="70">
        <v>7.6040000000000001</v>
      </c>
    </row>
    <row r="47" spans="1:24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109"/>
      <c r="L47"/>
      <c r="M47" s="68"/>
      <c r="N47" s="49"/>
      <c r="O47" s="71" t="s">
        <v>19</v>
      </c>
      <c r="P47" s="72"/>
      <c r="Q47" s="73">
        <f t="shared" ref="Q47" si="28">SUM(Q42:Q46)</f>
        <v>2920.7</v>
      </c>
      <c r="R47" s="73"/>
      <c r="S47" s="73">
        <f>SUM(S42:S46)+S9</f>
        <v>103.217</v>
      </c>
      <c r="T47" s="73">
        <f>SUM(T42:T46)+T9</f>
        <v>68.34</v>
      </c>
      <c r="U47" s="73">
        <f t="shared" ref="U47:X47" si="29">SUM(U42:U46)+U9</f>
        <v>70.89</v>
      </c>
      <c r="V47" s="73">
        <f t="shared" si="29"/>
        <v>323.2</v>
      </c>
      <c r="W47" s="73">
        <f t="shared" si="29"/>
        <v>209.99</v>
      </c>
      <c r="X47" s="73">
        <f t="shared" si="29"/>
        <v>202.238</v>
      </c>
    </row>
    <row r="48" spans="1:24" x14ac:dyDescent="0.25">
      <c r="A48" s="99" t="s">
        <v>54</v>
      </c>
      <c r="B48" s="67"/>
      <c r="C48" s="67" t="s">
        <v>30</v>
      </c>
      <c r="D48" s="67" t="s">
        <v>29</v>
      </c>
      <c r="E48" s="67"/>
      <c r="F48" s="67"/>
      <c r="G48" s="67"/>
      <c r="H48" s="67" t="s">
        <v>1</v>
      </c>
      <c r="I48" s="67" t="s">
        <v>2</v>
      </c>
      <c r="J48" s="67" t="s">
        <v>48</v>
      </c>
      <c r="K48" s="67" t="s">
        <v>135</v>
      </c>
      <c r="L48" s="112" t="s">
        <v>149</v>
      </c>
      <c r="M48" s="67" t="s">
        <v>150</v>
      </c>
      <c r="N48" s="49"/>
      <c r="O48" s="71" t="s">
        <v>22</v>
      </c>
      <c r="P48" s="72"/>
      <c r="Q48" s="73">
        <f>Q35-Q47</f>
        <v>108.20000000000027</v>
      </c>
      <c r="R48" s="73"/>
      <c r="S48" s="73">
        <f t="shared" ref="S48:X48" si="30">S35-S47</f>
        <v>179.33700000000005</v>
      </c>
      <c r="T48" s="73">
        <f t="shared" si="30"/>
        <v>174.334</v>
      </c>
      <c r="U48" s="73">
        <f t="shared" si="30"/>
        <v>190.11600000000004</v>
      </c>
      <c r="V48" s="73">
        <f t="shared" si="30"/>
        <v>49.216000000000008</v>
      </c>
      <c r="W48" s="73">
        <f t="shared" si="30"/>
        <v>243.59000000000003</v>
      </c>
      <c r="X48" s="73">
        <f t="shared" si="30"/>
        <v>287.77199999999999</v>
      </c>
    </row>
    <row r="49" spans="1:27" x14ac:dyDescent="0.25">
      <c r="A49" s="68" t="s">
        <v>55</v>
      </c>
      <c r="B49" s="68"/>
      <c r="C49" s="70">
        <v>74</v>
      </c>
      <c r="D49" s="70">
        <v>133.9</v>
      </c>
      <c r="E49" s="70"/>
      <c r="F49" s="70"/>
      <c r="G49" s="70"/>
      <c r="H49" s="141">
        <v>0.58599999999999997</v>
      </c>
      <c r="I49" s="141">
        <v>0.151</v>
      </c>
      <c r="J49" s="141">
        <v>0.50800000000000001</v>
      </c>
      <c r="K49" s="141">
        <v>3.5000000000000003E-2</v>
      </c>
      <c r="L49" s="142">
        <v>7.1999999999999995E-2</v>
      </c>
      <c r="M49" s="142">
        <v>0.17</v>
      </c>
      <c r="N49" s="49"/>
      <c r="O49" s="68"/>
      <c r="P49" s="69"/>
      <c r="Q49" s="70"/>
      <c r="R49" s="70"/>
      <c r="S49" s="70"/>
      <c r="T49" s="70"/>
      <c r="U49" s="70"/>
      <c r="V49" s="70"/>
      <c r="W49" s="70"/>
      <c r="X49" s="70"/>
      <c r="Y49" s="65"/>
    </row>
    <row r="50" spans="1:27" x14ac:dyDescent="0.25">
      <c r="A50" s="79" t="s">
        <v>56</v>
      </c>
      <c r="B50" s="68"/>
      <c r="C50" s="70">
        <v>189.4</v>
      </c>
      <c r="D50" s="70">
        <v>309.89999999999998</v>
      </c>
      <c r="E50" s="70"/>
      <c r="F50" s="70"/>
      <c r="G50" s="70"/>
      <c r="H50" s="141">
        <v>38.598999999999997</v>
      </c>
      <c r="I50" s="141">
        <v>45.061</v>
      </c>
      <c r="J50" s="141">
        <v>37.386000000000003</v>
      </c>
      <c r="K50" s="141">
        <v>-17.64</v>
      </c>
      <c r="L50" s="142">
        <v>7.4</v>
      </c>
      <c r="M50" s="141">
        <v>-3.04</v>
      </c>
      <c r="N50" s="49"/>
      <c r="O50" s="68" t="s">
        <v>26</v>
      </c>
      <c r="P50" s="69"/>
      <c r="Q50" s="70">
        <v>0</v>
      </c>
      <c r="R50" s="70"/>
      <c r="S50" s="70">
        <v>0.125</v>
      </c>
      <c r="T50" s="70">
        <v>0.125</v>
      </c>
      <c r="U50" s="70">
        <v>1.33</v>
      </c>
      <c r="V50" s="70">
        <v>0.12</v>
      </c>
      <c r="W50" s="70">
        <v>0.12</v>
      </c>
      <c r="X50" s="70">
        <v>0.125</v>
      </c>
    </row>
    <row r="51" spans="1:27" x14ac:dyDescent="0.25">
      <c r="A51" s="79" t="s">
        <v>57</v>
      </c>
      <c r="B51" s="68"/>
      <c r="C51" s="70">
        <v>-5.9</v>
      </c>
      <c r="D51" s="70">
        <v>85.2</v>
      </c>
      <c r="E51" s="70"/>
      <c r="F51" s="70"/>
      <c r="G51" s="70"/>
      <c r="H51" s="141">
        <v>-3.2490000000000001</v>
      </c>
      <c r="I51" s="141">
        <v>-6.37</v>
      </c>
      <c r="J51" s="141">
        <v>-10.391999999999999</v>
      </c>
      <c r="K51" s="141">
        <v>-232.73</v>
      </c>
      <c r="L51" s="142">
        <v>-38.409999999999997</v>
      </c>
      <c r="M51" s="141">
        <v>-16.37</v>
      </c>
      <c r="N51" s="49"/>
      <c r="O51" s="68" t="s">
        <v>157</v>
      </c>
      <c r="P51" s="69"/>
      <c r="Q51" s="70"/>
      <c r="R51" s="70"/>
      <c r="S51" s="70"/>
      <c r="T51" s="70">
        <v>0</v>
      </c>
      <c r="U51" s="70">
        <v>0</v>
      </c>
      <c r="V51" s="70">
        <v>2.25</v>
      </c>
      <c r="W51" s="70">
        <v>2.08</v>
      </c>
      <c r="X51" s="70">
        <v>1.9</v>
      </c>
    </row>
    <row r="52" spans="1:27" x14ac:dyDescent="0.25">
      <c r="A52" s="79" t="s">
        <v>58</v>
      </c>
      <c r="B52" s="68"/>
      <c r="C52" s="70">
        <v>-123.6</v>
      </c>
      <c r="D52" s="70">
        <v>-205.2</v>
      </c>
      <c r="E52" s="70"/>
      <c r="F52" s="70"/>
      <c r="G52" s="70"/>
      <c r="H52" s="141">
        <v>-35.784999999999997</v>
      </c>
      <c r="I52" s="141">
        <v>-38.326000000000001</v>
      </c>
      <c r="J52" s="141">
        <v>-27.77</v>
      </c>
      <c r="K52" s="141">
        <v>250.42</v>
      </c>
      <c r="L52" s="142">
        <v>31.12</v>
      </c>
      <c r="M52" s="141">
        <v>19.36</v>
      </c>
      <c r="N52" s="49"/>
      <c r="O52" s="68" t="s">
        <v>25</v>
      </c>
      <c r="P52" s="69"/>
      <c r="Q52" s="70">
        <v>25.2</v>
      </c>
      <c r="R52" s="70"/>
      <c r="S52" s="70">
        <v>1.38</v>
      </c>
      <c r="T52" s="70">
        <v>0.88800000000000001</v>
      </c>
      <c r="U52" s="70">
        <v>0.96</v>
      </c>
      <c r="V52" s="70">
        <v>1.03</v>
      </c>
      <c r="W52" s="70">
        <v>1.48</v>
      </c>
      <c r="X52" s="70">
        <v>3.51</v>
      </c>
    </row>
    <row r="53" spans="1:27" x14ac:dyDescent="0.25">
      <c r="A53" s="101" t="s">
        <v>59</v>
      </c>
      <c r="B53" s="68"/>
      <c r="C53" s="102">
        <f>SUM(C50:C52)</f>
        <v>59.900000000000006</v>
      </c>
      <c r="D53" s="102">
        <f>SUM(D50:D52)</f>
        <v>189.89999999999998</v>
      </c>
      <c r="E53" s="102"/>
      <c r="F53" s="102"/>
      <c r="G53" s="102"/>
      <c r="H53" s="147">
        <f>SUM(H50:H52)</f>
        <v>-0.43500000000000227</v>
      </c>
      <c r="I53" s="147">
        <f>SUM(I50:I52)</f>
        <v>0.36500000000000199</v>
      </c>
      <c r="J53" s="147">
        <v>0</v>
      </c>
      <c r="K53" s="147">
        <v>0</v>
      </c>
      <c r="L53" s="148">
        <f t="shared" ref="L53" si="31">SUM(L50:L52)</f>
        <v>0.11000000000000298</v>
      </c>
      <c r="M53" s="148">
        <f t="shared" ref="M53" si="32">SUM(M50:M52)</f>
        <v>-5.0000000000000711E-2</v>
      </c>
      <c r="N53" s="49"/>
      <c r="O53" s="68" t="s">
        <v>141</v>
      </c>
      <c r="P53" s="68"/>
      <c r="Q53" s="82">
        <v>0</v>
      </c>
      <c r="R53" s="82"/>
      <c r="S53" s="70">
        <v>20.303000000000001</v>
      </c>
      <c r="T53" s="70">
        <v>16.52</v>
      </c>
      <c r="U53" s="70">
        <v>14.66</v>
      </c>
      <c r="V53" s="70">
        <v>8.1</v>
      </c>
      <c r="W53" s="70">
        <v>5.61</v>
      </c>
      <c r="X53" s="70">
        <v>4.8120000000000003</v>
      </c>
    </row>
    <row r="54" spans="1:27" x14ac:dyDescent="0.25">
      <c r="A54" s="71" t="s">
        <v>60</v>
      </c>
      <c r="B54" s="72"/>
      <c r="C54" s="73">
        <f>C49+C53</f>
        <v>133.9</v>
      </c>
      <c r="D54" s="73">
        <f>D49+D53</f>
        <v>323.79999999999995</v>
      </c>
      <c r="E54" s="73"/>
      <c r="F54" s="73"/>
      <c r="G54" s="73"/>
      <c r="H54" s="73">
        <f t="shared" ref="H54" si="33">H49+H53</f>
        <v>0.15099999999999769</v>
      </c>
      <c r="I54" s="73">
        <f>I49+I53</f>
        <v>0.51600000000000201</v>
      </c>
      <c r="J54" s="73">
        <v>0</v>
      </c>
      <c r="K54" s="73">
        <f>K49+K53</f>
        <v>3.5000000000000003E-2</v>
      </c>
      <c r="L54" s="73">
        <f>L49+L53</f>
        <v>0.18200000000000299</v>
      </c>
      <c r="M54" s="73">
        <f>M49+M53</f>
        <v>0.1199999999999993</v>
      </c>
      <c r="N54" s="49"/>
      <c r="O54" s="81" t="s">
        <v>139</v>
      </c>
      <c r="P54" s="72"/>
      <c r="Q54" s="73">
        <f t="shared" ref="Q54" si="34">SUM(Q50:Q53)</f>
        <v>25.2</v>
      </c>
      <c r="R54" s="73"/>
      <c r="S54" s="73">
        <f>SUM(S50:S53)+S8</f>
        <v>57.615000000000002</v>
      </c>
      <c r="T54" s="73">
        <f>SUM(T50:T53)+T8</f>
        <v>42.963000000000001</v>
      </c>
      <c r="U54" s="73">
        <f t="shared" ref="U54:X54" si="35">SUM(U50:U53)+U8</f>
        <v>45.32</v>
      </c>
      <c r="V54" s="73">
        <f t="shared" si="35"/>
        <v>80.14</v>
      </c>
      <c r="W54" s="73">
        <f t="shared" si="35"/>
        <v>231.87</v>
      </c>
      <c r="X54" s="73">
        <f t="shared" si="35"/>
        <v>232.33700000000002</v>
      </c>
    </row>
    <row r="55" spans="1:27" x14ac:dyDescent="0.25">
      <c r="A55" s="68"/>
      <c r="B55" s="68"/>
      <c r="C55" s="108">
        <f>C50/C13</f>
        <v>1.5079617834394643</v>
      </c>
      <c r="D55" s="108">
        <f>D50/D13</f>
        <v>1.3283326189455469</v>
      </c>
      <c r="E55" s="108"/>
      <c r="F55" s="108"/>
      <c r="G55" s="108"/>
      <c r="H55" s="108">
        <f>H50/H13</f>
        <v>0.75580575680438622</v>
      </c>
      <c r="I55" s="108"/>
      <c r="J55" s="108"/>
      <c r="K55" s="108"/>
      <c r="L55" s="120"/>
      <c r="M55" s="108"/>
      <c r="N55" s="49"/>
      <c r="O55" s="68"/>
      <c r="P55" s="75"/>
      <c r="Q55" s="76"/>
      <c r="R55" s="76"/>
      <c r="S55" s="76"/>
      <c r="T55" s="76"/>
      <c r="U55" s="76"/>
      <c r="V55" s="76"/>
      <c r="W55" s="76"/>
      <c r="X55" s="76"/>
    </row>
    <row r="56" spans="1:27" x14ac:dyDescent="0.25">
      <c r="M56" s="121"/>
      <c r="N56" s="49"/>
      <c r="O56" s="71" t="s">
        <v>24</v>
      </c>
      <c r="P56" s="72"/>
      <c r="Q56" s="73">
        <f>Q6+Q7+Q10+Q47+Q54</f>
        <v>3834.2</v>
      </c>
      <c r="R56" s="73"/>
      <c r="S56" s="73">
        <f t="shared" ref="S56:X56" si="36">S6+S7+S11+S47+S54</f>
        <v>362.03300000000002</v>
      </c>
      <c r="T56" s="73">
        <f t="shared" si="36"/>
        <v>317.80986300000001</v>
      </c>
      <c r="U56" s="73">
        <f t="shared" si="36"/>
        <v>336.79686299999997</v>
      </c>
      <c r="V56" s="73">
        <f t="shared" si="36"/>
        <v>664.64</v>
      </c>
      <c r="W56" s="73">
        <f t="shared" si="36"/>
        <v>772.12</v>
      </c>
      <c r="X56" s="73">
        <f t="shared" si="36"/>
        <v>820.57500000000005</v>
      </c>
      <c r="Y56" s="65"/>
    </row>
    <row r="57" spans="1:27" x14ac:dyDescent="0.25">
      <c r="A57" s="99" t="s">
        <v>61</v>
      </c>
      <c r="B57" s="67"/>
      <c r="C57" s="67" t="s">
        <v>30</v>
      </c>
      <c r="D57" s="67" t="s">
        <v>29</v>
      </c>
      <c r="E57" s="67"/>
      <c r="F57" s="67"/>
      <c r="G57" s="67"/>
      <c r="H57" s="67" t="s">
        <v>1</v>
      </c>
      <c r="I57" s="67" t="s">
        <v>2</v>
      </c>
      <c r="J57" s="67" t="s">
        <v>48</v>
      </c>
      <c r="K57" s="107" t="s">
        <v>135</v>
      </c>
      <c r="L57" s="112" t="s">
        <v>149</v>
      </c>
      <c r="M57" s="67" t="s">
        <v>150</v>
      </c>
      <c r="N57" s="49"/>
      <c r="O57" s="71" t="s">
        <v>23</v>
      </c>
      <c r="P57" s="72"/>
      <c r="Q57" s="73">
        <f>Q25+Q35+Q37</f>
        <v>3493.2000000000003</v>
      </c>
      <c r="R57" s="73"/>
      <c r="S57" s="73">
        <f t="shared" ref="S57:X57" si="37">S25+S35+S37</f>
        <v>362.03100000000006</v>
      </c>
      <c r="T57" s="73">
        <f t="shared" si="37"/>
        <v>317.767</v>
      </c>
      <c r="U57" s="73">
        <f t="shared" si="37"/>
        <v>336.78600000000006</v>
      </c>
      <c r="V57" s="73">
        <f t="shared" si="37"/>
        <v>665.30600000000004</v>
      </c>
      <c r="W57" s="73">
        <f t="shared" si="37"/>
        <v>772.28</v>
      </c>
      <c r="X57" s="73">
        <f t="shared" si="37"/>
        <v>820.59</v>
      </c>
    </row>
    <row r="58" spans="1:27" x14ac:dyDescent="0.25">
      <c r="A58" s="68" t="s">
        <v>62</v>
      </c>
      <c r="B58" s="69"/>
      <c r="C58" s="70">
        <f>C50</f>
        <v>189.4</v>
      </c>
      <c r="D58" s="70">
        <f>D50</f>
        <v>309.89999999999998</v>
      </c>
      <c r="E58" s="70"/>
      <c r="F58" s="70"/>
      <c r="G58" s="70"/>
      <c r="H58" s="141">
        <f t="shared" ref="H58" si="38">H50</f>
        <v>38.598999999999997</v>
      </c>
      <c r="I58" s="141">
        <f>I50</f>
        <v>45.061</v>
      </c>
      <c r="J58" s="141">
        <f t="shared" ref="J58:M58" si="39">J50</f>
        <v>37.386000000000003</v>
      </c>
      <c r="K58" s="141">
        <f t="shared" si="39"/>
        <v>-17.64</v>
      </c>
      <c r="L58" s="141">
        <f t="shared" si="39"/>
        <v>7.4</v>
      </c>
      <c r="M58" s="141">
        <f t="shared" si="39"/>
        <v>-3.04</v>
      </c>
      <c r="N58" s="49"/>
      <c r="O58"/>
      <c r="P58"/>
      <c r="Q58"/>
      <c r="R58"/>
      <c r="S58"/>
      <c r="T58"/>
      <c r="U58" s="1"/>
      <c r="V58" s="1"/>
      <c r="W58" s="1"/>
      <c r="X58" s="1"/>
    </row>
    <row r="59" spans="1:27" x14ac:dyDescent="0.25">
      <c r="A59" s="103" t="s">
        <v>63</v>
      </c>
      <c r="B59" s="100"/>
      <c r="C59" s="104">
        <f>-33.7</f>
        <v>-33.700000000000003</v>
      </c>
      <c r="D59" s="104">
        <f>-35.7</f>
        <v>-35.700000000000003</v>
      </c>
      <c r="E59" s="104"/>
      <c r="F59" s="104"/>
      <c r="G59" s="104"/>
      <c r="H59" s="141">
        <v>-3.7120000000000002</v>
      </c>
      <c r="I59" s="141">
        <v>-6.84</v>
      </c>
      <c r="J59" s="141">
        <v>-10.39</v>
      </c>
      <c r="K59" s="141">
        <v>-233.09</v>
      </c>
      <c r="L59" s="141">
        <v>-38.78</v>
      </c>
      <c r="M59" s="141">
        <v>-17.05</v>
      </c>
      <c r="N59" s="49"/>
      <c r="O59" s="4" t="s">
        <v>61</v>
      </c>
      <c r="P59" s="5"/>
      <c r="Q59" s="5" t="s">
        <v>30</v>
      </c>
      <c r="R59" s="5"/>
      <c r="S59" s="5" t="s">
        <v>1</v>
      </c>
      <c r="T59" s="5" t="s">
        <v>2</v>
      </c>
      <c r="U59" s="5" t="s">
        <v>48</v>
      </c>
      <c r="V59" s="5" t="s">
        <v>135</v>
      </c>
      <c r="W59" s="5" t="s">
        <v>149</v>
      </c>
      <c r="X59" s="5" t="s">
        <v>161</v>
      </c>
    </row>
    <row r="60" spans="1:27" x14ac:dyDescent="0.25">
      <c r="A60" s="71" t="s">
        <v>64</v>
      </c>
      <c r="B60" s="72"/>
      <c r="C60" s="73">
        <f t="shared" ref="C60:J60" si="40">SUM(C58:C59)</f>
        <v>155.69999999999999</v>
      </c>
      <c r="D60" s="73">
        <f t="shared" si="40"/>
        <v>274.2</v>
      </c>
      <c r="E60" s="73"/>
      <c r="F60" s="73"/>
      <c r="G60" s="73"/>
      <c r="H60" s="73">
        <f t="shared" si="40"/>
        <v>34.886999999999993</v>
      </c>
      <c r="I60" s="73">
        <f t="shared" si="40"/>
        <v>38.221000000000004</v>
      </c>
      <c r="J60" s="73">
        <f t="shared" si="40"/>
        <v>26.996000000000002</v>
      </c>
      <c r="K60" s="73">
        <f>SUM(K58:K59)</f>
        <v>-250.73000000000002</v>
      </c>
      <c r="L60" s="73">
        <f>SUM(L58:L59)</f>
        <v>-31.380000000000003</v>
      </c>
      <c r="M60" s="73">
        <f>SUM(M58:M59)</f>
        <v>-20.09</v>
      </c>
      <c r="N60" s="49"/>
      <c r="O60" t="s">
        <v>145</v>
      </c>
      <c r="P60" s="1"/>
      <c r="Q60" s="1">
        <v>170.75</v>
      </c>
      <c r="R60" s="1"/>
      <c r="S60" s="135">
        <v>39</v>
      </c>
      <c r="T60" s="135">
        <v>29.6</v>
      </c>
      <c r="U60" s="135">
        <v>51.25</v>
      </c>
      <c r="V60" s="135">
        <v>256.8</v>
      </c>
      <c r="W60" s="135">
        <v>300.60000000000002</v>
      </c>
      <c r="X60" s="135">
        <v>760</v>
      </c>
    </row>
    <row r="61" spans="1:27" x14ac:dyDescent="0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119"/>
      <c r="M61" s="68"/>
      <c r="N61" s="49"/>
      <c r="O61" s="6" t="s">
        <v>69</v>
      </c>
      <c r="P61" s="7"/>
      <c r="Q61" s="7">
        <f>C44</f>
        <v>3.02</v>
      </c>
      <c r="R61" s="7"/>
      <c r="S61" s="129">
        <f t="shared" ref="S61:W61" si="41">H44</f>
        <v>3.84</v>
      </c>
      <c r="T61" s="129">
        <f t="shared" si="41"/>
        <v>2.1</v>
      </c>
      <c r="U61" s="130">
        <f t="shared" si="41"/>
        <v>1.97</v>
      </c>
      <c r="V61" s="130">
        <f t="shared" si="41"/>
        <v>4.1500000000000004</v>
      </c>
      <c r="W61" s="130">
        <f t="shared" si="41"/>
        <v>8.69</v>
      </c>
      <c r="X61" s="130">
        <v>7.91</v>
      </c>
      <c r="Y61" s="135"/>
      <c r="Z61" s="61" t="s">
        <v>162</v>
      </c>
      <c r="AA61" s="61">
        <v>6.19</v>
      </c>
    </row>
    <row r="62" spans="1:27" x14ac:dyDescent="0.25">
      <c r="A62" s="99" t="s">
        <v>61</v>
      </c>
      <c r="B62" s="67"/>
      <c r="C62" s="67" t="s">
        <v>30</v>
      </c>
      <c r="D62" s="67" t="s">
        <v>29</v>
      </c>
      <c r="E62" s="67"/>
      <c r="F62" s="67"/>
      <c r="G62" s="67"/>
      <c r="H62" s="67" t="s">
        <v>1</v>
      </c>
      <c r="I62" s="67" t="s">
        <v>2</v>
      </c>
      <c r="J62" s="67" t="s">
        <v>48</v>
      </c>
      <c r="K62" s="67" t="s">
        <v>135</v>
      </c>
      <c r="L62" s="112" t="s">
        <v>149</v>
      </c>
      <c r="M62" s="67" t="s">
        <v>161</v>
      </c>
      <c r="N62" s="49"/>
      <c r="O62" s="6" t="s">
        <v>70</v>
      </c>
      <c r="P62" s="7"/>
      <c r="Q62" s="7">
        <f>Q6/C63</f>
        <v>36.061257388500806</v>
      </c>
      <c r="R62" s="7"/>
      <c r="S62" s="129">
        <f t="shared" ref="S62:X62" si="42">S6/H63</f>
        <v>28.919657795332636</v>
      </c>
      <c r="T62" s="129">
        <f t="shared" si="42"/>
        <v>29.682296859099299</v>
      </c>
      <c r="U62" s="129">
        <f t="shared" si="42"/>
        <v>31.706087902674049</v>
      </c>
      <c r="V62" s="129">
        <f t="shared" si="42"/>
        <v>37.557997136795628</v>
      </c>
      <c r="W62" s="129">
        <f t="shared" si="42"/>
        <v>47.469973725212874</v>
      </c>
      <c r="X62" s="129">
        <f t="shared" si="42"/>
        <v>55.481771507091892</v>
      </c>
      <c r="Z62" s="61" t="s">
        <v>163</v>
      </c>
      <c r="AA62" s="61">
        <v>1.72</v>
      </c>
    </row>
    <row r="63" spans="1:27" x14ac:dyDescent="0.25">
      <c r="A63" s="68" t="s">
        <v>102</v>
      </c>
      <c r="B63" s="69"/>
      <c r="C63" s="69">
        <v>18.61</v>
      </c>
      <c r="D63" s="69">
        <v>18.61</v>
      </c>
      <c r="E63" s="69"/>
      <c r="F63" s="69"/>
      <c r="G63" s="69"/>
      <c r="H63" s="144">
        <f t="shared" ref="H63:J63" si="43">6957240/10^6</f>
        <v>6.9572399999999996</v>
      </c>
      <c r="I63" s="144">
        <f t="shared" si="43"/>
        <v>6.9572399999999996</v>
      </c>
      <c r="J63" s="144">
        <f t="shared" si="43"/>
        <v>6.9572399999999996</v>
      </c>
      <c r="K63" s="144">
        <f>6957240/10^6</f>
        <v>6.9572399999999996</v>
      </c>
      <c r="L63" s="144">
        <f t="shared" ref="L63:M63" si="44">6957240/10^6</f>
        <v>6.9572399999999996</v>
      </c>
      <c r="M63" s="144">
        <f t="shared" si="44"/>
        <v>6.9572399999999996</v>
      </c>
      <c r="N63" s="49"/>
      <c r="O63" t="s">
        <v>71</v>
      </c>
      <c r="P63" s="1"/>
      <c r="Q63" s="1">
        <v>0.5</v>
      </c>
      <c r="R63" s="1"/>
      <c r="S63" s="135">
        <v>1</v>
      </c>
      <c r="T63" s="135">
        <v>0</v>
      </c>
      <c r="U63" s="135">
        <v>0</v>
      </c>
      <c r="V63" s="135">
        <v>1</v>
      </c>
      <c r="W63" s="135">
        <v>1.5</v>
      </c>
      <c r="X63" s="135">
        <v>0</v>
      </c>
      <c r="AA63" s="61">
        <f>SUM(AA61:AA62)</f>
        <v>7.91</v>
      </c>
    </row>
    <row r="64" spans="1:27" x14ac:dyDescent="0.25">
      <c r="A64" s="68" t="s">
        <v>103</v>
      </c>
      <c r="B64" s="69"/>
      <c r="C64" s="70">
        <v>10</v>
      </c>
      <c r="D64" s="70">
        <v>10</v>
      </c>
      <c r="E64" s="70"/>
      <c r="F64" s="70"/>
      <c r="G64" s="70"/>
      <c r="H64" s="141">
        <v>10</v>
      </c>
      <c r="I64" s="141">
        <v>10</v>
      </c>
      <c r="J64" s="141">
        <v>10</v>
      </c>
      <c r="K64" s="141">
        <v>10</v>
      </c>
      <c r="L64" s="142">
        <v>10</v>
      </c>
      <c r="M64" s="142">
        <v>10</v>
      </c>
      <c r="N64" s="49"/>
      <c r="O64" s="6" t="s">
        <v>72</v>
      </c>
      <c r="P64" s="7"/>
      <c r="Q64" s="7">
        <f t="shared" ref="Q64:U64" si="45">Q60/Q61</f>
        <v>56.539735099337747</v>
      </c>
      <c r="R64" s="7"/>
      <c r="S64" s="129">
        <f t="shared" si="45"/>
        <v>10.15625</v>
      </c>
      <c r="T64" s="129">
        <f>T60/T61</f>
        <v>14.095238095238095</v>
      </c>
      <c r="U64" s="129">
        <f t="shared" si="45"/>
        <v>26.015228426395939</v>
      </c>
      <c r="V64" s="129">
        <f>V60/V61</f>
        <v>61.879518072289152</v>
      </c>
      <c r="W64" s="129">
        <f>W60/W61</f>
        <v>34.591484464902194</v>
      </c>
      <c r="X64" s="129">
        <f>X60/X61</f>
        <v>96.080910240202272</v>
      </c>
    </row>
    <row r="65" spans="1:25" x14ac:dyDescent="0.25">
      <c r="A65" s="103" t="s">
        <v>67</v>
      </c>
      <c r="B65" s="105"/>
      <c r="C65" s="104">
        <f>C63*Q60</f>
        <v>3177.6574999999998</v>
      </c>
      <c r="D65" s="104">
        <f>D63*R60</f>
        <v>0</v>
      </c>
      <c r="E65" s="104"/>
      <c r="F65" s="104"/>
      <c r="G65" s="104"/>
      <c r="H65" s="141">
        <f t="shared" ref="H65:M65" si="46">H63*S60</f>
        <v>271.33235999999999</v>
      </c>
      <c r="I65" s="141">
        <f t="shared" si="46"/>
        <v>205.934304</v>
      </c>
      <c r="J65" s="141">
        <f t="shared" si="46"/>
        <v>356.55854999999997</v>
      </c>
      <c r="K65" s="141">
        <f t="shared" si="46"/>
        <v>1786.619232</v>
      </c>
      <c r="L65" s="141">
        <f t="shared" si="46"/>
        <v>2091.346344</v>
      </c>
      <c r="M65" s="141">
        <f t="shared" si="46"/>
        <v>5287.5023999999994</v>
      </c>
      <c r="N65" s="49"/>
      <c r="O65" s="6" t="s">
        <v>73</v>
      </c>
      <c r="P65" s="7"/>
      <c r="Q65" s="7">
        <f t="shared" ref="Q65:T65" si="47">Q60/Q62</f>
        <v>4.7349985099091043</v>
      </c>
      <c r="R65" s="7"/>
      <c r="S65" s="129">
        <f t="shared" si="47"/>
        <v>1.3485636751308392</v>
      </c>
      <c r="T65" s="129">
        <f t="shared" si="47"/>
        <v>0.99722740933796472</v>
      </c>
      <c r="U65" s="129">
        <f t="shared" ref="U65" si="48">U60/U62</f>
        <v>1.6164088157870036</v>
      </c>
      <c r="V65" s="129">
        <f>V60/V62</f>
        <v>6.8374253042479909</v>
      </c>
      <c r="W65" s="129">
        <f>W60/W62</f>
        <v>6.3324239811057952</v>
      </c>
      <c r="X65" s="129">
        <f>X60/X62</f>
        <v>13.698192746113989</v>
      </c>
    </row>
    <row r="66" spans="1:25" x14ac:dyDescent="0.25">
      <c r="A66" s="103" t="s">
        <v>66</v>
      </c>
      <c r="B66" s="105"/>
      <c r="C66" s="104">
        <f>Q10</f>
        <v>224.5</v>
      </c>
      <c r="D66" s="104">
        <f>R10</f>
        <v>32.9</v>
      </c>
      <c r="E66" s="104"/>
      <c r="F66" s="104"/>
      <c r="G66" s="104"/>
      <c r="H66" s="141">
        <f t="shared" ref="H66:L66" si="49">S10</f>
        <v>76.343999999999994</v>
      </c>
      <c r="I66" s="141">
        <f t="shared" si="49"/>
        <v>54.81</v>
      </c>
      <c r="J66" s="141">
        <f t="shared" si="49"/>
        <v>32.86</v>
      </c>
      <c r="K66" s="141">
        <f t="shared" si="49"/>
        <v>289.05</v>
      </c>
      <c r="L66" s="141">
        <f t="shared" si="49"/>
        <v>319.11</v>
      </c>
      <c r="M66" s="141">
        <f t="shared" ref="M66" si="50">X10</f>
        <v>317.84000000000003</v>
      </c>
      <c r="N66" s="49"/>
      <c r="O66" s="6" t="s">
        <v>74</v>
      </c>
      <c r="P66" s="7"/>
      <c r="Q66" s="7">
        <f>C68/C13</f>
        <v>26.021158439489991</v>
      </c>
      <c r="R66" s="7"/>
      <c r="S66" s="129">
        <f>H68/H13</f>
        <v>6.6796036812218533</v>
      </c>
      <c r="T66" s="129">
        <f>I68/I13</f>
        <v>8.253598213716101</v>
      </c>
      <c r="U66" s="129">
        <f>J68/J13</f>
        <v>13.299949652777771</v>
      </c>
      <c r="V66" s="129">
        <f>K68/K13</f>
        <v>42.502122804852974</v>
      </c>
      <c r="W66" s="129">
        <f>L68/L13</f>
        <v>29.702603911859384</v>
      </c>
      <c r="X66" s="130" t="s">
        <v>151</v>
      </c>
    </row>
    <row r="67" spans="1:25" x14ac:dyDescent="0.25">
      <c r="A67" s="103" t="s">
        <v>148</v>
      </c>
      <c r="B67" s="105"/>
      <c r="C67" s="104">
        <f>Q31+Q32</f>
        <v>133.9</v>
      </c>
      <c r="D67" s="104">
        <f>R31+R32</f>
        <v>396.20000000000005</v>
      </c>
      <c r="E67" s="104"/>
      <c r="F67" s="104"/>
      <c r="G67" s="104"/>
      <c r="H67" s="141">
        <f>S30+S31</f>
        <v>6.5489999999999995</v>
      </c>
      <c r="I67" s="141">
        <f t="shared" ref="I67:M67" si="51">T30+T31</f>
        <v>1.994</v>
      </c>
      <c r="J67" s="141">
        <f t="shared" si="51"/>
        <v>6.38</v>
      </c>
      <c r="K67" s="141">
        <f t="shared" si="51"/>
        <v>8.7909999999999986</v>
      </c>
      <c r="L67" s="141">
        <f t="shared" si="51"/>
        <v>11.08</v>
      </c>
      <c r="M67" s="141">
        <f t="shared" si="51"/>
        <v>31.53</v>
      </c>
      <c r="N67" s="49"/>
      <c r="O67" s="6" t="s">
        <v>87</v>
      </c>
      <c r="P67" s="7"/>
      <c r="Q67" s="7">
        <f>C4/SUM(Q17:Q20)</f>
        <v>183.3955007256894</v>
      </c>
      <c r="R67" s="7"/>
      <c r="S67" s="129">
        <f>H4/SUM(S17:S20)</f>
        <v>5.7392568099092003</v>
      </c>
      <c r="T67" s="129">
        <f>I4/SUM(T17:T20)</f>
        <v>4.7588679619630687</v>
      </c>
      <c r="U67" s="129">
        <f>J4/SUM(U17:U20)</f>
        <v>4.3101619607281068</v>
      </c>
      <c r="V67" s="129">
        <f>K4/SUM(V17:V20)</f>
        <v>1.4654479988921203</v>
      </c>
      <c r="W67" s="129">
        <f>L4/SUM(W17:W20)</f>
        <v>1.8160912258473236</v>
      </c>
      <c r="X67" s="130" t="s">
        <v>151</v>
      </c>
    </row>
    <row r="68" spans="1:25" x14ac:dyDescent="0.25">
      <c r="A68" s="71" t="s">
        <v>68</v>
      </c>
      <c r="B68" s="72"/>
      <c r="C68" s="73">
        <f>SUM(C65:C66)-C67</f>
        <v>3268.2574999999997</v>
      </c>
      <c r="D68" s="73">
        <f t="shared" ref="D68:I68" si="52">SUM(D65:D66)-D67</f>
        <v>-363.30000000000007</v>
      </c>
      <c r="E68" s="73"/>
      <c r="F68" s="73"/>
      <c r="G68" s="73"/>
      <c r="H68" s="73">
        <f t="shared" si="52"/>
        <v>341.12736000000001</v>
      </c>
      <c r="I68" s="73">
        <f t="shared" si="52"/>
        <v>258.75030399999997</v>
      </c>
      <c r="J68" s="73">
        <f t="shared" ref="J68" si="53">SUM(J65:J66)-J67</f>
        <v>383.03854999999999</v>
      </c>
      <c r="K68" s="73">
        <f>SUM(K65:K66)-K67</f>
        <v>2066.878232</v>
      </c>
      <c r="L68" s="73">
        <f>SUM(L65:L66)-L67</f>
        <v>2399.3763440000002</v>
      </c>
      <c r="M68" s="73">
        <f>SUM(M65:M66)-M67</f>
        <v>5573.8123999999998</v>
      </c>
      <c r="N68" s="49"/>
      <c r="O68" s="6" t="s">
        <v>75</v>
      </c>
      <c r="P68" s="8"/>
      <c r="Q68" s="8">
        <f>C33/Q6</f>
        <v>6.5116972135303514E-2</v>
      </c>
      <c r="R68" s="8"/>
      <c r="S68" s="132">
        <f t="shared" ref="S68:W68" si="54">H33/S6</f>
        <v>0.12932341290550239</v>
      </c>
      <c r="T68" s="132">
        <f t="shared" si="54"/>
        <v>6.8714423307084091E-2</v>
      </c>
      <c r="U68" s="132">
        <f t="shared" si="54"/>
        <v>6.0339042039869846E-2</v>
      </c>
      <c r="V68" s="132">
        <f t="shared" si="54"/>
        <v>0.10769230769230766</v>
      </c>
      <c r="W68" s="132">
        <f t="shared" si="54"/>
        <v>0.1808272270332465</v>
      </c>
      <c r="X68" s="130" t="s">
        <v>151</v>
      </c>
    </row>
    <row r="69" spans="1:25" x14ac:dyDescent="0.25">
      <c r="N69" s="49"/>
      <c r="O69" s="6" t="s">
        <v>76</v>
      </c>
      <c r="P69" s="8"/>
      <c r="Q69" s="8">
        <f>(C21-C20+C19)/(Q57-Q47-Q9)</f>
        <v>0.26117775354417144</v>
      </c>
      <c r="R69" s="8"/>
      <c r="S69" s="132">
        <f>(H21-H20+H19)/(S57-S47)</f>
        <v>0.17626558068728884</v>
      </c>
      <c r="T69" s="132">
        <f t="shared" ref="T69:W69" si="55">(I21-I20+I19)/(T57-T47)</f>
        <v>0.10059055354873379</v>
      </c>
      <c r="U69" s="132">
        <f t="shared" si="55"/>
        <v>9.1689984053915832E-2</v>
      </c>
      <c r="V69" s="132">
        <f t="shared" si="55"/>
        <v>0.1585473508210905</v>
      </c>
      <c r="W69" s="132">
        <f t="shared" si="55"/>
        <v>0.15977520496540931</v>
      </c>
      <c r="X69" s="130" t="s">
        <v>151</v>
      </c>
    </row>
    <row r="70" spans="1:25" x14ac:dyDescent="0.25">
      <c r="A70" s="103"/>
      <c r="B70" s="126"/>
      <c r="C70" s="127"/>
      <c r="D70" s="127"/>
      <c r="E70" s="127"/>
      <c r="F70" s="127"/>
      <c r="G70" s="127"/>
      <c r="H70" s="127"/>
      <c r="I70" s="127"/>
      <c r="J70" s="127"/>
      <c r="K70" s="127"/>
      <c r="L70" s="128"/>
      <c r="M70" s="128"/>
      <c r="N70" s="49"/>
      <c r="O70" s="6" t="s">
        <v>77</v>
      </c>
      <c r="P70" s="7"/>
      <c r="Q70" s="7">
        <f t="shared" ref="Q70:X70" si="56">Q10/Q6</f>
        <v>0.33452540604976905</v>
      </c>
      <c r="R70" s="7"/>
      <c r="S70" s="129">
        <f t="shared" si="56"/>
        <v>0.37944145406831969</v>
      </c>
      <c r="T70" s="129">
        <f t="shared" si="56"/>
        <v>0.26541490778444493</v>
      </c>
      <c r="U70" s="129">
        <f t="shared" si="56"/>
        <v>0.14896626006236827</v>
      </c>
      <c r="V70" s="129">
        <f t="shared" si="56"/>
        <v>1.1061997703788748</v>
      </c>
      <c r="W70" s="129">
        <f t="shared" si="56"/>
        <v>0.96623872100769093</v>
      </c>
      <c r="X70" s="129">
        <f t="shared" si="56"/>
        <v>0.82341968911917107</v>
      </c>
    </row>
    <row r="71" spans="1:25" x14ac:dyDescent="0.25">
      <c r="N71" s="49"/>
      <c r="O71" s="6" t="s">
        <v>78</v>
      </c>
      <c r="P71" s="7"/>
      <c r="Q71" s="7">
        <f>(Q10-Q31-Q32)/Q6</f>
        <v>0.1350022351363433</v>
      </c>
      <c r="R71" s="7"/>
      <c r="S71" s="129">
        <f>(S10-S31-S30)/S6</f>
        <v>0.34689191405609315</v>
      </c>
      <c r="T71" s="129">
        <f t="shared" ref="T71:X71" si="57">(T10-T31-T30)/T6</f>
        <v>0.25575905436130714</v>
      </c>
      <c r="U71" s="129">
        <f t="shared" si="57"/>
        <v>0.12004341346474473</v>
      </c>
      <c r="V71" s="129">
        <f t="shared" si="57"/>
        <v>1.0725564485265977</v>
      </c>
      <c r="W71" s="129">
        <f t="shared" si="57"/>
        <v>0.93268939623327074</v>
      </c>
      <c r="X71" s="129">
        <f t="shared" si="57"/>
        <v>0.74173575129533675</v>
      </c>
    </row>
    <row r="72" spans="1:25" x14ac:dyDescent="0.25">
      <c r="A72" s="62"/>
      <c r="N72" s="49"/>
      <c r="O72" s="6" t="s">
        <v>79</v>
      </c>
      <c r="P72" s="9"/>
      <c r="Q72" s="9">
        <f t="shared" ref="Q72:U72" si="58">Q63/Q60</f>
        <v>2.9282576866764276E-3</v>
      </c>
      <c r="R72" s="9"/>
      <c r="S72" s="133">
        <f t="shared" si="58"/>
        <v>2.564102564102564E-2</v>
      </c>
      <c r="T72" s="133">
        <f t="shared" si="58"/>
        <v>0</v>
      </c>
      <c r="U72" s="133">
        <f t="shared" si="58"/>
        <v>0</v>
      </c>
      <c r="V72" s="133">
        <f>V63/V60</f>
        <v>3.8940809968847352E-3</v>
      </c>
      <c r="W72" s="133">
        <f t="shared" ref="W72" si="59">W63/W60</f>
        <v>4.9900199600798403E-3</v>
      </c>
      <c r="X72" s="130" t="s">
        <v>151</v>
      </c>
    </row>
    <row r="73" spans="1:25" x14ac:dyDescent="0.25">
      <c r="N73" s="49"/>
      <c r="O73" s="6" t="s">
        <v>80</v>
      </c>
      <c r="P73" s="7"/>
      <c r="Q73" s="7">
        <f>AVERAGE(P30:Q30)/C4*365</f>
        <v>18.397389986506752</v>
      </c>
      <c r="R73" s="7"/>
      <c r="S73" s="129">
        <v>0.36</v>
      </c>
      <c r="T73" s="129">
        <f>AVERAGE(S29:T29)/I4*365</f>
        <v>131.91141304347826</v>
      </c>
      <c r="U73" s="129">
        <f t="shared" ref="U73:W73" si="60">AVERAGE(T29:U29)/J4*365</f>
        <v>129.54392790635805</v>
      </c>
      <c r="V73" s="129">
        <f t="shared" si="60"/>
        <v>93.61273861273861</v>
      </c>
      <c r="W73" s="129">
        <f t="shared" si="60"/>
        <v>85.590443715770746</v>
      </c>
      <c r="X73" s="130" t="s">
        <v>151</v>
      </c>
    </row>
    <row r="74" spans="1:25" x14ac:dyDescent="0.25">
      <c r="N74" s="49"/>
      <c r="O74" s="6" t="s">
        <v>81</v>
      </c>
      <c r="P74" s="7"/>
      <c r="Q74" s="7">
        <f>AVERAGE(P42:Q42)/(SUM(C8:C12))*365</f>
        <v>40.681352723859973</v>
      </c>
      <c r="R74" s="7"/>
      <c r="S74" s="129">
        <f>AVERAGE(R42:S42)/(SUM(H8:H12))*365</f>
        <v>49.008210764932258</v>
      </c>
      <c r="T74" s="129">
        <f>AVERAGE(S42:T42)/(SUM(I8:I12))*365</f>
        <v>47.666997865002465</v>
      </c>
      <c r="U74" s="129">
        <f t="shared" ref="U74:W74" si="61">AVERAGE(T42:U42)/(SUM(J8:J12))*365</f>
        <v>55.128530450132388</v>
      </c>
      <c r="V74" s="129">
        <f t="shared" si="61"/>
        <v>68.274923261710939</v>
      </c>
      <c r="W74" s="129">
        <f t="shared" si="61"/>
        <v>66.58863894753938</v>
      </c>
      <c r="X74" s="130" t="s">
        <v>151</v>
      </c>
    </row>
    <row r="75" spans="1:25" x14ac:dyDescent="0.25">
      <c r="N75" s="49"/>
      <c r="O75" s="6" t="s">
        <v>82</v>
      </c>
      <c r="P75" s="7"/>
      <c r="Q75" s="7">
        <f>AVERAGE(P28:Q28)/(SUM(C8:C12))*365</f>
        <v>22.247229214635954</v>
      </c>
      <c r="R75" s="7"/>
      <c r="S75" s="129">
        <f>AVERAGE(R27:S27)/(SUM(H8:H12))*365</f>
        <v>122.02745268596131</v>
      </c>
      <c r="T75" s="129">
        <f>AVERAGE(S27:T27)/(SUM(I8:I12))*365</f>
        <v>156.06762194120546</v>
      </c>
      <c r="U75" s="129">
        <f t="shared" ref="U75:W75" si="62">AVERAGE(T27:U27)/(SUM(J8:J12))*365</f>
        <v>176.54015887025596</v>
      </c>
      <c r="V75" s="129">
        <f t="shared" si="62"/>
        <v>142.3709462164687</v>
      </c>
      <c r="W75" s="129">
        <f t="shared" si="62"/>
        <v>128.10124654864381</v>
      </c>
      <c r="X75" s="130" t="s">
        <v>151</v>
      </c>
    </row>
    <row r="76" spans="1:25" x14ac:dyDescent="0.25">
      <c r="N76" s="49"/>
      <c r="O76" s="6" t="s">
        <v>83</v>
      </c>
      <c r="P76" s="7"/>
      <c r="Q76" s="7">
        <f t="shared" ref="Q76:T76" si="63">Q73+Q75-Q74</f>
        <v>-3.6733522717270262E-2</v>
      </c>
      <c r="R76" s="7"/>
      <c r="S76" s="129">
        <f t="shared" si="63"/>
        <v>73.379241921029049</v>
      </c>
      <c r="T76" s="129">
        <f t="shared" si="63"/>
        <v>240.31203711968126</v>
      </c>
      <c r="U76" s="129">
        <f t="shared" ref="U76" si="64">U73+U75-U74</f>
        <v>250.95555632648163</v>
      </c>
      <c r="V76" s="129">
        <f>V73+V75-V74</f>
        <v>167.70876156749637</v>
      </c>
      <c r="W76" s="129">
        <f t="shared" ref="W76" si="65">W73+W75-W74</f>
        <v>147.10305131687517</v>
      </c>
      <c r="X76" s="130" t="s">
        <v>151</v>
      </c>
    </row>
    <row r="77" spans="1:25" x14ac:dyDescent="0.25">
      <c r="N77" s="49"/>
      <c r="O77" s="6" t="s">
        <v>84</v>
      </c>
      <c r="P77" s="7"/>
      <c r="Q77" s="7">
        <f>AVERAGE(P48:Q48)/C4*365</f>
        <v>1.5627238157795851</v>
      </c>
      <c r="R77" s="7"/>
      <c r="S77" s="129">
        <f>AVERAGE(R48:S48)/H4*365</f>
        <v>152.06877686142411</v>
      </c>
      <c r="T77" s="129">
        <f>AVERAGE(S48:T48)/I4*365</f>
        <v>192.21250000000001</v>
      </c>
      <c r="U77" s="129">
        <f>AVERAGE(T48:U48)/J4*365</f>
        <v>221.1762603085927</v>
      </c>
      <c r="V77" s="129">
        <f>AVERAGE(U48:V48)/K4*365</f>
        <v>103.18959081459084</v>
      </c>
      <c r="W77" s="129">
        <f>AVERAGE(V48:W48)/L4*365</f>
        <v>93.203151707538296</v>
      </c>
      <c r="X77" s="130" t="s">
        <v>151</v>
      </c>
      <c r="Y77" s="63"/>
    </row>
    <row r="78" spans="1:25" x14ac:dyDescent="0.25">
      <c r="N78" s="49"/>
      <c r="O78" s="6" t="s">
        <v>85</v>
      </c>
      <c r="P78" s="8"/>
      <c r="Q78" s="8">
        <f>C19/Q10</f>
        <v>0.12516703786191538</v>
      </c>
      <c r="R78" s="8"/>
      <c r="S78" s="132">
        <f t="shared" ref="S78:X78" si="66">H19/S10</f>
        <v>0.13046211883055644</v>
      </c>
      <c r="T78" s="134">
        <f t="shared" si="66"/>
        <v>0.15398649881408499</v>
      </c>
      <c r="U78" s="134">
        <f t="shared" si="66"/>
        <v>0.17711503347534999</v>
      </c>
      <c r="V78" s="134">
        <f t="shared" si="66"/>
        <v>2.1968517557515999E-2</v>
      </c>
      <c r="W78" s="134">
        <f t="shared" si="66"/>
        <v>3.2747328507411237E-2</v>
      </c>
      <c r="X78" s="134">
        <f t="shared" si="66"/>
        <v>2.498112257739743E-2</v>
      </c>
      <c r="Y78" s="63"/>
    </row>
    <row r="79" spans="1:25" x14ac:dyDescent="0.25">
      <c r="N79" s="49"/>
      <c r="O79" s="6" t="s">
        <v>86</v>
      </c>
      <c r="P79" s="7"/>
      <c r="Q79" s="7">
        <f>(C21+C19)/C19</f>
        <v>3.409252669039224</v>
      </c>
      <c r="R79" s="7"/>
      <c r="S79" s="129">
        <f t="shared" ref="S79:X79" si="67">(H21+H19)/H19</f>
        <v>4.5803212851405606</v>
      </c>
      <c r="T79" s="129">
        <f t="shared" si="67"/>
        <v>2.9727488151658799</v>
      </c>
      <c r="U79" s="129">
        <f t="shared" si="67"/>
        <v>4.1890034364261179</v>
      </c>
      <c r="V79" s="129">
        <f t="shared" si="67"/>
        <v>8.541732283464567</v>
      </c>
      <c r="W79" s="129">
        <f t="shared" si="67"/>
        <v>8.5971291866028707</v>
      </c>
      <c r="X79" s="129">
        <f t="shared" si="67"/>
        <v>8.0881612090680122</v>
      </c>
      <c r="Y79" s="63"/>
    </row>
    <row r="80" spans="1:25" x14ac:dyDescent="0.25">
      <c r="N80" s="49"/>
      <c r="Y80" s="63"/>
    </row>
    <row r="81" spans="14:25" x14ac:dyDescent="0.25">
      <c r="N81" s="49"/>
      <c r="Y81" s="63"/>
    </row>
    <row r="82" spans="14:25" hidden="1" x14ac:dyDescent="0.25">
      <c r="N82" s="49"/>
      <c r="O82" s="61" t="s">
        <v>28</v>
      </c>
      <c r="P82" s="63"/>
      <c r="Q82" s="63">
        <f t="shared" ref="Q82:S82" si="68">Q56-Q57</f>
        <v>340.99999999999955</v>
      </c>
      <c r="R82" s="63">
        <f t="shared" si="68"/>
        <v>0</v>
      </c>
      <c r="S82" s="63">
        <f t="shared" si="68"/>
        <v>1.9999999999527063E-3</v>
      </c>
      <c r="T82" s="63">
        <f>T56-T57</f>
        <v>4.2863000000011198E-2</v>
      </c>
      <c r="U82" s="64">
        <f>U56-U57</f>
        <v>1.0862999999915246E-2</v>
      </c>
      <c r="V82" s="64">
        <f t="shared" ref="V82:X82" si="69">V56-V57</f>
        <v>-0.66600000000005366</v>
      </c>
      <c r="W82" s="64"/>
      <c r="X82" s="64">
        <f t="shared" si="69"/>
        <v>-1.4999999999986358E-2</v>
      </c>
    </row>
    <row r="83" spans="14:25" x14ac:dyDescent="0.25">
      <c r="N83" s="49"/>
      <c r="P83" s="63"/>
      <c r="Q83" s="63">
        <f t="shared" ref="Q83:V83" si="70">Q12-Q13</f>
        <v>0</v>
      </c>
      <c r="R83" s="63">
        <f t="shared" si="70"/>
        <v>854.80000000000007</v>
      </c>
      <c r="S83" s="63">
        <f t="shared" si="70"/>
        <v>0</v>
      </c>
      <c r="T83" s="63">
        <f t="shared" si="70"/>
        <v>0</v>
      </c>
      <c r="U83" s="63">
        <f t="shared" si="70"/>
        <v>0</v>
      </c>
      <c r="V83" s="63">
        <f t="shared" si="70"/>
        <v>0</v>
      </c>
      <c r="W83" s="63"/>
      <c r="X83" s="63">
        <f>X12-X13</f>
        <v>0</v>
      </c>
    </row>
    <row r="86" spans="14:25" hidden="1" x14ac:dyDescent="0.25"/>
    <row r="87" spans="14:25" hidden="1" x14ac:dyDescent="0.25"/>
  </sheetData>
  <mergeCells count="3">
    <mergeCell ref="O2:X2"/>
    <mergeCell ref="A2:L2"/>
    <mergeCell ref="A1:X1"/>
  </mergeCells>
  <printOptions horizontalCentered="1" verticalCentered="1"/>
  <pageMargins left="0" right="0" top="0.19685039370078741" bottom="0" header="0" footer="0"/>
  <pageSetup paperSize="4" scale="48" orientation="landscape" horizontalDpi="1200" verticalDpi="1200" r:id="rId1"/>
  <ignoredErrors>
    <ignoredError sqref="T68 I53 X10 T70:V70 T67:U67 T72:U72 Q74 U10:V10 Q75 Q73 S74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20FEE-38EF-410D-953E-08DF08BDB2BF}">
  <dimension ref="E5:H11"/>
  <sheetViews>
    <sheetView workbookViewId="0">
      <selection activeCell="F8" sqref="F8"/>
    </sheetView>
  </sheetViews>
  <sheetFormatPr defaultRowHeight="15" x14ac:dyDescent="0.25"/>
  <sheetData>
    <row r="5" spans="5:8" x14ac:dyDescent="0.25">
      <c r="E5">
        <v>45061928</v>
      </c>
      <c r="F5">
        <v>85</v>
      </c>
    </row>
    <row r="6" spans="5:8" x14ac:dyDescent="0.25">
      <c r="E6">
        <f>E5/1000000</f>
        <v>45.061928000000002</v>
      </c>
      <c r="F6">
        <v>-2.0299999999999998</v>
      </c>
    </row>
    <row r="7" spans="5:8" x14ac:dyDescent="0.25">
      <c r="F7">
        <v>-7.06</v>
      </c>
    </row>
    <row r="8" spans="5:8" x14ac:dyDescent="0.25">
      <c r="F8">
        <f>SUM(F5:F7)</f>
        <v>75.91</v>
      </c>
      <c r="G8">
        <f>F8/1000000</f>
        <v>7.5909999999999997E-5</v>
      </c>
    </row>
    <row r="9" spans="5:8" x14ac:dyDescent="0.25">
      <c r="H9">
        <v>478</v>
      </c>
    </row>
    <row r="10" spans="5:8" x14ac:dyDescent="0.25">
      <c r="H10">
        <v>109</v>
      </c>
    </row>
    <row r="11" spans="5:8" x14ac:dyDescent="0.25">
      <c r="H11">
        <f>H9-H10</f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Peer Analysis</vt:lpstr>
      <vt:lpstr>Consol</vt:lpstr>
      <vt:lpstr>41678Sheet1</vt:lpstr>
      <vt:lpstr>'Peer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puchusakaria@gmail.com</cp:lastModifiedBy>
  <cp:lastPrinted>2023-01-09T10:48:40Z</cp:lastPrinted>
  <dcterms:created xsi:type="dcterms:W3CDTF">2021-01-27T07:46:46Z</dcterms:created>
  <dcterms:modified xsi:type="dcterms:W3CDTF">2024-02-16T09:13:08Z</dcterms:modified>
</cp:coreProperties>
</file>