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v18\Downloads\"/>
    </mc:Choice>
  </mc:AlternateContent>
  <xr:revisionPtr revIDLastSave="0" documentId="13_ncr:1_{F3104E3F-4CB2-40D5-948F-1B935B85094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1" l="1"/>
  <c r="M11" i="1"/>
  <c r="I35" i="1"/>
  <c r="M53" i="1" l="1"/>
  <c r="F25" i="1"/>
  <c r="M56" i="1"/>
  <c r="F62" i="1"/>
  <c r="F64" i="1"/>
  <c r="M24" i="1"/>
  <c r="M48" i="1" s="1"/>
  <c r="M35" i="1"/>
  <c r="L35" i="1"/>
  <c r="M10" i="1"/>
  <c r="M6" i="1"/>
  <c r="F56" i="1"/>
  <c r="F58" i="1" s="1"/>
  <c r="F47" i="1"/>
  <c r="F50" i="1" s="1"/>
  <c r="F9" i="1"/>
  <c r="F17" i="1" s="1"/>
  <c r="F24" i="1" s="1"/>
  <c r="F6" i="1"/>
  <c r="L24" i="1"/>
  <c r="L48" i="1" s="1"/>
  <c r="E62" i="1"/>
  <c r="M54" i="1" l="1"/>
  <c r="M57" i="1" s="1"/>
  <c r="M62" i="1"/>
  <c r="M61" i="1"/>
  <c r="F63" i="1"/>
  <c r="F65" i="1" s="1"/>
  <c r="L43" i="1"/>
  <c r="M49" i="1"/>
  <c r="M58" i="1"/>
  <c r="F26" i="1"/>
  <c r="F27" i="1"/>
  <c r="F20" i="1"/>
  <c r="M12" i="1"/>
  <c r="F32" i="1" l="1"/>
  <c r="F28" i="1"/>
  <c r="D64" i="1"/>
  <c r="C64" i="1"/>
  <c r="B64" i="1"/>
  <c r="E64" i="1"/>
  <c r="E37" i="1"/>
  <c r="K24" i="1"/>
  <c r="J24" i="1"/>
  <c r="I24" i="1"/>
  <c r="I48" i="1" s="1"/>
  <c r="I12" i="1" s="1"/>
  <c r="J35" i="1" l="1"/>
  <c r="K35" i="1"/>
  <c r="I10" i="1"/>
  <c r="I6" i="1"/>
  <c r="I11" i="1" s="1"/>
  <c r="I49" i="1" l="1"/>
  <c r="I69" i="1"/>
  <c r="I62" i="1"/>
  <c r="E36" i="1"/>
  <c r="L63" i="1" l="1"/>
  <c r="L53" i="1"/>
  <c r="L56" i="1" s="1"/>
  <c r="J6" i="1" l="1"/>
  <c r="J11" i="1" s="1"/>
  <c r="B9" i="1" l="1"/>
  <c r="C9" i="1"/>
  <c r="D9" i="1"/>
  <c r="B47" i="1"/>
  <c r="B50" i="1" s="1"/>
  <c r="C43" i="1" s="1"/>
  <c r="B56" i="1"/>
  <c r="B58" i="1" s="1"/>
  <c r="C56" i="1"/>
  <c r="C58" i="1" s="1"/>
  <c r="D56" i="1"/>
  <c r="D58" i="1" s="1"/>
  <c r="E56" i="1"/>
  <c r="E58" i="1" s="1"/>
  <c r="C47" i="1"/>
  <c r="D47" i="1"/>
  <c r="L10" i="1"/>
  <c r="L6" i="1"/>
  <c r="E47" i="1"/>
  <c r="E50" i="1" s="1"/>
  <c r="B6" i="1"/>
  <c r="C6" i="1"/>
  <c r="D6" i="1"/>
  <c r="K6" i="1"/>
  <c r="K11" i="1" s="1"/>
  <c r="K10" i="1"/>
  <c r="L12" i="1"/>
  <c r="D62" i="1"/>
  <c r="C62" i="1"/>
  <c r="I53" i="1"/>
  <c r="K53" i="1"/>
  <c r="K56" i="1" s="1"/>
  <c r="J53" i="1"/>
  <c r="J56" i="1" s="1"/>
  <c r="I43" i="1"/>
  <c r="K43" i="1"/>
  <c r="J43" i="1"/>
  <c r="J48" i="1"/>
  <c r="J12" i="1" s="1"/>
  <c r="D36" i="1"/>
  <c r="C36" i="1"/>
  <c r="J10" i="1"/>
  <c r="E9" i="1"/>
  <c r="E6" i="1"/>
  <c r="L11" i="1" l="1"/>
  <c r="L54" i="1"/>
  <c r="E63" i="1"/>
  <c r="L49" i="1"/>
  <c r="E8" i="1"/>
  <c r="E7" i="1"/>
  <c r="K69" i="1"/>
  <c r="K61" i="1"/>
  <c r="K62" i="1"/>
  <c r="D17" i="1"/>
  <c r="K65" i="1"/>
  <c r="K66" i="1"/>
  <c r="C17" i="1"/>
  <c r="D18" i="1" s="1"/>
  <c r="J65" i="1"/>
  <c r="J66" i="1"/>
  <c r="E17" i="1"/>
  <c r="E20" i="1" s="1"/>
  <c r="L65" i="1"/>
  <c r="L66" i="1"/>
  <c r="L69" i="1"/>
  <c r="L62" i="1"/>
  <c r="L61" i="1"/>
  <c r="J61" i="1"/>
  <c r="J69" i="1"/>
  <c r="J62" i="1"/>
  <c r="B17" i="1"/>
  <c r="B20" i="1" s="1"/>
  <c r="I65" i="1"/>
  <c r="I66" i="1"/>
  <c r="C50" i="1"/>
  <c r="D43" i="1" s="1"/>
  <c r="D50" i="1" s="1"/>
  <c r="D63" i="1"/>
  <c r="D65" i="1" s="1"/>
  <c r="K58" i="1" s="1"/>
  <c r="K49" i="1"/>
  <c r="I64" i="1"/>
  <c r="J49" i="1"/>
  <c r="L57" i="1"/>
  <c r="J68" i="1"/>
  <c r="D7" i="1"/>
  <c r="J64" i="1"/>
  <c r="I68" i="1"/>
  <c r="C63" i="1"/>
  <c r="C65" i="1" s="1"/>
  <c r="K48" i="1"/>
  <c r="K12" i="1" s="1"/>
  <c r="E65" i="1"/>
  <c r="B63" i="1"/>
  <c r="B65" i="1" s="1"/>
  <c r="I61" i="1"/>
  <c r="D20" i="1"/>
  <c r="K68" i="1"/>
  <c r="K64" i="1"/>
  <c r="C7" i="1"/>
  <c r="L68" i="1"/>
  <c r="L64" i="1"/>
  <c r="E18" i="1" l="1"/>
  <c r="I58" i="1"/>
  <c r="L58" i="1"/>
  <c r="C24" i="1"/>
  <c r="C27" i="1" s="1"/>
  <c r="C32" i="1" s="1"/>
  <c r="J60" i="1"/>
  <c r="D24" i="1"/>
  <c r="D26" i="1" s="1"/>
  <c r="K60" i="1"/>
  <c r="C18" i="1"/>
  <c r="B24" i="1"/>
  <c r="B26" i="1" s="1"/>
  <c r="I60" i="1"/>
  <c r="E19" i="1"/>
  <c r="J58" i="1"/>
  <c r="E24" i="1"/>
  <c r="E27" i="1" s="1"/>
  <c r="E32" i="1" s="1"/>
  <c r="L60" i="1"/>
  <c r="C20" i="1"/>
  <c r="J67" i="1"/>
  <c r="I67" i="1"/>
  <c r="K67" i="1"/>
  <c r="L67" i="1"/>
  <c r="E26" i="1"/>
  <c r="C26" i="1" l="1"/>
  <c r="D27" i="1"/>
  <c r="D32" i="1" s="1"/>
  <c r="B27" i="1"/>
  <c r="I59" i="1" s="1"/>
  <c r="J59" i="1"/>
  <c r="C28" i="1"/>
  <c r="D33" i="1"/>
  <c r="K59" i="1"/>
  <c r="D28" i="1"/>
  <c r="L59" i="1"/>
  <c r="E33" i="1"/>
  <c r="E28" i="1"/>
  <c r="E29" i="1"/>
  <c r="B32" i="1"/>
  <c r="B28" i="1" l="1"/>
  <c r="E34" i="1"/>
  <c r="C33" i="1"/>
</calcChain>
</file>

<file path=xl/sharedStrings.xml><?xml version="1.0" encoding="utf-8"?>
<sst xmlns="http://schemas.openxmlformats.org/spreadsheetml/2006/main" count="186" uniqueCount="120">
  <si>
    <t>Income Statement</t>
  </si>
  <si>
    <t>Balance Sheet</t>
  </si>
  <si>
    <t>Y/E, Mar (Rs. mn)</t>
  </si>
  <si>
    <t>FY20</t>
  </si>
  <si>
    <t>FY21</t>
  </si>
  <si>
    <t>FY22</t>
  </si>
  <si>
    <t>Income</t>
  </si>
  <si>
    <t>Share Capital</t>
  </si>
  <si>
    <t>Other Income</t>
  </si>
  <si>
    <t>Other Equity</t>
  </si>
  <si>
    <t>Total Income</t>
  </si>
  <si>
    <t>Networth/Shareholders Fund/ Book Value</t>
  </si>
  <si>
    <t>Growth (%)</t>
  </si>
  <si>
    <t>Minority Interest</t>
  </si>
  <si>
    <t>Expenditure</t>
  </si>
  <si>
    <t>Loans</t>
  </si>
  <si>
    <t>Capital Employed</t>
  </si>
  <si>
    <t>Employee benefit expenses</t>
  </si>
  <si>
    <t>Other Expenses</t>
  </si>
  <si>
    <t>Property Plant &amp; Equipment</t>
  </si>
  <si>
    <t>EBITDA</t>
  </si>
  <si>
    <t>Right of use assets</t>
  </si>
  <si>
    <t>CAGR (%) - 3years</t>
  </si>
  <si>
    <t>EBITDA margin (%)</t>
  </si>
  <si>
    <t xml:space="preserve">Share of profit/ (loss) of a joint venture </t>
  </si>
  <si>
    <t>Excp Item</t>
  </si>
  <si>
    <t>PBT</t>
  </si>
  <si>
    <t>Tax</t>
  </si>
  <si>
    <t>Effective tax rate (%)</t>
  </si>
  <si>
    <t>PAT</t>
  </si>
  <si>
    <t>PAT margin (%)</t>
  </si>
  <si>
    <t>CURRENT ASSETS, LOANS &amp; ADVANCES</t>
  </si>
  <si>
    <t>Inventories</t>
  </si>
  <si>
    <t>Other Comprehensive Income</t>
  </si>
  <si>
    <t>PAT After MI</t>
  </si>
  <si>
    <t>NA</t>
  </si>
  <si>
    <t>CAGR (%) - 3 years</t>
  </si>
  <si>
    <t>EPS</t>
  </si>
  <si>
    <t>CAGR (%)</t>
  </si>
  <si>
    <t>CURRENT LIABILITIES &amp; PROVISIONS</t>
  </si>
  <si>
    <t>Cash Flow</t>
  </si>
  <si>
    <t>Trade Payables</t>
  </si>
  <si>
    <t>Cash and Cash Equivalents at Beginning of the year</t>
  </si>
  <si>
    <t>Cash Flow From Operating Activities</t>
  </si>
  <si>
    <t>Other Financial Liabilties</t>
  </si>
  <si>
    <t>Cash Flow from Investing Activities</t>
  </si>
  <si>
    <t>Current Tax Liabilities (Net)</t>
  </si>
  <si>
    <t>-</t>
  </si>
  <si>
    <t>Cash Flow From Financing Activities</t>
  </si>
  <si>
    <t>Net Inc./(Dec.) in Cash and Cash Equivalent</t>
  </si>
  <si>
    <t>Cash and Cash Equivalents at End of the year</t>
  </si>
  <si>
    <t>NET CURRENT ASSETS</t>
  </si>
  <si>
    <t>Our Calculations</t>
  </si>
  <si>
    <t>Provisions</t>
  </si>
  <si>
    <t>Lease liabilities</t>
  </si>
  <si>
    <t>TOTAL ASSETS</t>
  </si>
  <si>
    <t>TOTAL LIABILITIES</t>
  </si>
  <si>
    <t>Key ratios</t>
  </si>
  <si>
    <t xml:space="preserve">Operating Cash Inflow </t>
  </si>
  <si>
    <t xml:space="preserve">Y/E, Mar </t>
  </si>
  <si>
    <t>Capital Expenditure</t>
  </si>
  <si>
    <t>CMP(Rs)</t>
  </si>
  <si>
    <t>FCF</t>
  </si>
  <si>
    <t>EPS (Rs)</t>
  </si>
  <si>
    <t xml:space="preserve"> </t>
  </si>
  <si>
    <t>BVPS (Rs)</t>
  </si>
  <si>
    <t>DPS (Rs)</t>
  </si>
  <si>
    <t>No. of Shares</t>
  </si>
  <si>
    <t>P/E (x)</t>
  </si>
  <si>
    <t>Market Cap</t>
  </si>
  <si>
    <t>P/BV (x)</t>
  </si>
  <si>
    <t>Total Debt</t>
  </si>
  <si>
    <t>EV/EBIDTA (x)</t>
  </si>
  <si>
    <t>Cash</t>
  </si>
  <si>
    <t>RoE (%)</t>
  </si>
  <si>
    <t>EV</t>
  </si>
  <si>
    <t>RoCE (%)</t>
  </si>
  <si>
    <t>Gross D/E(x)</t>
  </si>
  <si>
    <t>Net D/E (x)</t>
  </si>
  <si>
    <t>Dividend Yield</t>
  </si>
  <si>
    <t>Debtor Days</t>
  </si>
  <si>
    <t>Inventory Days</t>
  </si>
  <si>
    <t>Creditor Days</t>
  </si>
  <si>
    <t>Cash Conversion cycle</t>
  </si>
  <si>
    <t>Working Capital Days</t>
  </si>
  <si>
    <t>Interest Cost</t>
  </si>
  <si>
    <t>Effect of change in foreign exchange rates</t>
  </si>
  <si>
    <t>FY23</t>
  </si>
  <si>
    <t>Purchase of stock in trade/cost of materials consumed</t>
  </si>
  <si>
    <t xml:space="preserve">Changes in inventory </t>
  </si>
  <si>
    <t xml:space="preserve">Finance costs </t>
  </si>
  <si>
    <t xml:space="preserve">Depreciation and amoretization expense </t>
  </si>
  <si>
    <t>Abans Holdings Limited (Consolidated)</t>
  </si>
  <si>
    <t xml:space="preserve">Changes due to addition/disposal of subsidiaries </t>
  </si>
  <si>
    <t>Deferred Tax liablity (net)</t>
  </si>
  <si>
    <t xml:space="preserve">Derivative financial instruments </t>
  </si>
  <si>
    <t xml:space="preserve">Provisons </t>
  </si>
  <si>
    <t>Other Current Liabilties</t>
  </si>
  <si>
    <t>Borrowings (NON-CURRENT)</t>
  </si>
  <si>
    <t>Borrowings (CURRENT)</t>
  </si>
  <si>
    <t>Goodwill on consolidation</t>
  </si>
  <si>
    <t xml:space="preserve">Financial Assets </t>
  </si>
  <si>
    <t xml:space="preserve">1) Investments </t>
  </si>
  <si>
    <t xml:space="preserve">2) Loans </t>
  </si>
  <si>
    <t>3) Other Non Current Financial Assets</t>
  </si>
  <si>
    <t>Other non current Assets</t>
  </si>
  <si>
    <t>1) Trade Recievables</t>
  </si>
  <si>
    <t>2) Cash &amp; Cash Equivalents</t>
  </si>
  <si>
    <t>3) Other Bank Balances</t>
  </si>
  <si>
    <t>4) Other current financial assets</t>
  </si>
  <si>
    <t xml:space="preserve">5) Derivative Financial instruments </t>
  </si>
  <si>
    <t xml:space="preserve">6) Investments </t>
  </si>
  <si>
    <t xml:space="preserve">7) short term loans and advances </t>
  </si>
  <si>
    <t>Not Listed</t>
  </si>
  <si>
    <t xml:space="preserve">Current Tax Asset </t>
  </si>
  <si>
    <t>Other Current Asset</t>
  </si>
  <si>
    <t>H1-FY24</t>
  </si>
  <si>
    <t>9M-FY24</t>
  </si>
  <si>
    <t xml:space="preserve">Balance Sheet and Mixed Ratios are as per H1-FY24 Result Updates while P&amp;L Ratio is as per 9M-FY24 Result Updates       
</t>
  </si>
  <si>
    <t>Other Intangible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</si>
</sst>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 * #,##0.0_ ;_ * \-#,##0.0_ ;_ * &quot;-&quot;??_ ;_ @_ "/>
    <numFmt numFmtId="165" formatCode="0.0"/>
    <numFmt numFmtId="166" formatCode="0.0%"/>
    <numFmt numFmtId="167" formatCode="_ * #,##0_ ;_ * \-#,##0_ ;_ * &quot;-&quot;??_ ;_ @_ "/>
    <numFmt numFmtId="168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4" fillId="0" borderId="5" xfId="0" applyFont="1" applyBorder="1"/>
    <xf numFmtId="43" fontId="5" fillId="0" borderId="6" xfId="1" applyFont="1" applyFill="1" applyBorder="1" applyAlignment="1">
      <alignment horizontal="right"/>
    </xf>
    <xf numFmtId="0" fontId="4" fillId="0" borderId="6" xfId="0" applyFont="1" applyBorder="1"/>
    <xf numFmtId="0" fontId="4" fillId="0" borderId="6" xfId="0" applyFont="1" applyBorder="1" applyAlignment="1">
      <alignment horizontal="right"/>
    </xf>
    <xf numFmtId="164" fontId="4" fillId="0" borderId="6" xfId="1" applyNumberFormat="1" applyFont="1" applyBorder="1"/>
    <xf numFmtId="164" fontId="5" fillId="0" borderId="6" xfId="1" applyNumberFormat="1" applyFont="1" applyFill="1" applyBorder="1"/>
    <xf numFmtId="43" fontId="5" fillId="0" borderId="6" xfId="1" applyFont="1" applyFill="1" applyBorder="1"/>
    <xf numFmtId="10" fontId="6" fillId="0" borderId="0" xfId="2" applyNumberFormat="1" applyFont="1"/>
    <xf numFmtId="0" fontId="6" fillId="0" borderId="6" xfId="0" applyFont="1" applyBorder="1"/>
    <xf numFmtId="164" fontId="6" fillId="0" borderId="6" xfId="1" applyNumberFormat="1" applyFont="1" applyBorder="1"/>
    <xf numFmtId="0" fontId="6" fillId="0" borderId="0" xfId="0" applyFont="1"/>
    <xf numFmtId="0" fontId="7" fillId="0" borderId="6" xfId="0" applyFont="1" applyBorder="1"/>
    <xf numFmtId="0" fontId="4" fillId="3" borderId="6" xfId="0" applyFont="1" applyFill="1" applyBorder="1"/>
    <xf numFmtId="164" fontId="4" fillId="3" borderId="6" xfId="1" applyNumberFormat="1" applyFont="1" applyFill="1" applyBorder="1"/>
    <xf numFmtId="164" fontId="4" fillId="3" borderId="7" xfId="1" applyNumberFormat="1" applyFont="1" applyFill="1" applyBorder="1"/>
    <xf numFmtId="0" fontId="8" fillId="3" borderId="6" xfId="0" applyFont="1" applyFill="1" applyBorder="1"/>
    <xf numFmtId="10" fontId="8" fillId="3" borderId="6" xfId="0" applyNumberFormat="1" applyFont="1" applyFill="1" applyBorder="1"/>
    <xf numFmtId="164" fontId="5" fillId="3" borderId="6" xfId="1" applyNumberFormat="1" applyFont="1" applyFill="1" applyBorder="1"/>
    <xf numFmtId="164" fontId="5" fillId="0" borderId="7" xfId="1" applyNumberFormat="1" applyFont="1" applyFill="1" applyBorder="1"/>
    <xf numFmtId="164" fontId="4" fillId="0" borderId="6" xfId="1" applyNumberFormat="1" applyFont="1" applyFill="1" applyBorder="1"/>
    <xf numFmtId="164" fontId="6" fillId="4" borderId="6" xfId="1" applyNumberFormat="1" applyFont="1" applyFill="1" applyBorder="1"/>
    <xf numFmtId="10" fontId="4" fillId="3" borderId="6" xfId="0" applyNumberFormat="1" applyFont="1" applyFill="1" applyBorder="1"/>
    <xf numFmtId="10" fontId="4" fillId="0" borderId="0" xfId="0" applyNumberFormat="1" applyFont="1"/>
    <xf numFmtId="0" fontId="6" fillId="0" borderId="8" xfId="0" applyFont="1" applyBorder="1"/>
    <xf numFmtId="164" fontId="7" fillId="0" borderId="6" xfId="1" applyNumberFormat="1" applyFont="1" applyFill="1" applyBorder="1"/>
    <xf numFmtId="0" fontId="7" fillId="0" borderId="8" xfId="0" applyFont="1" applyBorder="1"/>
    <xf numFmtId="10" fontId="4" fillId="3" borderId="6" xfId="2" applyNumberFormat="1" applyFont="1" applyFill="1" applyBorder="1"/>
    <xf numFmtId="165" fontId="6" fillId="0" borderId="6" xfId="0" applyNumberFormat="1" applyFont="1" applyBorder="1"/>
    <xf numFmtId="10" fontId="10" fillId="3" borderId="6" xfId="0" applyNumberFormat="1" applyFont="1" applyFill="1" applyBorder="1"/>
    <xf numFmtId="0" fontId="6" fillId="3" borderId="6" xfId="0" applyFont="1" applyFill="1" applyBorder="1"/>
    <xf numFmtId="10" fontId="6" fillId="3" borderId="6" xfId="0" applyNumberFormat="1" applyFont="1" applyFill="1" applyBorder="1"/>
    <xf numFmtId="0" fontId="9" fillId="0" borderId="0" xfId="0" applyFont="1"/>
    <xf numFmtId="165" fontId="7" fillId="0" borderId="7" xfId="0" applyNumberFormat="1" applyFont="1" applyBorder="1"/>
    <xf numFmtId="164" fontId="6" fillId="0" borderId="7" xfId="1" applyNumberFormat="1" applyFont="1" applyFill="1" applyBorder="1"/>
    <xf numFmtId="164" fontId="6" fillId="0" borderId="0" xfId="1" applyNumberFormat="1" applyFont="1" applyBorder="1"/>
    <xf numFmtId="0" fontId="6" fillId="0" borderId="7" xfId="0" applyFont="1" applyBorder="1"/>
    <xf numFmtId="165" fontId="6" fillId="0" borderId="7" xfId="0" applyNumberFormat="1" applyFont="1" applyBorder="1"/>
    <xf numFmtId="165" fontId="6" fillId="0" borderId="9" xfId="0" applyNumberFormat="1" applyFont="1" applyBorder="1"/>
    <xf numFmtId="164" fontId="7" fillId="3" borderId="6" xfId="1" applyNumberFormat="1" applyFont="1" applyFill="1" applyBorder="1"/>
    <xf numFmtId="164" fontId="5" fillId="3" borderId="7" xfId="1" applyNumberFormat="1" applyFont="1" applyFill="1" applyBorder="1"/>
    <xf numFmtId="0" fontId="5" fillId="0" borderId="7" xfId="0" applyFont="1" applyBorder="1" applyAlignment="1">
      <alignment horizontal="right"/>
    </xf>
    <xf numFmtId="165" fontId="4" fillId="0" borderId="6" xfId="0" applyNumberFormat="1" applyFont="1" applyBorder="1"/>
    <xf numFmtId="43" fontId="6" fillId="0" borderId="6" xfId="1" applyFont="1" applyBorder="1"/>
    <xf numFmtId="0" fontId="6" fillId="4" borderId="6" xfId="0" applyFont="1" applyFill="1" applyBorder="1"/>
    <xf numFmtId="165" fontId="4" fillId="3" borderId="6" xfId="0" applyNumberFormat="1" applyFont="1" applyFill="1" applyBorder="1"/>
    <xf numFmtId="43" fontId="5" fillId="3" borderId="6" xfId="1" applyFont="1" applyFill="1" applyBorder="1"/>
    <xf numFmtId="43" fontId="5" fillId="3" borderId="7" xfId="1" applyFont="1" applyFill="1" applyBorder="1"/>
    <xf numFmtId="165" fontId="6" fillId="3" borderId="6" xfId="0" applyNumberFormat="1" applyFont="1" applyFill="1" applyBorder="1"/>
    <xf numFmtId="43" fontId="6" fillId="3" borderId="6" xfId="1" applyFont="1" applyFill="1" applyBorder="1"/>
    <xf numFmtId="43" fontId="6" fillId="3" borderId="7" xfId="1" applyFont="1" applyFill="1" applyBorder="1"/>
    <xf numFmtId="3" fontId="11" fillId="0" borderId="6" xfId="0" applyNumberFormat="1" applyFont="1" applyBorder="1"/>
    <xf numFmtId="3" fontId="11" fillId="4" borderId="6" xfId="0" applyNumberFormat="1" applyFont="1" applyFill="1" applyBorder="1"/>
    <xf numFmtId="43" fontId="7" fillId="3" borderId="6" xfId="1" applyFont="1" applyFill="1" applyBorder="1"/>
    <xf numFmtId="43" fontId="7" fillId="3" borderId="7" xfId="1" applyFont="1" applyFill="1" applyBorder="1"/>
    <xf numFmtId="166" fontId="6" fillId="0" borderId="6" xfId="0" applyNumberFormat="1" applyFont="1" applyBorder="1"/>
    <xf numFmtId="10" fontId="6" fillId="3" borderId="7" xfId="0" applyNumberFormat="1" applyFont="1" applyFill="1" applyBorder="1"/>
    <xf numFmtId="2" fontId="6" fillId="3" borderId="6" xfId="0" applyNumberFormat="1" applyFont="1" applyFill="1" applyBorder="1"/>
    <xf numFmtId="2" fontId="7" fillId="3" borderId="6" xfId="0" applyNumberFormat="1" applyFont="1" applyFill="1" applyBorder="1"/>
    <xf numFmtId="2" fontId="7" fillId="3" borderId="7" xfId="0" applyNumberFormat="1" applyFont="1" applyFill="1" applyBorder="1"/>
    <xf numFmtId="10" fontId="7" fillId="3" borderId="6" xfId="2" applyNumberFormat="1" applyFont="1" applyFill="1" applyBorder="1"/>
    <xf numFmtId="165" fontId="6" fillId="0" borderId="0" xfId="0" applyNumberFormat="1" applyFont="1"/>
    <xf numFmtId="1" fontId="6" fillId="3" borderId="7" xfId="0" applyNumberFormat="1" applyFont="1" applyFill="1" applyBorder="1"/>
    <xf numFmtId="1" fontId="6" fillId="3" borderId="6" xfId="0" applyNumberFormat="1" applyFont="1" applyFill="1" applyBorder="1"/>
    <xf numFmtId="167" fontId="6" fillId="3" borderId="7" xfId="0" applyNumberFormat="1" applyFont="1" applyFill="1" applyBorder="1"/>
    <xf numFmtId="167" fontId="6" fillId="3" borderId="6" xfId="0" applyNumberFormat="1" applyFont="1" applyFill="1" applyBorder="1"/>
    <xf numFmtId="1" fontId="7" fillId="3" borderId="7" xfId="0" applyNumberFormat="1" applyFont="1" applyFill="1" applyBorder="1"/>
    <xf numFmtId="1" fontId="7" fillId="3" borderId="6" xfId="0" applyNumberFormat="1" applyFont="1" applyFill="1" applyBorder="1"/>
    <xf numFmtId="10" fontId="7" fillId="3" borderId="7" xfId="2" applyNumberFormat="1" applyFont="1" applyFill="1" applyBorder="1"/>
    <xf numFmtId="0" fontId="6" fillId="0" borderId="5" xfId="0" applyFont="1" applyBorder="1"/>
    <xf numFmtId="0" fontId="7" fillId="0" borderId="5" xfId="0" applyFont="1" applyBorder="1"/>
    <xf numFmtId="0" fontId="4" fillId="0" borderId="6" xfId="0" applyFont="1" applyBorder="1" applyAlignment="1">
      <alignment horizontal="left"/>
    </xf>
    <xf numFmtId="10" fontId="6" fillId="3" borderId="6" xfId="2" applyNumberFormat="1" applyFont="1" applyFill="1" applyBorder="1" applyAlignment="1">
      <alignment horizontal="right"/>
    </xf>
    <xf numFmtId="43" fontId="0" fillId="0" borderId="0" xfId="0" applyNumberFormat="1"/>
    <xf numFmtId="43" fontId="5" fillId="0" borderId="0" xfId="1" applyFont="1" applyFill="1" applyBorder="1" applyAlignment="1">
      <alignment horizontal="right"/>
    </xf>
    <xf numFmtId="167" fontId="6" fillId="0" borderId="6" xfId="1" applyNumberFormat="1" applyFont="1" applyBorder="1"/>
    <xf numFmtId="165" fontId="6" fillId="0" borderId="6" xfId="1" applyNumberFormat="1" applyFont="1" applyFill="1" applyBorder="1"/>
    <xf numFmtId="165" fontId="6" fillId="0" borderId="6" xfId="1" applyNumberFormat="1" applyFont="1" applyBorder="1"/>
    <xf numFmtId="165" fontId="6" fillId="0" borderId="4" xfId="0" applyNumberFormat="1" applyFont="1" applyBorder="1"/>
    <xf numFmtId="43" fontId="6" fillId="4" borderId="6" xfId="1" applyFont="1" applyFill="1" applyBorder="1"/>
    <xf numFmtId="43" fontId="7" fillId="0" borderId="7" xfId="1" applyFont="1" applyBorder="1"/>
    <xf numFmtId="43" fontId="6" fillId="0" borderId="7" xfId="1" applyFont="1" applyBorder="1"/>
    <xf numFmtId="164" fontId="6" fillId="0" borderId="6" xfId="1" applyNumberFormat="1" applyFont="1" applyBorder="1" applyAlignment="1">
      <alignment horizontal="center"/>
    </xf>
    <xf numFmtId="43" fontId="5" fillId="0" borderId="7" xfId="1" applyFont="1" applyFill="1" applyBorder="1" applyAlignment="1">
      <alignment horizontal="right"/>
    </xf>
    <xf numFmtId="0" fontId="6" fillId="4" borderId="7" xfId="0" applyFont="1" applyFill="1" applyBorder="1"/>
    <xf numFmtId="43" fontId="6" fillId="4" borderId="7" xfId="1" applyFont="1" applyFill="1" applyBorder="1"/>
    <xf numFmtId="2" fontId="6" fillId="3" borderId="7" xfId="0" applyNumberFormat="1" applyFont="1" applyFill="1" applyBorder="1"/>
    <xf numFmtId="0" fontId="0" fillId="0" borderId="6" xfId="0" applyBorder="1"/>
    <xf numFmtId="165" fontId="12" fillId="0" borderId="6" xfId="0" applyNumberFormat="1" applyFont="1" applyBorder="1"/>
    <xf numFmtId="165" fontId="6" fillId="0" borderId="6" xfId="0" applyNumberFormat="1" applyFont="1" applyBorder="1" applyAlignment="1">
      <alignment horizontal="right"/>
    </xf>
    <xf numFmtId="168" fontId="6" fillId="0" borderId="6" xfId="0" applyNumberFormat="1" applyFont="1" applyBorder="1"/>
    <xf numFmtId="168" fontId="6" fillId="0" borderId="6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0" fontId="0" fillId="3" borderId="6" xfId="0" applyFill="1" applyBorder="1" applyAlignment="1">
      <alignment horizontal="right"/>
    </xf>
    <xf numFmtId="43" fontId="4" fillId="3" borderId="6" xfId="1" applyFont="1" applyFill="1" applyBorder="1"/>
    <xf numFmtId="10" fontId="8" fillId="3" borderId="6" xfId="0" applyNumberFormat="1" applyFont="1" applyFill="1" applyBorder="1" applyAlignment="1">
      <alignment horizontal="right"/>
    </xf>
    <xf numFmtId="10" fontId="10" fillId="3" borderId="6" xfId="0" applyNumberFormat="1" applyFont="1" applyFill="1" applyBorder="1" applyAlignment="1">
      <alignment horizontal="right"/>
    </xf>
    <xf numFmtId="10" fontId="6" fillId="3" borderId="6" xfId="0" applyNumberFormat="1" applyFont="1" applyFill="1" applyBorder="1" applyAlignment="1">
      <alignment horizontal="right"/>
    </xf>
    <xf numFmtId="43" fontId="6" fillId="3" borderId="7" xfId="1" applyFont="1" applyFill="1" applyBorder="1" applyAlignment="1">
      <alignment horizontal="right"/>
    </xf>
    <xf numFmtId="43" fontId="6" fillId="3" borderId="6" xfId="1" applyFont="1" applyFill="1" applyBorder="1" applyAlignment="1">
      <alignment horizontal="right"/>
    </xf>
    <xf numFmtId="10" fontId="7" fillId="3" borderId="6" xfId="2" applyNumberFormat="1" applyFont="1" applyFill="1" applyBorder="1" applyAlignment="1">
      <alignment horizontal="right"/>
    </xf>
    <xf numFmtId="164" fontId="6" fillId="0" borderId="6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2" fontId="4" fillId="0" borderId="7" xfId="0" applyNumberFormat="1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6"/>
  <sheetViews>
    <sheetView tabSelected="1" zoomScale="70" zoomScaleNormal="70" workbookViewId="0">
      <selection activeCell="H74" sqref="H74"/>
    </sheetView>
  </sheetViews>
  <sheetFormatPr defaultRowHeight="15" x14ac:dyDescent="0.25"/>
  <cols>
    <col min="1" max="1" width="68.42578125" customWidth="1"/>
    <col min="2" max="3" width="11.28515625" bestFit="1" customWidth="1"/>
    <col min="4" max="4" width="10.7109375" bestFit="1" customWidth="1"/>
    <col min="5" max="6" width="13.42578125" bestFit="1" customWidth="1"/>
    <col min="7" max="7" width="4" customWidth="1"/>
    <col min="8" max="8" width="49.140625" bestFit="1" customWidth="1"/>
    <col min="9" max="12" width="11.28515625" bestFit="1" customWidth="1"/>
    <col min="13" max="13" width="11.7109375" customWidth="1"/>
    <col min="14" max="14" width="10.5703125" bestFit="1" customWidth="1"/>
    <col min="16" max="16" width="15.140625" bestFit="1" customWidth="1"/>
  </cols>
  <sheetData>
    <row r="1" spans="1:16" ht="15.75" customHeight="1" x14ac:dyDescent="0.25">
      <c r="A1" s="105" t="s">
        <v>92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6" ht="15.75" x14ac:dyDescent="0.25">
      <c r="A2" s="103" t="s">
        <v>0</v>
      </c>
      <c r="B2" s="104"/>
      <c r="C2" s="104"/>
      <c r="D2" s="104"/>
      <c r="E2" s="104"/>
      <c r="F2" s="104"/>
      <c r="G2" s="1"/>
      <c r="H2" s="103" t="s">
        <v>1</v>
      </c>
      <c r="I2" s="104"/>
      <c r="J2" s="104"/>
      <c r="K2" s="104"/>
      <c r="L2" s="104"/>
      <c r="M2" s="104"/>
    </row>
    <row r="3" spans="1:16" ht="15.75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87</v>
      </c>
      <c r="F3" s="3" t="s">
        <v>117</v>
      </c>
      <c r="G3" s="1"/>
      <c r="H3" s="4" t="s">
        <v>2</v>
      </c>
      <c r="I3" s="3" t="s">
        <v>3</v>
      </c>
      <c r="J3" s="3" t="s">
        <v>4</v>
      </c>
      <c r="K3" s="3" t="s">
        <v>5</v>
      </c>
      <c r="L3" s="3" t="s">
        <v>87</v>
      </c>
      <c r="M3" s="3" t="s">
        <v>116</v>
      </c>
      <c r="O3" s="75"/>
      <c r="P3" s="75"/>
    </row>
    <row r="4" spans="1:16" ht="15.75" x14ac:dyDescent="0.25">
      <c r="A4" s="4" t="s">
        <v>6</v>
      </c>
      <c r="B4" s="7">
        <v>27652.06</v>
      </c>
      <c r="C4" s="7">
        <v>13255.11</v>
      </c>
      <c r="D4" s="7">
        <v>6386.2780000000002</v>
      </c>
      <c r="E4" s="7">
        <v>11509.73</v>
      </c>
      <c r="F4" s="7">
        <v>11121.291999999999</v>
      </c>
      <c r="G4" s="9"/>
      <c r="H4" s="10" t="s">
        <v>7</v>
      </c>
      <c r="I4" s="11">
        <v>30.896999999999998</v>
      </c>
      <c r="J4" s="11">
        <v>92.691999999999993</v>
      </c>
      <c r="K4" s="11">
        <v>92.691999999999993</v>
      </c>
      <c r="L4" s="11">
        <v>100.292</v>
      </c>
      <c r="M4" s="11">
        <v>100.292</v>
      </c>
    </row>
    <row r="5" spans="1:16" ht="15.75" x14ac:dyDescent="0.25">
      <c r="A5" s="10" t="s">
        <v>8</v>
      </c>
      <c r="B5" s="11">
        <v>66.73</v>
      </c>
      <c r="C5" s="11">
        <v>58.53</v>
      </c>
      <c r="D5" s="11">
        <v>76.067999999999998</v>
      </c>
      <c r="E5" s="11">
        <v>130.54</v>
      </c>
      <c r="F5" s="11">
        <v>158.16499999999999</v>
      </c>
      <c r="G5" s="12"/>
      <c r="H5" s="13" t="s">
        <v>9</v>
      </c>
      <c r="I5" s="11">
        <v>4964.58</v>
      </c>
      <c r="J5" s="11">
        <v>5526.7780000000002</v>
      </c>
      <c r="K5" s="11">
        <v>6218.6559999999999</v>
      </c>
      <c r="L5" s="11">
        <v>8168.5039999999999</v>
      </c>
      <c r="M5" s="102">
        <v>8655.3490000000002</v>
      </c>
    </row>
    <row r="6" spans="1:16" ht="15.75" x14ac:dyDescent="0.25">
      <c r="A6" s="14" t="s">
        <v>10</v>
      </c>
      <c r="B6" s="15">
        <f>B4+B5</f>
        <v>27718.79</v>
      </c>
      <c r="C6" s="15">
        <f>C4+C5</f>
        <v>13313.640000000001</v>
      </c>
      <c r="D6" s="15">
        <f>D4+D5</f>
        <v>6462.3460000000005</v>
      </c>
      <c r="E6" s="15">
        <f>E4+E5</f>
        <v>11640.27</v>
      </c>
      <c r="F6" s="15">
        <f>F4+F5</f>
        <v>11279.457</v>
      </c>
      <c r="G6" s="12"/>
      <c r="H6" s="14" t="s">
        <v>11</v>
      </c>
      <c r="I6" s="16">
        <f>(I4+I5)+I7</f>
        <v>5900.2479999999996</v>
      </c>
      <c r="J6" s="15">
        <f>(J4+J5)+J7</f>
        <v>6600.8</v>
      </c>
      <c r="K6" s="15">
        <f>K4+K5+K7</f>
        <v>7356.65</v>
      </c>
      <c r="L6" s="15">
        <f>L4+L5+L7</f>
        <v>9043.893</v>
      </c>
      <c r="M6" s="15">
        <f>M4+M5+M7</f>
        <v>9533.0560000000005</v>
      </c>
    </row>
    <row r="7" spans="1:16" ht="15.75" x14ac:dyDescent="0.25">
      <c r="A7" s="17" t="s">
        <v>12</v>
      </c>
      <c r="B7" s="18" t="s">
        <v>35</v>
      </c>
      <c r="C7" s="18">
        <f>(C6/B6-1)</f>
        <v>-0.51968899075320385</v>
      </c>
      <c r="D7" s="18">
        <f>(D6/C6-1)</f>
        <v>-0.51460712472321624</v>
      </c>
      <c r="E7" s="18">
        <f>(E6/D6-1)</f>
        <v>0.80124524437410183</v>
      </c>
      <c r="F7" s="18"/>
      <c r="G7" s="12"/>
      <c r="H7" s="10" t="s">
        <v>13</v>
      </c>
      <c r="I7" s="11">
        <v>904.77099999999996</v>
      </c>
      <c r="J7" s="11">
        <v>981.33</v>
      </c>
      <c r="K7" s="11">
        <v>1045.3019999999999</v>
      </c>
      <c r="L7" s="11">
        <v>775.09699999999998</v>
      </c>
      <c r="M7" s="29">
        <v>777.41499999999996</v>
      </c>
    </row>
    <row r="8" spans="1:16" ht="15.75" x14ac:dyDescent="0.25">
      <c r="A8" s="17" t="s">
        <v>36</v>
      </c>
      <c r="B8" s="18" t="s">
        <v>35</v>
      </c>
      <c r="C8" s="18" t="s">
        <v>35</v>
      </c>
      <c r="D8" s="18" t="s">
        <v>35</v>
      </c>
      <c r="E8" s="18">
        <f>(E6/B6)^(1/3)-1</f>
        <v>-0.25114753803514933</v>
      </c>
      <c r="F8" s="18"/>
      <c r="G8" s="12"/>
      <c r="H8" s="10" t="s">
        <v>98</v>
      </c>
      <c r="I8" s="11">
        <v>1606.606</v>
      </c>
      <c r="J8" s="11">
        <v>1987.0119999999999</v>
      </c>
      <c r="K8" s="11">
        <v>344.36099999999999</v>
      </c>
      <c r="L8" s="11">
        <v>1062.4459999999999</v>
      </c>
      <c r="M8" s="91">
        <v>1338.671</v>
      </c>
    </row>
    <row r="9" spans="1:16" ht="15.75" x14ac:dyDescent="0.25">
      <c r="A9" s="14" t="s">
        <v>14</v>
      </c>
      <c r="B9" s="15">
        <f>SUM(B10:B16)</f>
        <v>27295.49</v>
      </c>
      <c r="C9" s="15">
        <f>SUM(C10:C16)</f>
        <v>12822.550000000001</v>
      </c>
      <c r="D9" s="15">
        <f>SUM(D10:D16)</f>
        <v>5805.2439999999988</v>
      </c>
      <c r="E9" s="15">
        <f>SUM(E10:E16)</f>
        <v>10879.385999999999</v>
      </c>
      <c r="F9" s="15">
        <f>SUM(F10:F16)</f>
        <v>10531.780999999999</v>
      </c>
      <c r="G9" s="12"/>
      <c r="H9" s="10" t="s">
        <v>99</v>
      </c>
      <c r="I9" s="11">
        <v>1581.3389999999999</v>
      </c>
      <c r="J9" s="11">
        <v>686.84400000000005</v>
      </c>
      <c r="K9" s="11">
        <v>514.68200000000002</v>
      </c>
      <c r="L9" s="11">
        <v>3349.68</v>
      </c>
      <c r="M9" s="91">
        <v>5825.9080000000004</v>
      </c>
    </row>
    <row r="10" spans="1:16" ht="15.75" x14ac:dyDescent="0.25">
      <c r="A10" s="10" t="s">
        <v>88</v>
      </c>
      <c r="B10" s="11">
        <v>26079.86</v>
      </c>
      <c r="C10" s="11">
        <v>11653.82</v>
      </c>
      <c r="D10" s="11">
        <v>5654.6880000000001</v>
      </c>
      <c r="E10" s="11">
        <v>10486.482</v>
      </c>
      <c r="F10" s="11">
        <v>9298.4259999999995</v>
      </c>
      <c r="G10" s="12"/>
      <c r="H10" s="14" t="s">
        <v>15</v>
      </c>
      <c r="I10" s="16">
        <f>(I8+I9)</f>
        <v>3187.9449999999997</v>
      </c>
      <c r="J10" s="15">
        <f>(J8+J9)</f>
        <v>2673.8559999999998</v>
      </c>
      <c r="K10" s="15">
        <f>K8+K9</f>
        <v>859.04300000000001</v>
      </c>
      <c r="L10" s="15">
        <f>L8+L9</f>
        <v>4412.1260000000002</v>
      </c>
      <c r="M10" s="15">
        <f>M8+M9</f>
        <v>7164.5790000000006</v>
      </c>
    </row>
    <row r="11" spans="1:16" ht="15.75" x14ac:dyDescent="0.25">
      <c r="A11" s="10" t="s">
        <v>89</v>
      </c>
      <c r="B11" s="11">
        <v>215.71</v>
      </c>
      <c r="C11" s="11">
        <v>55.19</v>
      </c>
      <c r="D11" s="11">
        <v>-464.81400000000002</v>
      </c>
      <c r="E11" s="11">
        <v>-112.74299999999999</v>
      </c>
      <c r="F11" s="11">
        <v>285.41800000000001</v>
      </c>
      <c r="G11" s="12"/>
      <c r="H11" s="14" t="s">
        <v>16</v>
      </c>
      <c r="I11" s="15">
        <f>(I6+I8+I46+I45+I47+I44)</f>
        <v>7680.5549999999994</v>
      </c>
      <c r="J11" s="15">
        <f>(J6+J8+J46+J45+J47+J44)</f>
        <v>8646.3809999999994</v>
      </c>
      <c r="K11" s="15">
        <f>(K6+K8+K46+K45+K47+K44)</f>
        <v>7748.1349999999993</v>
      </c>
      <c r="L11" s="15">
        <f>(L6+L8+L46+L45+L47+L44)</f>
        <v>10152.955</v>
      </c>
      <c r="M11" s="15">
        <f>(M6+M8+M46+M45+M47+M44)</f>
        <v>10906.083000000001</v>
      </c>
    </row>
    <row r="12" spans="1:16" ht="15.75" hidden="1" x14ac:dyDescent="0.25">
      <c r="A12" s="88"/>
      <c r="B12" s="88"/>
      <c r="C12" s="88"/>
      <c r="D12" s="88"/>
      <c r="E12" s="88"/>
      <c r="F12" s="88"/>
      <c r="G12" s="12"/>
      <c r="H12" s="14" t="s">
        <v>16</v>
      </c>
      <c r="I12" s="15">
        <f>I48-I35</f>
        <v>7680.5549999999994</v>
      </c>
      <c r="J12" s="15">
        <f>J48-J35</f>
        <v>8646.3809999999976</v>
      </c>
      <c r="K12" s="15">
        <f>K48-K35</f>
        <v>7748.1349999999993</v>
      </c>
      <c r="L12" s="15">
        <f>L48-L35</f>
        <v>10152.954999999998</v>
      </c>
      <c r="M12" s="15">
        <f>M48-M35</f>
        <v>10906.082999999999</v>
      </c>
    </row>
    <row r="13" spans="1:16" ht="15.75" x14ac:dyDescent="0.25">
      <c r="A13" s="10" t="s">
        <v>17</v>
      </c>
      <c r="B13" s="11">
        <v>233.52</v>
      </c>
      <c r="C13" s="11">
        <v>148.44999999999999</v>
      </c>
      <c r="D13" s="11">
        <v>129.47999999999999</v>
      </c>
      <c r="E13" s="11">
        <v>144.45400000000001</v>
      </c>
      <c r="F13" s="11">
        <v>259.97800000000001</v>
      </c>
      <c r="G13" s="12"/>
      <c r="H13" s="10"/>
      <c r="I13" s="20"/>
      <c r="J13" s="10"/>
      <c r="K13" s="10"/>
      <c r="L13" s="10"/>
      <c r="M13" s="88"/>
    </row>
    <row r="14" spans="1:16" ht="15.75" x14ac:dyDescent="0.25">
      <c r="A14" s="10" t="s">
        <v>90</v>
      </c>
      <c r="B14" s="11">
        <v>532.05999999999995</v>
      </c>
      <c r="C14" s="11">
        <v>313.01</v>
      </c>
      <c r="D14" s="11">
        <v>255.125</v>
      </c>
      <c r="E14" s="11">
        <v>96.793999999999997</v>
      </c>
      <c r="F14" s="11">
        <v>397.31900000000002</v>
      </c>
      <c r="G14" s="12"/>
      <c r="H14" s="10" t="s">
        <v>19</v>
      </c>
      <c r="I14" s="11">
        <v>144.69</v>
      </c>
      <c r="J14" s="22">
        <v>138.54599999999999</v>
      </c>
      <c r="K14" s="22">
        <v>133.30500000000001</v>
      </c>
      <c r="L14" s="22">
        <v>130.959</v>
      </c>
      <c r="M14" s="29">
        <v>130.273</v>
      </c>
    </row>
    <row r="15" spans="1:16" ht="15.75" x14ac:dyDescent="0.25">
      <c r="A15" s="10" t="s">
        <v>91</v>
      </c>
      <c r="B15" s="11">
        <v>13.6</v>
      </c>
      <c r="C15" s="11">
        <v>11.16</v>
      </c>
      <c r="D15" s="11">
        <v>7.1769999999999996</v>
      </c>
      <c r="E15" s="11">
        <v>6.5140000000000002</v>
      </c>
      <c r="F15" s="11">
        <v>4.7080000000000002</v>
      </c>
      <c r="G15" s="12"/>
      <c r="H15" s="10" t="s">
        <v>119</v>
      </c>
      <c r="I15" s="11">
        <v>10.750999999999999</v>
      </c>
      <c r="J15" s="11">
        <v>7.22</v>
      </c>
      <c r="K15" s="11">
        <v>4.9009999999999998</v>
      </c>
      <c r="L15" s="11">
        <v>3.794</v>
      </c>
      <c r="M15" s="29">
        <v>11.44</v>
      </c>
    </row>
    <row r="16" spans="1:16" ht="15.75" x14ac:dyDescent="0.25">
      <c r="A16" s="10" t="s">
        <v>18</v>
      </c>
      <c r="B16" s="11">
        <v>220.74</v>
      </c>
      <c r="C16" s="11">
        <v>640.91999999999996</v>
      </c>
      <c r="D16" s="11">
        <v>223.58799999999999</v>
      </c>
      <c r="E16" s="11">
        <v>257.88499999999999</v>
      </c>
      <c r="F16" s="11">
        <v>285.93200000000002</v>
      </c>
      <c r="G16" s="12"/>
      <c r="H16" s="10" t="s">
        <v>21</v>
      </c>
      <c r="I16" s="11">
        <v>1.536</v>
      </c>
      <c r="J16" s="11">
        <v>1.3360000000000001</v>
      </c>
      <c r="K16" s="11">
        <v>1.1359999999999999</v>
      </c>
      <c r="L16" s="11">
        <v>0.93500000000000005</v>
      </c>
      <c r="M16" s="29">
        <v>3.891</v>
      </c>
    </row>
    <row r="17" spans="1:13" ht="15.75" x14ac:dyDescent="0.25">
      <c r="A17" s="14" t="s">
        <v>20</v>
      </c>
      <c r="B17" s="15">
        <f>(B4-B9)+B14+B15</f>
        <v>902.22999999999968</v>
      </c>
      <c r="C17" s="15">
        <f>(C4-C9)+C14+C15</f>
        <v>756.72999999999945</v>
      </c>
      <c r="D17" s="15">
        <f>(D4-D9)+D14+D15</f>
        <v>843.33600000000149</v>
      </c>
      <c r="E17" s="15">
        <f>(E4-E9)+E14+E15</f>
        <v>733.65200000000095</v>
      </c>
      <c r="F17" s="15">
        <f>(F4-F9)+F14+F15</f>
        <v>991.53800000000035</v>
      </c>
      <c r="G17" s="12"/>
      <c r="H17" s="10" t="s">
        <v>100</v>
      </c>
      <c r="I17" s="11">
        <v>55.569000000000003</v>
      </c>
      <c r="J17" s="11">
        <v>56.712000000000003</v>
      </c>
      <c r="K17" s="11">
        <v>56.712000000000003</v>
      </c>
      <c r="L17" s="11">
        <v>56.792999999999999</v>
      </c>
      <c r="M17" s="29">
        <v>56.792999999999999</v>
      </c>
    </row>
    <row r="18" spans="1:13" ht="15.75" x14ac:dyDescent="0.25">
      <c r="A18" s="17" t="s">
        <v>12</v>
      </c>
      <c r="B18" s="96" t="s">
        <v>35</v>
      </c>
      <c r="C18" s="18">
        <f>(C17/B17-1)</f>
        <v>-0.16126708267293288</v>
      </c>
      <c r="D18" s="18">
        <f>(D17/C17-1)</f>
        <v>0.11444768940044936</v>
      </c>
      <c r="E18" s="18">
        <f>(E17/D17-1)</f>
        <v>-0.13005966779551725</v>
      </c>
      <c r="F18" s="18"/>
      <c r="G18" s="12"/>
      <c r="H18" s="10" t="s">
        <v>101</v>
      </c>
      <c r="I18" s="11"/>
      <c r="J18" s="22"/>
      <c r="K18" s="22"/>
      <c r="L18" s="22"/>
      <c r="M18" s="88"/>
    </row>
    <row r="19" spans="1:13" ht="15.75" x14ac:dyDescent="0.25">
      <c r="A19" s="17" t="s">
        <v>22</v>
      </c>
      <c r="B19" s="96" t="s">
        <v>35</v>
      </c>
      <c r="C19" s="96" t="s">
        <v>35</v>
      </c>
      <c r="D19" s="96" t="s">
        <v>35</v>
      </c>
      <c r="E19" s="18">
        <f>(E17/B17)^(1/3)-1</f>
        <v>-6.6621884341720339E-2</v>
      </c>
      <c r="F19" s="18"/>
      <c r="G19" s="24"/>
      <c r="H19" s="10" t="s">
        <v>102</v>
      </c>
      <c r="I19" s="11">
        <v>472.286</v>
      </c>
      <c r="J19" s="11">
        <v>581.48299999999995</v>
      </c>
      <c r="K19" s="11">
        <v>882.35199999999998</v>
      </c>
      <c r="L19" s="11">
        <v>2246.2040000000002</v>
      </c>
      <c r="M19" s="91">
        <v>2299.3389999999999</v>
      </c>
    </row>
    <row r="20" spans="1:13" ht="15.75" x14ac:dyDescent="0.25">
      <c r="A20" s="14" t="s">
        <v>23</v>
      </c>
      <c r="B20" s="23">
        <f>(B17/B4)</f>
        <v>3.2627948876141587E-2</v>
      </c>
      <c r="C20" s="23">
        <f>(C17/C4)</f>
        <v>5.708968088533399E-2</v>
      </c>
      <c r="D20" s="23">
        <f>(D17/D4)</f>
        <v>0.13205438285023005</v>
      </c>
      <c r="E20" s="23">
        <f>(E17/E4)</f>
        <v>6.3741894901096816E-2</v>
      </c>
      <c r="F20" s="23">
        <f>(F17/F4)</f>
        <v>8.9156727473750391E-2</v>
      </c>
      <c r="G20" s="12"/>
      <c r="H20" s="25" t="s">
        <v>103</v>
      </c>
      <c r="I20" s="11" t="s">
        <v>47</v>
      </c>
      <c r="J20" s="22" t="s">
        <v>47</v>
      </c>
      <c r="K20" s="22" t="s">
        <v>47</v>
      </c>
      <c r="L20" s="22">
        <v>1.2909999999999999</v>
      </c>
      <c r="M20" s="29">
        <v>1.1419999999999999</v>
      </c>
    </row>
    <row r="21" spans="1:13" ht="15.75" x14ac:dyDescent="0.25">
      <c r="A21" s="10"/>
      <c r="B21" s="11"/>
      <c r="C21" s="11"/>
      <c r="D21" s="11"/>
      <c r="E21" s="11"/>
      <c r="F21" s="11"/>
      <c r="G21" s="12"/>
      <c r="H21" s="10" t="s">
        <v>104</v>
      </c>
      <c r="I21" s="11">
        <v>12.455</v>
      </c>
      <c r="J21" s="11">
        <v>14.872</v>
      </c>
      <c r="K21" s="11">
        <v>31.637</v>
      </c>
      <c r="L21" s="11">
        <v>35.801000000000002</v>
      </c>
      <c r="M21" s="89">
        <v>50.921999999999997</v>
      </c>
    </row>
    <row r="22" spans="1:13" ht="15.75" x14ac:dyDescent="0.25">
      <c r="A22" s="10" t="s">
        <v>24</v>
      </c>
      <c r="B22" s="11">
        <v>0</v>
      </c>
      <c r="C22" s="11">
        <v>0</v>
      </c>
      <c r="D22" s="11"/>
      <c r="E22" s="11">
        <v>0</v>
      </c>
      <c r="F22" s="83">
        <v>0</v>
      </c>
      <c r="G22" s="12"/>
      <c r="H22" s="13" t="s">
        <v>105</v>
      </c>
      <c r="I22" s="11">
        <v>1.0089999999999999</v>
      </c>
      <c r="J22" s="11">
        <v>0.40899999999999997</v>
      </c>
      <c r="K22" s="11">
        <v>0.45100000000000001</v>
      </c>
      <c r="L22" s="11">
        <v>5.6289999999999996</v>
      </c>
      <c r="M22" s="89">
        <v>5.3150000000000004</v>
      </c>
    </row>
    <row r="23" spans="1:13" ht="15.75" x14ac:dyDescent="0.25">
      <c r="A23" s="10" t="s">
        <v>25</v>
      </c>
      <c r="B23" s="11">
        <v>0</v>
      </c>
      <c r="C23" s="11">
        <v>0</v>
      </c>
      <c r="D23" s="11">
        <v>4.5890000000000004</v>
      </c>
      <c r="E23" s="11">
        <v>-1.3080000000000001</v>
      </c>
      <c r="F23" s="83">
        <v>0</v>
      </c>
      <c r="G23" s="12"/>
      <c r="H23" s="88"/>
      <c r="I23" s="88"/>
      <c r="J23" s="88"/>
      <c r="K23" s="88"/>
      <c r="L23" s="88"/>
      <c r="M23" s="88"/>
    </row>
    <row r="24" spans="1:13" ht="15.75" x14ac:dyDescent="0.25">
      <c r="A24" s="14" t="s">
        <v>26</v>
      </c>
      <c r="B24" s="19">
        <f>(B17-B14-B15+B23+B22+B5)</f>
        <v>423.29999999999973</v>
      </c>
      <c r="C24" s="19">
        <f>(C17-C14-C15+C23+C22+C5)</f>
        <v>491.08999999999946</v>
      </c>
      <c r="D24" s="19">
        <f>(D17-D14-D15+D23+D22+D5)</f>
        <v>661.69100000000151</v>
      </c>
      <c r="E24" s="19">
        <f>(E17-E14-E15+E23+E22+E5)</f>
        <v>759.57600000000093</v>
      </c>
      <c r="F24" s="19">
        <f>(F17-F14-F15+F23+F22+F5)</f>
        <v>747.67600000000027</v>
      </c>
      <c r="G24" s="12"/>
      <c r="H24" s="14" t="s">
        <v>31</v>
      </c>
      <c r="I24" s="16">
        <f t="shared" ref="I24:K24" si="0">SUM(I25:I34)</f>
        <v>11431.466999999999</v>
      </c>
      <c r="J24" s="15">
        <f t="shared" si="0"/>
        <v>11014.539999999999</v>
      </c>
      <c r="K24" s="15">
        <f t="shared" si="0"/>
        <v>10987.084999999999</v>
      </c>
      <c r="L24" s="15">
        <f>SUM(L25:L34)</f>
        <v>16148.466</v>
      </c>
      <c r="M24" s="15">
        <f>SUM(M25:M34)</f>
        <v>21028.988999999998</v>
      </c>
    </row>
    <row r="25" spans="1:13" ht="15.75" x14ac:dyDescent="0.25">
      <c r="A25" s="10" t="s">
        <v>27</v>
      </c>
      <c r="B25" s="26">
        <v>31.12</v>
      </c>
      <c r="C25" s="26">
        <v>33.119999999999997</v>
      </c>
      <c r="D25" s="26">
        <v>43.286999999999999</v>
      </c>
      <c r="E25" s="26">
        <v>56.639000000000003</v>
      </c>
      <c r="F25" s="26">
        <f>92.518-20.108-5.526</f>
        <v>66.884</v>
      </c>
      <c r="G25" s="12"/>
      <c r="H25" s="10" t="s">
        <v>32</v>
      </c>
      <c r="I25" s="11">
        <v>288.33600000000001</v>
      </c>
      <c r="J25" s="11">
        <v>232.161</v>
      </c>
      <c r="K25" s="11">
        <v>601.67899999999997</v>
      </c>
      <c r="L25" s="11">
        <v>611.72699999999998</v>
      </c>
      <c r="M25" s="90">
        <v>620.23500000000001</v>
      </c>
    </row>
    <row r="26" spans="1:13" ht="15.75" x14ac:dyDescent="0.25">
      <c r="A26" s="17" t="s">
        <v>28</v>
      </c>
      <c r="B26" s="18">
        <f t="shared" ref="B26:C26" si="1">(B25/B24)</f>
        <v>7.3517599811008791E-2</v>
      </c>
      <c r="C26" s="18">
        <f t="shared" si="1"/>
        <v>6.7441813109613377E-2</v>
      </c>
      <c r="D26" s="18">
        <f>(D25/D24)</f>
        <v>6.5418752861985272E-2</v>
      </c>
      <c r="E26" s="18">
        <f>(E25/E24)</f>
        <v>7.4566600313859227E-2</v>
      </c>
      <c r="F26" s="18">
        <f>(F25/F24)</f>
        <v>8.9455860559921649E-2</v>
      </c>
      <c r="G26" s="12"/>
      <c r="H26" s="10" t="s">
        <v>106</v>
      </c>
      <c r="I26" s="11">
        <v>4334.8559999999998</v>
      </c>
      <c r="J26" s="11">
        <v>3427.3470000000002</v>
      </c>
      <c r="K26" s="76">
        <v>3105.1550000000002</v>
      </c>
      <c r="L26" s="11">
        <v>2488.7179999999998</v>
      </c>
      <c r="M26" s="92">
        <v>2057.9560000000001</v>
      </c>
    </row>
    <row r="27" spans="1:13" ht="15.75" x14ac:dyDescent="0.25">
      <c r="A27" s="14" t="s">
        <v>29</v>
      </c>
      <c r="B27" s="19">
        <f t="shared" ref="B27:F27" si="2">(B24-B25)</f>
        <v>392.17999999999972</v>
      </c>
      <c r="C27" s="19">
        <f t="shared" si="2"/>
        <v>457.96999999999946</v>
      </c>
      <c r="D27" s="19">
        <f t="shared" si="2"/>
        <v>618.40400000000147</v>
      </c>
      <c r="E27" s="19">
        <f t="shared" si="2"/>
        <v>702.93700000000092</v>
      </c>
      <c r="F27" s="19">
        <f t="shared" si="2"/>
        <v>680.79200000000026</v>
      </c>
      <c r="G27" s="12"/>
      <c r="H27" s="13" t="s">
        <v>107</v>
      </c>
      <c r="I27" s="11">
        <v>773.61300000000006</v>
      </c>
      <c r="J27" s="11">
        <v>1533.415</v>
      </c>
      <c r="K27" s="11">
        <v>690.22</v>
      </c>
      <c r="L27" s="11">
        <v>2320.078</v>
      </c>
      <c r="M27" s="90">
        <v>574.07799999999997</v>
      </c>
    </row>
    <row r="28" spans="1:13" ht="15.75" x14ac:dyDescent="0.25">
      <c r="A28" s="14" t="s">
        <v>30</v>
      </c>
      <c r="B28" s="28">
        <f t="shared" ref="B28:C28" si="3">B27/B4</f>
        <v>1.418266848835131E-2</v>
      </c>
      <c r="C28" s="28">
        <f t="shared" si="3"/>
        <v>3.4550448845765858E-2</v>
      </c>
      <c r="D28" s="28">
        <f>D27/D4</f>
        <v>9.6833241521900773E-2</v>
      </c>
      <c r="E28" s="28">
        <f>E27/E4</f>
        <v>6.1073283213420378E-2</v>
      </c>
      <c r="F28" s="28">
        <f>F27/F4</f>
        <v>6.1215189745939619E-2</v>
      </c>
      <c r="G28" s="12"/>
      <c r="H28" s="13" t="s">
        <v>108</v>
      </c>
      <c r="I28" s="11">
        <v>69.209999999999994</v>
      </c>
      <c r="J28" s="22">
        <v>552.26400000000001</v>
      </c>
      <c r="K28" s="22">
        <v>727.85299999999995</v>
      </c>
      <c r="L28" s="22">
        <v>1186.002</v>
      </c>
      <c r="M28" s="92">
        <v>2055.11</v>
      </c>
    </row>
    <row r="29" spans="1:13" ht="15.75" x14ac:dyDescent="0.25">
      <c r="A29" s="17" t="s">
        <v>22</v>
      </c>
      <c r="B29" s="96" t="s">
        <v>35</v>
      </c>
      <c r="C29" s="96" t="s">
        <v>35</v>
      </c>
      <c r="D29" s="96" t="s">
        <v>35</v>
      </c>
      <c r="E29" s="18">
        <f>(E27/B27)^(1/3)-1</f>
        <v>0.21472225173417026</v>
      </c>
      <c r="F29" s="18"/>
      <c r="G29" s="12"/>
      <c r="H29" s="13" t="s">
        <v>109</v>
      </c>
      <c r="I29" s="11">
        <v>51.530999999999999</v>
      </c>
      <c r="J29" s="11">
        <v>109.437</v>
      </c>
      <c r="K29" s="11">
        <v>4114.2349999999997</v>
      </c>
      <c r="L29" s="11">
        <v>3901.9580000000001</v>
      </c>
      <c r="M29" s="92">
        <v>6751.9539999999997</v>
      </c>
    </row>
    <row r="30" spans="1:13" ht="15.75" x14ac:dyDescent="0.25">
      <c r="A30" s="10" t="s">
        <v>13</v>
      </c>
      <c r="B30" s="11">
        <v>0</v>
      </c>
      <c r="C30" s="11">
        <v>0</v>
      </c>
      <c r="D30" s="11"/>
      <c r="E30" s="11"/>
      <c r="F30" s="11"/>
      <c r="G30" s="12"/>
      <c r="H30" s="10" t="s">
        <v>110</v>
      </c>
      <c r="I30" s="11">
        <v>521.34699999999998</v>
      </c>
      <c r="J30" s="11">
        <v>57.552</v>
      </c>
      <c r="K30" s="11">
        <v>101.759</v>
      </c>
      <c r="L30" s="11">
        <v>455.41</v>
      </c>
      <c r="M30" s="90">
        <v>169.87700000000001</v>
      </c>
    </row>
    <row r="31" spans="1:13" ht="15.75" x14ac:dyDescent="0.25">
      <c r="A31" s="10" t="s">
        <v>33</v>
      </c>
      <c r="B31" s="11">
        <v>547.21</v>
      </c>
      <c r="C31" s="11">
        <v>-51.07</v>
      </c>
      <c r="D31" s="11">
        <v>159.82400000000001</v>
      </c>
      <c r="E31" s="11">
        <v>342.89699999999999</v>
      </c>
      <c r="F31" s="11">
        <v>60.301000000000002</v>
      </c>
      <c r="G31" s="12"/>
      <c r="H31" s="27" t="s">
        <v>111</v>
      </c>
      <c r="I31" s="11">
        <v>2.3130000000000002</v>
      </c>
      <c r="J31" s="11">
        <v>16.335000000000001</v>
      </c>
      <c r="K31" s="11">
        <v>90.688999999999993</v>
      </c>
      <c r="L31" s="11">
        <v>3449.8670000000002</v>
      </c>
      <c r="M31" s="92">
        <v>5741.2610000000004</v>
      </c>
    </row>
    <row r="32" spans="1:13" ht="15.75" x14ac:dyDescent="0.25">
      <c r="A32" s="14" t="s">
        <v>34</v>
      </c>
      <c r="B32" s="19">
        <f t="shared" ref="B32" si="4">(B27-B30+B31)</f>
        <v>939.38999999999976</v>
      </c>
      <c r="C32" s="19">
        <f>(C27-C30+C31)</f>
        <v>406.89999999999947</v>
      </c>
      <c r="D32" s="19">
        <f>(D27-D30+D31)</f>
        <v>778.22800000000143</v>
      </c>
      <c r="E32" s="19">
        <f>(E27-E30+E31)</f>
        <v>1045.834000000001</v>
      </c>
      <c r="F32" s="19">
        <f>(F27-F30+F31)</f>
        <v>741.0930000000003</v>
      </c>
      <c r="G32" s="12"/>
      <c r="H32" s="10" t="s">
        <v>112</v>
      </c>
      <c r="I32" s="29">
        <v>5322.0379999999996</v>
      </c>
      <c r="J32" s="29">
        <v>5050.8280000000004</v>
      </c>
      <c r="K32" s="29">
        <v>1489.4079999999999</v>
      </c>
      <c r="L32" s="29">
        <v>1678.7529999999999</v>
      </c>
      <c r="M32" s="92">
        <v>3000.9380000000001</v>
      </c>
    </row>
    <row r="33" spans="1:14" ht="15.75" x14ac:dyDescent="0.25">
      <c r="A33" s="17" t="s">
        <v>12</v>
      </c>
      <c r="B33" s="97" t="s">
        <v>35</v>
      </c>
      <c r="C33" s="30">
        <f t="shared" ref="C33" si="5">(C32/B32-1)</f>
        <v>-0.56684657064690969</v>
      </c>
      <c r="D33" s="30">
        <f>(D32/C32-1)</f>
        <v>0.91257802899976026</v>
      </c>
      <c r="E33" s="30">
        <f>(E32/D32-1)</f>
        <v>0.34386580796373178</v>
      </c>
      <c r="F33" s="30"/>
      <c r="G33" s="12"/>
      <c r="H33" s="10" t="s">
        <v>114</v>
      </c>
      <c r="I33" s="81">
        <v>0</v>
      </c>
      <c r="J33" s="44">
        <v>0</v>
      </c>
      <c r="K33" s="29">
        <v>4.4649999999999999</v>
      </c>
      <c r="L33" s="29">
        <v>13.66</v>
      </c>
      <c r="M33" s="90">
        <v>14.295</v>
      </c>
      <c r="N33" s="74"/>
    </row>
    <row r="34" spans="1:14" ht="15.75" x14ac:dyDescent="0.25">
      <c r="A34" s="17" t="s">
        <v>36</v>
      </c>
      <c r="B34" s="96" t="s">
        <v>35</v>
      </c>
      <c r="C34" s="96" t="s">
        <v>35</v>
      </c>
      <c r="D34" s="96" t="s">
        <v>35</v>
      </c>
      <c r="E34" s="18">
        <f>(E32/B32)^(1/3)-1</f>
        <v>3.6427532214528435E-2</v>
      </c>
      <c r="F34" s="18"/>
      <c r="G34" s="12"/>
      <c r="H34" s="10" t="s">
        <v>115</v>
      </c>
      <c r="I34" s="34">
        <v>68.222999999999999</v>
      </c>
      <c r="J34" s="29">
        <v>35.201000000000001</v>
      </c>
      <c r="K34" s="29">
        <v>61.622</v>
      </c>
      <c r="L34" s="29">
        <v>42.292999999999999</v>
      </c>
      <c r="M34" s="90">
        <v>43.284999999999997</v>
      </c>
    </row>
    <row r="35" spans="1:14" ht="15.75" x14ac:dyDescent="0.25">
      <c r="A35" s="4" t="s">
        <v>37</v>
      </c>
      <c r="B35" s="8">
        <v>8.4600000000000009</v>
      </c>
      <c r="C35" s="8">
        <v>9.8800000000000008</v>
      </c>
      <c r="D35" s="8">
        <v>13.34</v>
      </c>
      <c r="E35" s="8">
        <v>14.84</v>
      </c>
      <c r="F35" s="8">
        <v>13.53</v>
      </c>
      <c r="G35" s="12"/>
      <c r="H35" s="14" t="s">
        <v>39</v>
      </c>
      <c r="I35" s="15">
        <f>SUM(I36:I42)+I9</f>
        <v>4449.2079999999996</v>
      </c>
      <c r="J35" s="15">
        <f>SUM(J36:J42)+J9</f>
        <v>3168.7370000000001</v>
      </c>
      <c r="K35" s="15">
        <f>SUM(K36:K42)+K9</f>
        <v>4349.4440000000004</v>
      </c>
      <c r="L35" s="15">
        <f>SUM(L36:L42)+L9</f>
        <v>8476.9170000000013</v>
      </c>
      <c r="M35" s="15">
        <f>SUM(M36:M42)+M9</f>
        <v>12682.021000000001</v>
      </c>
    </row>
    <row r="36" spans="1:14" ht="15.75" x14ac:dyDescent="0.25">
      <c r="A36" s="31" t="s">
        <v>12</v>
      </c>
      <c r="B36" s="98" t="s">
        <v>35</v>
      </c>
      <c r="C36" s="32">
        <f t="shared" ref="C36" si="6">(C35/B35-1)</f>
        <v>0.16784869976359329</v>
      </c>
      <c r="D36" s="32">
        <f>(D35/C35-1)</f>
        <v>0.35020242914979738</v>
      </c>
      <c r="E36" s="32">
        <f>(E35/D35-1)</f>
        <v>0.11244377811094464</v>
      </c>
      <c r="F36" s="32"/>
      <c r="G36" s="12"/>
      <c r="H36" s="13" t="s">
        <v>41</v>
      </c>
      <c r="I36" s="35">
        <v>2174.2579999999998</v>
      </c>
      <c r="J36" s="29">
        <v>536.37</v>
      </c>
      <c r="K36" s="29">
        <v>1379.114</v>
      </c>
      <c r="L36" s="29">
        <v>795.76300000000003</v>
      </c>
      <c r="M36" s="93">
        <v>1195.992</v>
      </c>
    </row>
    <row r="37" spans="1:14" ht="15.75" x14ac:dyDescent="0.25">
      <c r="A37" s="31" t="s">
        <v>38</v>
      </c>
      <c r="B37" s="98" t="s">
        <v>35</v>
      </c>
      <c r="C37" s="98" t="s">
        <v>35</v>
      </c>
      <c r="D37" s="98" t="s">
        <v>35</v>
      </c>
      <c r="E37" s="32">
        <f>(E35/B35)^(1/3)-1</f>
        <v>0.2060200073868188</v>
      </c>
      <c r="F37" s="32"/>
      <c r="G37" s="12"/>
      <c r="H37" s="13" t="s">
        <v>44</v>
      </c>
      <c r="I37" s="11">
        <v>615.40499999999997</v>
      </c>
      <c r="J37" s="11">
        <v>1874.394</v>
      </c>
      <c r="K37" s="77">
        <v>2442.2840000000001</v>
      </c>
      <c r="L37" s="77">
        <v>4210.2120000000004</v>
      </c>
      <c r="M37" s="92">
        <v>5577.0630000000001</v>
      </c>
    </row>
    <row r="38" spans="1:14" ht="15.75" x14ac:dyDescent="0.25">
      <c r="A38" s="12"/>
      <c r="B38" s="33"/>
      <c r="C38" s="33"/>
      <c r="D38" s="33"/>
      <c r="E38" s="33"/>
      <c r="F38" s="33"/>
      <c r="G38" s="1"/>
      <c r="H38" s="10" t="s">
        <v>95</v>
      </c>
      <c r="I38" s="44" t="s">
        <v>47</v>
      </c>
      <c r="J38" s="80">
        <v>0</v>
      </c>
      <c r="K38" s="80">
        <v>0</v>
      </c>
      <c r="L38" s="80">
        <v>0</v>
      </c>
      <c r="M38" s="80">
        <v>0</v>
      </c>
    </row>
    <row r="39" spans="1:14" ht="15.75" x14ac:dyDescent="0.25">
      <c r="A39" s="12"/>
      <c r="B39" s="33"/>
      <c r="C39" s="33"/>
      <c r="D39" s="33"/>
      <c r="E39" s="33"/>
      <c r="F39" s="33"/>
      <c r="G39" s="1"/>
      <c r="H39" s="10" t="s">
        <v>54</v>
      </c>
      <c r="I39" s="11">
        <v>10.577</v>
      </c>
      <c r="J39" s="11">
        <v>7.5999999999999998E-2</v>
      </c>
      <c r="K39" s="44">
        <v>0</v>
      </c>
      <c r="L39" s="78">
        <v>0.16</v>
      </c>
      <c r="M39" s="90">
        <v>0.27500000000000002</v>
      </c>
    </row>
    <row r="40" spans="1:14" ht="15.75" x14ac:dyDescent="0.25">
      <c r="A40" s="12"/>
      <c r="B40" s="33"/>
      <c r="C40" s="33"/>
      <c r="D40" s="33"/>
      <c r="E40" s="33"/>
      <c r="F40" s="33"/>
      <c r="G40" s="1"/>
      <c r="H40" s="10" t="s">
        <v>96</v>
      </c>
      <c r="I40" s="11">
        <v>4.6230000000000002</v>
      </c>
      <c r="J40" s="11">
        <v>2.7010000000000001</v>
      </c>
      <c r="K40" s="29">
        <v>1.857</v>
      </c>
      <c r="L40" s="29">
        <v>12.345000000000001</v>
      </c>
      <c r="M40" s="90">
        <v>23.215</v>
      </c>
    </row>
    <row r="41" spans="1:14" ht="15.75" x14ac:dyDescent="0.25">
      <c r="A41" s="1" t="s">
        <v>40</v>
      </c>
      <c r="B41" s="33"/>
      <c r="C41" s="33"/>
      <c r="D41" s="33"/>
      <c r="E41" s="33"/>
      <c r="F41" s="33"/>
      <c r="G41" s="1"/>
      <c r="H41" s="10" t="s">
        <v>46</v>
      </c>
      <c r="I41" s="38">
        <v>12.35</v>
      </c>
      <c r="J41" s="29">
        <v>12.702999999999999</v>
      </c>
      <c r="K41" s="29">
        <v>7.0629999999999997</v>
      </c>
      <c r="L41" s="29">
        <v>14.537000000000001</v>
      </c>
      <c r="M41" s="90">
        <v>46.767000000000003</v>
      </c>
    </row>
    <row r="42" spans="1:14" ht="15.75" x14ac:dyDescent="0.25">
      <c r="A42" s="4" t="s">
        <v>2</v>
      </c>
      <c r="B42" s="3" t="s">
        <v>3</v>
      </c>
      <c r="C42" s="3" t="s">
        <v>4</v>
      </c>
      <c r="D42" s="3" t="s">
        <v>5</v>
      </c>
      <c r="E42" s="3" t="s">
        <v>87</v>
      </c>
      <c r="F42" s="3" t="s">
        <v>116</v>
      </c>
      <c r="G42" s="1"/>
      <c r="H42" s="10" t="s">
        <v>97</v>
      </c>
      <c r="I42" s="29">
        <v>50.655999999999999</v>
      </c>
      <c r="J42" s="29">
        <v>55.649000000000001</v>
      </c>
      <c r="K42" s="29">
        <v>4.444</v>
      </c>
      <c r="L42" s="79">
        <v>94.22</v>
      </c>
      <c r="M42" s="90">
        <v>12.801</v>
      </c>
    </row>
    <row r="43" spans="1:14" ht="27.75" customHeight="1" x14ac:dyDescent="0.25">
      <c r="A43" s="72" t="s">
        <v>42</v>
      </c>
      <c r="B43" s="21">
        <v>1084.4970000000001</v>
      </c>
      <c r="C43" s="21">
        <f>B50</f>
        <v>842.82300000000009</v>
      </c>
      <c r="D43" s="21">
        <f>C50</f>
        <v>2085.6790000000001</v>
      </c>
      <c r="E43" s="21">
        <v>1418.07</v>
      </c>
      <c r="F43" s="21">
        <v>3506.08</v>
      </c>
      <c r="G43" s="12"/>
      <c r="H43" s="14" t="s">
        <v>51</v>
      </c>
      <c r="I43" s="15">
        <f t="shared" ref="I43:K43" si="7">(I24-I35)</f>
        <v>6982.2589999999991</v>
      </c>
      <c r="J43" s="15">
        <f t="shared" si="7"/>
        <v>7845.802999999999</v>
      </c>
      <c r="K43" s="15">
        <f t="shared" si="7"/>
        <v>6637.6409999999987</v>
      </c>
      <c r="L43" s="15">
        <f>(L24-L35)</f>
        <v>7671.5489999999991</v>
      </c>
      <c r="M43" s="15">
        <f>(M24-M35)</f>
        <v>8346.9679999999971</v>
      </c>
    </row>
    <row r="44" spans="1:14" ht="15.75" x14ac:dyDescent="0.25">
      <c r="A44" s="10" t="s">
        <v>43</v>
      </c>
      <c r="B44" s="11">
        <v>181.18899999999999</v>
      </c>
      <c r="C44" s="11">
        <v>622.33199999999999</v>
      </c>
      <c r="D44" s="11">
        <v>1489.133</v>
      </c>
      <c r="E44" s="11">
        <v>2531.6</v>
      </c>
      <c r="F44" s="11">
        <v>-1316.191</v>
      </c>
      <c r="G44" s="12"/>
      <c r="H44" s="13" t="s">
        <v>44</v>
      </c>
      <c r="I44" s="37">
        <v>0</v>
      </c>
      <c r="J44" s="10">
        <v>0</v>
      </c>
      <c r="K44" s="29">
        <v>1.4279999999999999</v>
      </c>
      <c r="L44" s="10">
        <v>0</v>
      </c>
      <c r="M44" s="10">
        <v>0</v>
      </c>
    </row>
    <row r="45" spans="1:14" ht="15.75" x14ac:dyDescent="0.25">
      <c r="A45" s="10" t="s">
        <v>45</v>
      </c>
      <c r="B45" s="11">
        <v>-142.80500000000001</v>
      </c>
      <c r="C45" s="11">
        <v>-30.6</v>
      </c>
      <c r="D45" s="11">
        <v>-378.3</v>
      </c>
      <c r="E45" s="11">
        <v>-4630.4459999999999</v>
      </c>
      <c r="F45" s="11">
        <v>-2285.3159999999998</v>
      </c>
      <c r="G45" s="12"/>
      <c r="H45" s="10" t="s">
        <v>54</v>
      </c>
      <c r="I45" s="38">
        <v>5.1769999999999996</v>
      </c>
      <c r="J45" s="29">
        <v>1.542</v>
      </c>
      <c r="K45" s="39">
        <v>0</v>
      </c>
      <c r="L45" s="39">
        <v>1.268</v>
      </c>
      <c r="M45" s="29">
        <v>4.1230000000000002</v>
      </c>
    </row>
    <row r="46" spans="1:14" ht="15.75" x14ac:dyDescent="0.25">
      <c r="A46" s="10" t="s">
        <v>48</v>
      </c>
      <c r="B46" s="11">
        <v>220.77</v>
      </c>
      <c r="C46" s="11">
        <v>660.06399999999996</v>
      </c>
      <c r="D46" s="11">
        <v>-1810.2739999999999</v>
      </c>
      <c r="E46" s="11">
        <v>4177.7550000000001</v>
      </c>
      <c r="F46" s="11">
        <v>2718.2620000000002</v>
      </c>
      <c r="G46" s="12"/>
      <c r="H46" s="10" t="s">
        <v>53</v>
      </c>
      <c r="I46" s="38">
        <v>25.984000000000002</v>
      </c>
      <c r="J46" s="29">
        <v>26.736000000000001</v>
      </c>
      <c r="K46" s="29">
        <v>18.463999999999999</v>
      </c>
      <c r="L46" s="29">
        <v>14.327</v>
      </c>
      <c r="M46" s="29">
        <v>15.946</v>
      </c>
    </row>
    <row r="47" spans="1:14" ht="15.75" x14ac:dyDescent="0.25">
      <c r="A47" s="4" t="s">
        <v>49</v>
      </c>
      <c r="B47" s="6">
        <f>SUM(B44:B46)</f>
        <v>259.154</v>
      </c>
      <c r="C47" s="6">
        <f t="shared" ref="C47:D47" si="8">SUM(C44:C46)</f>
        <v>1251.7959999999998</v>
      </c>
      <c r="D47" s="6">
        <f t="shared" si="8"/>
        <v>-699.4409999999998</v>
      </c>
      <c r="E47" s="6">
        <f>SUM(E44:E46)</f>
        <v>2078.9090000000001</v>
      </c>
      <c r="F47" s="6">
        <f>SUM(F44:F46)</f>
        <v>-883.24499999999944</v>
      </c>
      <c r="G47" s="12"/>
      <c r="H47" s="10" t="s">
        <v>94</v>
      </c>
      <c r="I47" s="38">
        <v>142.54</v>
      </c>
      <c r="J47" s="29">
        <v>30.291</v>
      </c>
      <c r="K47" s="29">
        <v>27.231999999999999</v>
      </c>
      <c r="L47" s="29">
        <v>31.021000000000001</v>
      </c>
      <c r="M47" s="29">
        <v>14.287000000000001</v>
      </c>
    </row>
    <row r="48" spans="1:14" ht="15.75" x14ac:dyDescent="0.25">
      <c r="A48" s="10" t="s">
        <v>86</v>
      </c>
      <c r="B48" s="11">
        <v>17.295999999999999</v>
      </c>
      <c r="C48" s="11">
        <v>-9.1039999999999992</v>
      </c>
      <c r="D48" s="11">
        <v>31.834</v>
      </c>
      <c r="E48" s="11">
        <v>8.56</v>
      </c>
      <c r="F48" s="11">
        <v>6.3659999999999997</v>
      </c>
      <c r="G48" s="12"/>
      <c r="H48" s="14" t="s">
        <v>55</v>
      </c>
      <c r="I48" s="41">
        <f>SUM(I14:I23)+I24</f>
        <v>12129.762999999999</v>
      </c>
      <c r="J48" s="19">
        <f>SUM(J14:J23)+J24</f>
        <v>11815.117999999999</v>
      </c>
      <c r="K48" s="19">
        <f>SUM(K14:K23)+K24</f>
        <v>12097.579</v>
      </c>
      <c r="L48" s="19">
        <f>SUM(L14:L23)+L24</f>
        <v>18629.871999999999</v>
      </c>
      <c r="M48" s="19">
        <f>SUM(M14:M23)+M24</f>
        <v>23588.103999999999</v>
      </c>
    </row>
    <row r="49" spans="1:13" ht="15.75" x14ac:dyDescent="0.25">
      <c r="A49" s="10" t="s">
        <v>93</v>
      </c>
      <c r="B49" s="11">
        <v>-518.12400000000002</v>
      </c>
      <c r="C49" s="11">
        <v>0.16400000000000001</v>
      </c>
      <c r="D49" s="11">
        <v>0</v>
      </c>
      <c r="E49" s="11">
        <v>0.53800000000000003</v>
      </c>
      <c r="F49" s="11">
        <v>0</v>
      </c>
      <c r="G49" s="12"/>
      <c r="H49" s="14" t="s">
        <v>56</v>
      </c>
      <c r="I49" s="19">
        <f>I46+I35+I10+I6+I44+I45+I47-I9</f>
        <v>12129.762999999999</v>
      </c>
      <c r="J49" s="19">
        <f>J46+J35+J10+J6+J44+J45+J47-J9</f>
        <v>11815.117999999999</v>
      </c>
      <c r="K49" s="19">
        <f>K46+K35+K10+K6+K44+K45+K47-K9</f>
        <v>12097.578999999998</v>
      </c>
      <c r="L49" s="19">
        <f>L46+L35+L10+L6+L44+L45+L47-L9</f>
        <v>18629.871999999999</v>
      </c>
      <c r="M49" s="19">
        <f>M46+M35+M10+M6+M44+M45+M47-M9</f>
        <v>23588.104000000003</v>
      </c>
    </row>
    <row r="50" spans="1:13" ht="15.75" x14ac:dyDescent="0.25">
      <c r="A50" s="4" t="s">
        <v>50</v>
      </c>
      <c r="B50" s="15">
        <f>B43+SUM(B47:B49)</f>
        <v>842.82300000000009</v>
      </c>
      <c r="C50" s="15">
        <f t="shared" ref="C50" si="9">C43+SUM(C47:C49)</f>
        <v>2085.6790000000001</v>
      </c>
      <c r="D50" s="15">
        <f>D43+SUM(D47:D49)</f>
        <v>1418.0720000000001</v>
      </c>
      <c r="E50" s="15">
        <f>E43+SUM(E47:E49)</f>
        <v>3506.0770000000002</v>
      </c>
      <c r="F50" s="15">
        <f>F43+SUM(F47:F49)</f>
        <v>2629.2010000000005</v>
      </c>
      <c r="G50" s="12"/>
      <c r="H50" s="4" t="s">
        <v>57</v>
      </c>
      <c r="I50" s="12"/>
      <c r="J50" s="10"/>
      <c r="K50" s="10"/>
      <c r="L50" s="10"/>
      <c r="M50" s="88"/>
    </row>
    <row r="51" spans="1:13" ht="15.75" x14ac:dyDescent="0.25">
      <c r="A51" s="12"/>
      <c r="B51" s="33"/>
      <c r="C51" s="33"/>
      <c r="D51" s="33"/>
      <c r="E51" s="33"/>
      <c r="F51" s="33"/>
      <c r="G51" s="12"/>
      <c r="H51" s="4" t="s">
        <v>59</v>
      </c>
      <c r="I51" s="42" t="s">
        <v>3</v>
      </c>
      <c r="J51" s="5" t="s">
        <v>4</v>
      </c>
      <c r="K51" s="5" t="s">
        <v>5</v>
      </c>
      <c r="L51" s="84" t="s">
        <v>87</v>
      </c>
      <c r="M51" s="3" t="s">
        <v>117</v>
      </c>
    </row>
    <row r="52" spans="1:13" ht="15.75" x14ac:dyDescent="0.25">
      <c r="A52" s="12"/>
      <c r="B52" s="33"/>
      <c r="C52" s="33"/>
      <c r="D52" s="33"/>
      <c r="E52" s="33"/>
      <c r="F52" s="33"/>
      <c r="G52" s="12"/>
      <c r="H52" s="43" t="s">
        <v>61</v>
      </c>
      <c r="I52" s="107" t="s">
        <v>113</v>
      </c>
      <c r="J52" s="108"/>
      <c r="K52" s="109"/>
      <c r="L52" s="85">
        <v>211.1</v>
      </c>
      <c r="M52" s="45">
        <v>317.5</v>
      </c>
    </row>
    <row r="53" spans="1:13" ht="15.75" x14ac:dyDescent="0.25">
      <c r="A53" s="12"/>
      <c r="B53" s="33"/>
      <c r="C53" s="33"/>
      <c r="D53" s="33"/>
      <c r="E53" s="33"/>
      <c r="F53" s="33"/>
      <c r="G53" s="12"/>
      <c r="H53" s="46" t="s">
        <v>63</v>
      </c>
      <c r="I53" s="48">
        <f>B35</f>
        <v>8.4600000000000009</v>
      </c>
      <c r="J53" s="47">
        <f>C35</f>
        <v>9.8800000000000008</v>
      </c>
      <c r="K53" s="47">
        <f>D35</f>
        <v>13.34</v>
      </c>
      <c r="L53" s="48">
        <f>E35</f>
        <v>14.84</v>
      </c>
      <c r="M53" s="95">
        <f>4.66+13.53</f>
        <v>18.189999999999998</v>
      </c>
    </row>
    <row r="54" spans="1:13" ht="15.75" x14ac:dyDescent="0.25">
      <c r="A54" s="12"/>
      <c r="B54" s="33"/>
      <c r="C54" s="33"/>
      <c r="D54" s="33"/>
      <c r="E54" s="33"/>
      <c r="F54" s="33"/>
      <c r="G54" s="12"/>
      <c r="H54" s="49" t="s">
        <v>65</v>
      </c>
      <c r="I54" s="99" t="s">
        <v>35</v>
      </c>
      <c r="J54" s="100" t="s">
        <v>35</v>
      </c>
      <c r="K54" s="100" t="s">
        <v>35</v>
      </c>
      <c r="L54" s="51">
        <f>(L6*1000000)/E61</f>
        <v>180.3514142218863</v>
      </c>
      <c r="M54" s="50">
        <f>(M6*1000000)/F61</f>
        <v>190.10620000219359</v>
      </c>
    </row>
    <row r="55" spans="1:13" ht="15.75" x14ac:dyDescent="0.25">
      <c r="A55" s="4" t="s">
        <v>52</v>
      </c>
      <c r="B55" s="3" t="s">
        <v>3</v>
      </c>
      <c r="C55" s="3" t="s">
        <v>4</v>
      </c>
      <c r="D55" s="3" t="s">
        <v>5</v>
      </c>
      <c r="E55" s="3" t="s">
        <v>87</v>
      </c>
      <c r="F55" s="3" t="s">
        <v>116</v>
      </c>
      <c r="G55" s="12"/>
      <c r="H55" s="29" t="s">
        <v>66</v>
      </c>
      <c r="I55" s="82">
        <v>0</v>
      </c>
      <c r="J55" s="44">
        <v>0</v>
      </c>
      <c r="K55" s="80">
        <v>0</v>
      </c>
      <c r="L55" s="86">
        <v>0</v>
      </c>
      <c r="M55" s="80">
        <v>0</v>
      </c>
    </row>
    <row r="56" spans="1:13" ht="15.75" x14ac:dyDescent="0.25">
      <c r="A56" s="4" t="s">
        <v>58</v>
      </c>
      <c r="B56" s="19">
        <f t="shared" ref="B56:D56" si="10">B44</f>
        <v>181.18899999999999</v>
      </c>
      <c r="C56" s="19">
        <f t="shared" si="10"/>
        <v>622.33199999999999</v>
      </c>
      <c r="D56" s="19">
        <f t="shared" si="10"/>
        <v>1489.133</v>
      </c>
      <c r="E56" s="19">
        <f>E44</f>
        <v>2531.6</v>
      </c>
      <c r="F56" s="19">
        <f>F44</f>
        <v>-1316.191</v>
      </c>
      <c r="G56" s="12"/>
      <c r="H56" s="29" t="s">
        <v>68</v>
      </c>
      <c r="I56" s="51">
        <v>0</v>
      </c>
      <c r="J56" s="50">
        <f>(J52/J53)</f>
        <v>0</v>
      </c>
      <c r="K56" s="50">
        <f>(K52/K53)</f>
        <v>0</v>
      </c>
      <c r="L56" s="51">
        <f>(L52/L53)</f>
        <v>14.225067385444744</v>
      </c>
      <c r="M56" s="50">
        <f>(M52/M53)</f>
        <v>17.454645409565696</v>
      </c>
    </row>
    <row r="57" spans="1:13" ht="15.75" x14ac:dyDescent="0.25">
      <c r="A57" s="10" t="s">
        <v>60</v>
      </c>
      <c r="B57" s="26">
        <v>-46.223999999999997</v>
      </c>
      <c r="C57" s="26">
        <v>-1.028</v>
      </c>
      <c r="D57" s="26">
        <v>-0.36699999999999999</v>
      </c>
      <c r="E57" s="26">
        <v>-2.8450000000000002</v>
      </c>
      <c r="F57" s="26">
        <v>-5.4260000000000002</v>
      </c>
      <c r="G57" s="12"/>
      <c r="H57" s="29" t="s">
        <v>70</v>
      </c>
      <c r="I57" s="51">
        <v>0</v>
      </c>
      <c r="J57" s="50">
        <v>0</v>
      </c>
      <c r="K57" s="50">
        <v>0</v>
      </c>
      <c r="L57" s="51">
        <f>(L52/L54)</f>
        <v>1.1704926235858828</v>
      </c>
      <c r="M57" s="50">
        <f>(M52/M54)</f>
        <v>1.6701191228709871</v>
      </c>
    </row>
    <row r="58" spans="1:13" ht="15.75" x14ac:dyDescent="0.25">
      <c r="A58" s="14" t="s">
        <v>62</v>
      </c>
      <c r="B58" s="19">
        <f t="shared" ref="B58:D58" si="11">SUM(B56:B57)</f>
        <v>134.965</v>
      </c>
      <c r="C58" s="19">
        <f t="shared" si="11"/>
        <v>621.30399999999997</v>
      </c>
      <c r="D58" s="19">
        <f t="shared" si="11"/>
        <v>1488.7660000000001</v>
      </c>
      <c r="E58" s="19">
        <f>SUM(E56:E57)</f>
        <v>2528.7550000000001</v>
      </c>
      <c r="F58" s="19">
        <f>SUM(F56:F57)</f>
        <v>-1321.617</v>
      </c>
      <c r="G58" s="12"/>
      <c r="H58" s="29" t="s">
        <v>72</v>
      </c>
      <c r="I58" s="55">
        <f>B65/B17</f>
        <v>2.5992507453753482</v>
      </c>
      <c r="J58" s="54">
        <f>C65/C17</f>
        <v>0.77726137459860201</v>
      </c>
      <c r="K58" s="54">
        <f>D65/D17</f>
        <v>-0.66287932686378725</v>
      </c>
      <c r="L58" s="55">
        <f>E65/E17</f>
        <v>15.663906109436061</v>
      </c>
      <c r="M58" s="54">
        <f>F65/F17</f>
        <v>20.631312289594543</v>
      </c>
    </row>
    <row r="59" spans="1:13" ht="15.75" x14ac:dyDescent="0.25">
      <c r="A59" s="12" t="s">
        <v>64</v>
      </c>
      <c r="B59" s="36"/>
      <c r="C59" s="36"/>
      <c r="D59" s="36"/>
      <c r="E59" s="36"/>
      <c r="F59" s="36"/>
      <c r="G59" s="12"/>
      <c r="H59" s="56" t="s">
        <v>74</v>
      </c>
      <c r="I59" s="57">
        <f>B27/I6</f>
        <v>6.6468392515026439E-2</v>
      </c>
      <c r="J59" s="32">
        <f>C27/J6</f>
        <v>6.9380984123136508E-2</v>
      </c>
      <c r="K59" s="32">
        <f>D27/K6</f>
        <v>8.4060543861676371E-2</v>
      </c>
      <c r="L59" s="57">
        <f>E27/L6</f>
        <v>7.7725046061469433E-2</v>
      </c>
      <c r="M59" s="94" t="s">
        <v>35</v>
      </c>
    </row>
    <row r="60" spans="1:13" ht="15.75" x14ac:dyDescent="0.25">
      <c r="A60" s="12"/>
      <c r="B60" s="36"/>
      <c r="C60" s="36"/>
      <c r="D60" s="36"/>
      <c r="E60" s="36"/>
      <c r="F60" s="36"/>
      <c r="G60" s="12"/>
      <c r="H60" s="56" t="s">
        <v>76</v>
      </c>
      <c r="I60" s="57">
        <f>(B17-B15)/I11</f>
        <v>0.11569867021328534</v>
      </c>
      <c r="J60" s="32">
        <f>(C17-C15)/J11</f>
        <v>8.6229140261110351E-2</v>
      </c>
      <c r="K60" s="32">
        <f>(D17-D15)/K11</f>
        <v>0.10791745368401577</v>
      </c>
      <c r="L60" s="57">
        <f>(E17-E15)/L11</f>
        <v>7.161836135391135E-2</v>
      </c>
      <c r="M60" s="94" t="s">
        <v>35</v>
      </c>
    </row>
    <row r="61" spans="1:13" ht="15.75" customHeight="1" x14ac:dyDescent="0.25">
      <c r="A61" s="10" t="s">
        <v>67</v>
      </c>
      <c r="B61" s="52"/>
      <c r="C61" s="52"/>
      <c r="D61" s="53"/>
      <c r="E61" s="53">
        <v>50145950</v>
      </c>
      <c r="F61" s="52">
        <v>50145950</v>
      </c>
      <c r="G61" s="12"/>
      <c r="H61" s="29" t="s">
        <v>77</v>
      </c>
      <c r="I61" s="60">
        <f>(I10/I6)</f>
        <v>0.54030694980956728</v>
      </c>
      <c r="J61" s="59">
        <f>(J10/J6)</f>
        <v>0.40508059629135856</v>
      </c>
      <c r="K61" s="59">
        <f>(K10/K6)</f>
        <v>0.11677094873345885</v>
      </c>
      <c r="L61" s="60">
        <f>(L10/L6)</f>
        <v>0.48785694390678885</v>
      </c>
      <c r="M61" s="54">
        <f>(M10/M6)</f>
        <v>0.75155112903983778</v>
      </c>
    </row>
    <row r="62" spans="1:13" ht="15.75" x14ac:dyDescent="0.25">
      <c r="A62" s="10" t="s">
        <v>69</v>
      </c>
      <c r="B62" s="40"/>
      <c r="C62" s="40">
        <f>C61*J52/1000000</f>
        <v>0</v>
      </c>
      <c r="D62" s="40">
        <f>D61*K52/1000000</f>
        <v>0</v>
      </c>
      <c r="E62" s="40">
        <f>E61*L52/1000000</f>
        <v>10585.810045</v>
      </c>
      <c r="F62" s="40">
        <f>M52*F61/1000000</f>
        <v>15921.339125</v>
      </c>
      <c r="G62" s="12"/>
      <c r="H62" s="29" t="s">
        <v>78</v>
      </c>
      <c r="I62" s="58">
        <f>(I10-I28-I27)/I6</f>
        <v>0.39746159822434574</v>
      </c>
      <c r="J62" s="58">
        <f>(J10-J28-J27)/J6</f>
        <v>8.9106926433159567E-2</v>
      </c>
      <c r="K62" s="58">
        <f>(K10-K28-K27)/K6</f>
        <v>-7.5989750769711761E-2</v>
      </c>
      <c r="L62" s="87">
        <f>(L10-L28-L27)/L6</f>
        <v>0.10018318438751987</v>
      </c>
      <c r="M62" s="54">
        <f>(M10-M28-M27)/M6</f>
        <v>0.47575415480618188</v>
      </c>
    </row>
    <row r="63" spans="1:13" ht="15.75" x14ac:dyDescent="0.25">
      <c r="A63" s="10" t="s">
        <v>71</v>
      </c>
      <c r="B63" s="40">
        <f>I10</f>
        <v>3187.9449999999997</v>
      </c>
      <c r="C63" s="40">
        <f>J10</f>
        <v>2673.8559999999998</v>
      </c>
      <c r="D63" s="40">
        <f>K10</f>
        <v>859.04300000000001</v>
      </c>
      <c r="E63" s="40">
        <f>L10</f>
        <v>4412.1260000000002</v>
      </c>
      <c r="F63" s="40">
        <f>M10</f>
        <v>7164.5790000000006</v>
      </c>
      <c r="G63" s="12"/>
      <c r="H63" s="29" t="s">
        <v>79</v>
      </c>
      <c r="I63" s="73" t="s">
        <v>35</v>
      </c>
      <c r="J63" s="101" t="s">
        <v>35</v>
      </c>
      <c r="K63" s="101" t="s">
        <v>35</v>
      </c>
      <c r="L63" s="69">
        <f>(L55/L52)</f>
        <v>0</v>
      </c>
      <c r="M63" s="94" t="s">
        <v>35</v>
      </c>
    </row>
    <row r="64" spans="1:13" ht="15.75" x14ac:dyDescent="0.25">
      <c r="A64" s="10" t="s">
        <v>73</v>
      </c>
      <c r="B64" s="40">
        <f>I28+I27</f>
        <v>842.82300000000009</v>
      </c>
      <c r="C64" s="40">
        <f>J28+J27</f>
        <v>2085.6790000000001</v>
      </c>
      <c r="D64" s="40">
        <f>K28+K27</f>
        <v>1418.0729999999999</v>
      </c>
      <c r="E64" s="40">
        <f>L28+L27</f>
        <v>3506.08</v>
      </c>
      <c r="F64" s="40">
        <f>M28+M27</f>
        <v>2629.1880000000001</v>
      </c>
      <c r="G64" s="12"/>
      <c r="H64" s="29" t="s">
        <v>80</v>
      </c>
      <c r="I64" s="63">
        <f>(AVERAGE(I26:I26)/B6*365)</f>
        <v>57.081223242428692</v>
      </c>
      <c r="J64" s="64">
        <f>(AVERAGE(I26:J26)/C6*365)</f>
        <v>106.40230977403623</v>
      </c>
      <c r="K64" s="64">
        <f>(AVERAGE(J26:K26)/D6*365)</f>
        <v>184.48124179670975</v>
      </c>
      <c r="L64" s="63">
        <f>(AVERAGE(K26:L26)/E6*365)</f>
        <v>87.702589587698554</v>
      </c>
      <c r="M64" s="94" t="s">
        <v>35</v>
      </c>
    </row>
    <row r="65" spans="1:13" ht="15.75" x14ac:dyDescent="0.25">
      <c r="A65" s="10" t="s">
        <v>75</v>
      </c>
      <c r="B65" s="15">
        <f>B62+B63-B64</f>
        <v>2345.1219999999994</v>
      </c>
      <c r="C65" s="15">
        <f>C62+C63-C64</f>
        <v>588.17699999999968</v>
      </c>
      <c r="D65" s="15">
        <f>D62+D63-D64</f>
        <v>-559.02999999999986</v>
      </c>
      <c r="E65" s="15">
        <f>E62+E63-E64</f>
        <v>11491.856045</v>
      </c>
      <c r="F65" s="15">
        <f>F62+F63-F64</f>
        <v>20456.730125000002</v>
      </c>
      <c r="G65" s="12"/>
      <c r="H65" s="29" t="s">
        <v>81</v>
      </c>
      <c r="I65" s="66">
        <f>AVERAGE(I25:I25)/B9*365</f>
        <v>3.8556787220159814</v>
      </c>
      <c r="J65" s="66">
        <f>AVERAGE(I25:J25)/C9*365</f>
        <v>7.4080976482836878</v>
      </c>
      <c r="K65" s="66">
        <f>AVERAGE(J25:K25)/D9*365</f>
        <v>26.213506271226503</v>
      </c>
      <c r="L65" s="65">
        <f>AVERAGE(K25:L25)/E9*365</f>
        <v>20.354696027882458</v>
      </c>
      <c r="M65" s="94" t="s">
        <v>35</v>
      </c>
    </row>
    <row r="66" spans="1:13" ht="15.75" x14ac:dyDescent="0.25">
      <c r="A66" s="12"/>
      <c r="B66" s="33"/>
      <c r="C66" s="33"/>
      <c r="D66" s="33"/>
      <c r="E66" s="33"/>
      <c r="F66" s="33"/>
      <c r="G66" s="12"/>
      <c r="H66" s="29" t="s">
        <v>82</v>
      </c>
      <c r="I66" s="65">
        <f>AVERAGE(I36)/(B9)*365</f>
        <v>29.07455297560146</v>
      </c>
      <c r="J66" s="66">
        <f>AVERAGE(J36,I36)/(C9)*365</f>
        <v>38.579659272141647</v>
      </c>
      <c r="K66" s="66">
        <f>AVERAGE(K36,J36)/(D9)*365</f>
        <v>60.217250127643226</v>
      </c>
      <c r="L66" s="65">
        <f>AVERAGE(L36,K36)/(E9)*365</f>
        <v>36.483221801303863</v>
      </c>
      <c r="M66" s="94" t="s">
        <v>35</v>
      </c>
    </row>
    <row r="67" spans="1:13" ht="15.75" x14ac:dyDescent="0.25">
      <c r="A67" s="12"/>
      <c r="B67" s="33"/>
      <c r="C67" s="33"/>
      <c r="D67" s="33"/>
      <c r="E67" s="33"/>
      <c r="F67" s="33"/>
      <c r="G67" s="12"/>
      <c r="H67" s="29" t="s">
        <v>83</v>
      </c>
      <c r="I67" s="67">
        <f>I64+I65-I66</f>
        <v>31.862348988843213</v>
      </c>
      <c r="J67" s="68">
        <f>J64+J65-J66</f>
        <v>75.230748150178272</v>
      </c>
      <c r="K67" s="68">
        <f>K64+K65-K66</f>
        <v>150.47749794029301</v>
      </c>
      <c r="L67" s="67">
        <f>L64+L65-L66</f>
        <v>71.574063814277139</v>
      </c>
      <c r="M67" s="94" t="s">
        <v>35</v>
      </c>
    </row>
    <row r="68" spans="1:13" ht="15.75" x14ac:dyDescent="0.25">
      <c r="A68" s="12"/>
      <c r="B68" s="33"/>
      <c r="C68" s="33"/>
      <c r="D68" s="33"/>
      <c r="E68" s="33"/>
      <c r="F68" s="33"/>
      <c r="G68" s="12"/>
      <c r="H68" s="29" t="s">
        <v>84</v>
      </c>
      <c r="I68" s="67">
        <f>AVERAGE(I43:I43)/B6*365</f>
        <v>91.942127885091651</v>
      </c>
      <c r="J68" s="68">
        <f>AVERAGE(I43:J43)/C6*365</f>
        <v>203.25931262975411</v>
      </c>
      <c r="K68" s="68">
        <f>AVERAGE(J43:K43)/D6*365</f>
        <v>409.01996426684667</v>
      </c>
      <c r="L68" s="67">
        <f>AVERAGE(K43:L43)/E6*365</f>
        <v>224.34420979925719</v>
      </c>
      <c r="M68" s="94" t="s">
        <v>35</v>
      </c>
    </row>
    <row r="69" spans="1:13" ht="15.75" x14ac:dyDescent="0.25">
      <c r="A69" s="12"/>
      <c r="B69" s="62"/>
      <c r="C69" s="62"/>
      <c r="D69" s="62"/>
      <c r="E69" s="62"/>
      <c r="F69" s="62"/>
      <c r="G69" s="12"/>
      <c r="H69" s="13" t="s">
        <v>85</v>
      </c>
      <c r="I69" s="69">
        <f>B14/I10</f>
        <v>0.16689748411594302</v>
      </c>
      <c r="J69" s="61">
        <f>C14/J10</f>
        <v>0.11706314775365614</v>
      </c>
      <c r="K69" s="61">
        <f>D14/K10</f>
        <v>0.29698746162881251</v>
      </c>
      <c r="L69" s="69">
        <f>E14/L10</f>
        <v>2.19381767429126E-2</v>
      </c>
      <c r="M69" s="94" t="s">
        <v>35</v>
      </c>
    </row>
    <row r="70" spans="1:13" ht="15.75" x14ac:dyDescent="0.25">
      <c r="A70" s="12"/>
      <c r="B70" s="33"/>
      <c r="C70" s="33"/>
      <c r="D70" s="33"/>
      <c r="E70" s="33"/>
      <c r="F70" s="33"/>
      <c r="G70" s="12"/>
      <c r="H70" s="70"/>
      <c r="I70" s="70"/>
      <c r="J70" s="71"/>
      <c r="K70" s="45"/>
      <c r="L70" s="85"/>
      <c r="M70" s="88"/>
    </row>
    <row r="71" spans="1:13" ht="15.75" x14ac:dyDescent="0.25">
      <c r="A71" s="12"/>
      <c r="B71" s="33"/>
      <c r="C71" s="33"/>
      <c r="D71" s="33"/>
      <c r="E71" s="33"/>
      <c r="F71" s="33"/>
      <c r="G71" s="12"/>
      <c r="H71" s="12"/>
      <c r="I71" s="12"/>
      <c r="J71" s="12"/>
      <c r="K71" s="12"/>
    </row>
    <row r="72" spans="1:13" ht="15.75" x14ac:dyDescent="0.25">
      <c r="A72" s="12"/>
      <c r="B72" s="33"/>
      <c r="C72" s="33"/>
      <c r="D72" s="33"/>
      <c r="E72" s="33"/>
      <c r="F72" s="33"/>
      <c r="G72" s="12"/>
      <c r="H72" t="s">
        <v>118</v>
      </c>
    </row>
    <row r="73" spans="1:13" ht="15.75" x14ac:dyDescent="0.25">
      <c r="A73" s="12"/>
      <c r="B73" s="33"/>
      <c r="C73" s="33"/>
      <c r="D73" s="33"/>
      <c r="E73" s="33"/>
      <c r="F73" s="33"/>
      <c r="G73" s="12"/>
    </row>
    <row r="74" spans="1:13" ht="15.75" x14ac:dyDescent="0.25">
      <c r="A74" s="12"/>
      <c r="B74" s="33"/>
      <c r="C74" s="33"/>
      <c r="D74" s="33"/>
      <c r="E74" s="33"/>
      <c r="F74" s="33"/>
      <c r="G74" s="12"/>
    </row>
    <row r="75" spans="1:13" ht="15.75" x14ac:dyDescent="0.25">
      <c r="A75" s="12"/>
      <c r="B75" s="33"/>
      <c r="C75" s="33"/>
      <c r="D75" s="33"/>
      <c r="E75" s="33"/>
      <c r="F75" s="33"/>
      <c r="G75" s="12"/>
    </row>
    <row r="76" spans="1:13" ht="15.75" x14ac:dyDescent="0.25">
      <c r="A76" s="12"/>
      <c r="B76" s="33"/>
      <c r="C76" s="33"/>
      <c r="D76" s="33"/>
      <c r="E76" s="33"/>
      <c r="F76" s="33"/>
      <c r="G76" s="12"/>
    </row>
  </sheetData>
  <mergeCells count="4">
    <mergeCell ref="H2:M2"/>
    <mergeCell ref="A1:M1"/>
    <mergeCell ref="A2:F2"/>
    <mergeCell ref="I52:K52"/>
  </mergeCells>
  <pageMargins left="0.7" right="0.7" top="0.75" bottom="0.75" header="0.3" footer="0.3"/>
  <pageSetup paperSize="9" orientation="portrait" horizontalDpi="1200" verticalDpi="1200" r:id="rId1"/>
  <ignoredErrors>
    <ignoredError sqref="B47:E4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Sonakshi</dc:creator>
  <cp:lastModifiedBy>v18</cp:lastModifiedBy>
  <dcterms:created xsi:type="dcterms:W3CDTF">2022-11-07T11:18:04Z</dcterms:created>
  <dcterms:modified xsi:type="dcterms:W3CDTF">2024-04-10T08:17:30Z</dcterms:modified>
</cp:coreProperties>
</file>