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Harshit\Epack\Summary Sheet\Revised\"/>
    </mc:Choice>
  </mc:AlternateContent>
  <bookViews>
    <workbookView xWindow="0" yWindow="0" windowWidth="20490" windowHeight="7020"/>
  </bookViews>
  <sheets>
    <sheet name="Consolidated" sheetId="1" r:id="rId1"/>
  </sheets>
  <definedNames>
    <definedName name="_xlnm.Print_Area" localSheetId="0">Consolidated!$B$1:$I$79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F45" i="1"/>
  <c r="E46" i="1"/>
  <c r="E45" i="1"/>
  <c r="C46" i="1"/>
  <c r="D46" i="1"/>
  <c r="F46" i="1"/>
  <c r="I11" i="1" l="1"/>
  <c r="J11" i="1"/>
  <c r="K11" i="1"/>
  <c r="L11" i="1"/>
  <c r="L42" i="1"/>
  <c r="F31" i="1"/>
  <c r="L58" i="1"/>
  <c r="L61" i="1" s="1"/>
  <c r="L27" i="1"/>
  <c r="J70" i="1"/>
  <c r="K70" i="1"/>
  <c r="L70" i="1"/>
  <c r="I70" i="1"/>
  <c r="I72" i="1"/>
  <c r="K72" i="1"/>
  <c r="L72" i="1"/>
  <c r="J72" i="1"/>
  <c r="I71" i="1"/>
  <c r="L71" i="1"/>
  <c r="J71" i="1"/>
  <c r="K73" i="1" l="1"/>
  <c r="I73" i="1"/>
  <c r="J73" i="1"/>
  <c r="L73" i="1"/>
  <c r="J58" i="1" l="1"/>
  <c r="K58" i="1"/>
  <c r="I58" i="1"/>
  <c r="F44" i="1"/>
  <c r="E44" i="1"/>
  <c r="D44" i="1"/>
  <c r="C44" i="1"/>
  <c r="C49" i="1"/>
  <c r="D49" i="1"/>
  <c r="E49" i="1"/>
  <c r="C50" i="1"/>
  <c r="D50" i="1"/>
  <c r="E50" i="1"/>
  <c r="C51" i="1"/>
  <c r="D51" i="1"/>
  <c r="E51" i="1"/>
  <c r="F51" i="1"/>
  <c r="F50" i="1"/>
  <c r="F49" i="1"/>
  <c r="F52" i="1" l="1"/>
  <c r="L39" i="1" l="1"/>
  <c r="I39" i="1"/>
  <c r="K39" i="1"/>
  <c r="J39" i="1"/>
  <c r="K8" i="1"/>
  <c r="K59" i="1" s="1"/>
  <c r="L8" i="1"/>
  <c r="J29" i="1"/>
  <c r="I29" i="1"/>
  <c r="J27" i="1"/>
  <c r="I27" i="1"/>
  <c r="I52" i="1" s="1"/>
  <c r="D31" i="1"/>
  <c r="C9" i="1"/>
  <c r="C15" i="1" s="1"/>
  <c r="C17" i="1" s="1"/>
  <c r="D9" i="1"/>
  <c r="D15" i="1" s="1"/>
  <c r="D17" i="1" s="1"/>
  <c r="E9" i="1"/>
  <c r="E15" i="1" s="1"/>
  <c r="F9" i="1"/>
  <c r="F15" i="1" s="1"/>
  <c r="F39" i="1"/>
  <c r="J52" i="1" l="1"/>
  <c r="F16" i="1"/>
  <c r="L63" i="1"/>
  <c r="I14" i="1"/>
  <c r="I75" i="1"/>
  <c r="L67" i="1"/>
  <c r="L66" i="1"/>
  <c r="J75" i="1"/>
  <c r="D16" i="1"/>
  <c r="I48" i="1"/>
  <c r="J48" i="1"/>
  <c r="J8" i="1"/>
  <c r="J59" i="1" s="1"/>
  <c r="I8" i="1"/>
  <c r="K27" i="1"/>
  <c r="C7" i="1"/>
  <c r="C22" i="1" s="1"/>
  <c r="I69" i="1" s="1"/>
  <c r="D7" i="1"/>
  <c r="E7" i="1"/>
  <c r="E22" i="1" s="1"/>
  <c r="K69" i="1" s="1"/>
  <c r="F7" i="1"/>
  <c r="F8" i="1" s="1"/>
  <c r="E31" i="1"/>
  <c r="C39" i="1"/>
  <c r="C41" i="1" s="1"/>
  <c r="D39" i="1"/>
  <c r="D41" i="1" s="1"/>
  <c r="E39" i="1"/>
  <c r="E41" i="1" s="1"/>
  <c r="F41" i="1"/>
  <c r="F22" i="1" l="1"/>
  <c r="L69" i="1" s="1"/>
  <c r="I59" i="1"/>
  <c r="I67" i="1"/>
  <c r="I66" i="1"/>
  <c r="I74" i="1"/>
  <c r="J74" i="1"/>
  <c r="E25" i="1"/>
  <c r="K64" i="1" s="1"/>
  <c r="F25" i="1"/>
  <c r="L64" i="1" s="1"/>
  <c r="D8" i="1"/>
  <c r="C25" i="1"/>
  <c r="C24" i="1"/>
  <c r="D22" i="1"/>
  <c r="J69" i="1" s="1"/>
  <c r="J67" i="1"/>
  <c r="J66" i="1"/>
  <c r="K67" i="1"/>
  <c r="K66" i="1"/>
  <c r="F17" i="1"/>
  <c r="E16" i="1"/>
  <c r="E17" i="1"/>
  <c r="E8" i="1"/>
  <c r="L29" i="1"/>
  <c r="L75" i="1" s="1"/>
  <c r="K29" i="1"/>
  <c r="K75" i="1" s="1"/>
  <c r="L74" i="1" s="1"/>
  <c r="K74" i="1" l="1"/>
  <c r="C26" i="1"/>
  <c r="I64" i="1"/>
  <c r="K48" i="1"/>
  <c r="L48" i="1"/>
  <c r="D24" i="1"/>
  <c r="D25" i="1"/>
  <c r="L52" i="1"/>
  <c r="L14" i="1" s="1"/>
  <c r="K52" i="1"/>
  <c r="L59" i="1"/>
  <c r="L62" i="1" s="1"/>
  <c r="F24" i="1"/>
  <c r="E24" i="1"/>
  <c r="D26" i="1" l="1"/>
  <c r="J64" i="1"/>
  <c r="C28" i="1"/>
  <c r="F26" i="1"/>
  <c r="F28" i="1"/>
  <c r="E26" i="1"/>
  <c r="E28" i="1"/>
  <c r="D28" i="1"/>
  <c r="F29" i="1" l="1"/>
  <c r="D29" i="1"/>
  <c r="E29" i="1"/>
  <c r="K14" i="1"/>
  <c r="J14" i="1" l="1"/>
  <c r="L53" i="1"/>
  <c r="L13" i="1"/>
  <c r="L65" i="1" s="1"/>
  <c r="K53" i="1"/>
  <c r="K13" i="1"/>
  <c r="K65" i="1"/>
  <c r="J53" i="1"/>
  <c r="J13" i="1"/>
  <c r="J65" i="1" s="1"/>
  <c r="I53" i="1"/>
  <c r="I13" i="1"/>
  <c r="I65" i="1" s="1"/>
</calcChain>
</file>

<file path=xl/sharedStrings.xml><?xml version="1.0" encoding="utf-8"?>
<sst xmlns="http://schemas.openxmlformats.org/spreadsheetml/2006/main" count="157" uniqueCount="114">
  <si>
    <t>Income Statement</t>
  </si>
  <si>
    <t>Balance Sheet</t>
  </si>
  <si>
    <t>Y/E, Mar (Rs. mn)</t>
  </si>
  <si>
    <t>FY21</t>
  </si>
  <si>
    <t>Income</t>
  </si>
  <si>
    <t>Share Capital</t>
  </si>
  <si>
    <t>Other Income</t>
  </si>
  <si>
    <t>Total Income</t>
  </si>
  <si>
    <t>Networth/Shareholders Fund/ Book Value</t>
  </si>
  <si>
    <t>Growth (%)</t>
  </si>
  <si>
    <t>Expenditure</t>
  </si>
  <si>
    <t>Provisions</t>
  </si>
  <si>
    <t>Cost of materials consumed</t>
  </si>
  <si>
    <t>Non Current Liabilities</t>
  </si>
  <si>
    <t>Purchase of stock in trade</t>
  </si>
  <si>
    <t>Change in inventories of FG, WIP and stock in trade</t>
  </si>
  <si>
    <t>Employee benefit expenses</t>
  </si>
  <si>
    <t>Other Expenses</t>
  </si>
  <si>
    <t>Capital Employed</t>
  </si>
  <si>
    <t>EBITDA</t>
  </si>
  <si>
    <t>EBITDA margin (%)</t>
  </si>
  <si>
    <t>Depreciation</t>
  </si>
  <si>
    <t>Capital work in progress</t>
  </si>
  <si>
    <t>Interest</t>
  </si>
  <si>
    <t>Right of use assets</t>
  </si>
  <si>
    <t>Goodwill</t>
  </si>
  <si>
    <t>Other Intangible Assets</t>
  </si>
  <si>
    <t>PBT</t>
  </si>
  <si>
    <t>Tax</t>
  </si>
  <si>
    <t>Income Tax Assets (Net)</t>
  </si>
  <si>
    <t>Effective tax rate (%)</t>
  </si>
  <si>
    <t>Investment</t>
  </si>
  <si>
    <t>PAT</t>
  </si>
  <si>
    <t>PAT margin (%)</t>
  </si>
  <si>
    <t>Other Comprehensive Income</t>
  </si>
  <si>
    <t>CURRENT ASSETS, LOANS &amp; ADVANCES</t>
  </si>
  <si>
    <t>Inventories</t>
  </si>
  <si>
    <t>NA</t>
  </si>
  <si>
    <t>Investments</t>
  </si>
  <si>
    <t>Trade Recievables</t>
  </si>
  <si>
    <t>EPS</t>
  </si>
  <si>
    <t>Cash &amp; Cash Equivalents</t>
  </si>
  <si>
    <t>Other Current Financial Assets</t>
  </si>
  <si>
    <t>Other current assets</t>
  </si>
  <si>
    <t>Cash Flow</t>
  </si>
  <si>
    <t>CURRENT LIABILITIES &amp; PROVISIONS</t>
  </si>
  <si>
    <t>Cash and Cash Equivalents at Beginning of the year</t>
  </si>
  <si>
    <t>Cash Flow From Operating Activities</t>
  </si>
  <si>
    <t>Other Financial Liabilties</t>
  </si>
  <si>
    <t>Cash Flow from Investing Activities</t>
  </si>
  <si>
    <t>Other Current Liabilities</t>
  </si>
  <si>
    <t>Cash Flow From Financing Activities</t>
  </si>
  <si>
    <t>Net Inc./(Dec.) in Cash and Cash Equivalent</t>
  </si>
  <si>
    <t>Cash and Cash Equivalents at End of the year</t>
  </si>
  <si>
    <t>Our Calculations</t>
  </si>
  <si>
    <t>NET CURRENT ASSETS</t>
  </si>
  <si>
    <t>Lease liabilities</t>
  </si>
  <si>
    <t>Deffered Tax Liabilities (Net)</t>
  </si>
  <si>
    <t>TOTAL ASSETS</t>
  </si>
  <si>
    <t xml:space="preserve">Operating Cash Inflow </t>
  </si>
  <si>
    <t>Capital Expenditure</t>
  </si>
  <si>
    <t>Key ratios</t>
  </si>
  <si>
    <t>FCF</t>
  </si>
  <si>
    <t xml:space="preserve">Y/E, Mar </t>
  </si>
  <si>
    <t>CMP(Rs)</t>
  </si>
  <si>
    <t>EPS (Rs)</t>
  </si>
  <si>
    <t>No. of Shares</t>
  </si>
  <si>
    <t>BVPS (Rs)</t>
  </si>
  <si>
    <t>Market Cap</t>
  </si>
  <si>
    <t>DPS (Rs)</t>
  </si>
  <si>
    <t>Total Debt</t>
  </si>
  <si>
    <t>P/E (x)</t>
  </si>
  <si>
    <t>Cash</t>
  </si>
  <si>
    <t>P/BV (x)</t>
  </si>
  <si>
    <t>EV</t>
  </si>
  <si>
    <t>EV/EBIDTA (x)</t>
  </si>
  <si>
    <t>RoE (%)</t>
  </si>
  <si>
    <t>RoCE (%)</t>
  </si>
  <si>
    <t>Gross D/E(x)</t>
  </si>
  <si>
    <t>Net D/E (x)</t>
  </si>
  <si>
    <t>Dividend Yield</t>
  </si>
  <si>
    <t>FY22</t>
  </si>
  <si>
    <t>Lease Liabilities</t>
  </si>
  <si>
    <t>TA-CL</t>
  </si>
  <si>
    <t>FY23</t>
  </si>
  <si>
    <t>TTM</t>
  </si>
  <si>
    <t>Share of profit/(loss) of associate</t>
  </si>
  <si>
    <t>Exceptional items</t>
  </si>
  <si>
    <t>Total Comprehensive Income</t>
  </si>
  <si>
    <t>Instruments entirely equity in nature</t>
  </si>
  <si>
    <t>Other Equity</t>
  </si>
  <si>
    <t>Loans</t>
  </si>
  <si>
    <t>Non Current Assets</t>
  </si>
  <si>
    <t>Other Non Current Assets</t>
  </si>
  <si>
    <t>Other Financial Assets</t>
  </si>
  <si>
    <t>Investments accounted for using equity method</t>
  </si>
  <si>
    <t>Borowings</t>
  </si>
  <si>
    <t>Current Tax Liabilities (Net)</t>
  </si>
  <si>
    <t>EPACK Durables Limited (Consolidated)</t>
  </si>
  <si>
    <t>EQ+NCL</t>
  </si>
  <si>
    <t>Long Term Borrowings</t>
  </si>
  <si>
    <t xml:space="preserve">Property, plant and equipment </t>
  </si>
  <si>
    <t>Bank balances other than cash &amp; cash Equivalets</t>
  </si>
  <si>
    <t xml:space="preserve">Trade Payables </t>
  </si>
  <si>
    <t>Addition on account of business combination as at August 01, 2021</t>
  </si>
  <si>
    <t>Interest Coverage</t>
  </si>
  <si>
    <t>Debtor Days</t>
  </si>
  <si>
    <t>Creditor Days</t>
  </si>
  <si>
    <t>Inventory Days</t>
  </si>
  <si>
    <t>Cash Conversion cycle</t>
  </si>
  <si>
    <t>Working Capital Days</t>
  </si>
  <si>
    <t xml:space="preserve">Working Capital </t>
  </si>
  <si>
    <t>FY24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</si>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</sst>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5" fontId="8" fillId="2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9" fillId="0" borderId="3" xfId="1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2" fontId="3" fillId="2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0" fontId="3" fillId="2" borderId="1" xfId="0" applyNumberFormat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10" fontId="3" fillId="2" borderId="1" xfId="2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10" fontId="9" fillId="0" borderId="1" xfId="2" applyNumberFormat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2" fontId="9" fillId="2" borderId="1" xfId="2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vertical="center"/>
    </xf>
    <xf numFmtId="10" fontId="9" fillId="2" borderId="1" xfId="2" applyNumberFormat="1" applyFont="1" applyFill="1" applyBorder="1" applyAlignment="1">
      <alignment horizontal="right" vertical="center"/>
    </xf>
    <xf numFmtId="43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1"/>
  <sheetViews>
    <sheetView tabSelected="1" topLeftCell="A61" zoomScale="85" zoomScaleNormal="85" zoomScaleSheetLayoutView="82" workbookViewId="0">
      <selection activeCell="H10" sqref="H10"/>
    </sheetView>
  </sheetViews>
  <sheetFormatPr defaultColWidth="9.140625" defaultRowHeight="15.75" x14ac:dyDescent="0.25"/>
  <cols>
    <col min="1" max="1" width="2.28515625" style="1" customWidth="1"/>
    <col min="2" max="2" width="64.28515625" style="1" customWidth="1"/>
    <col min="3" max="5" width="17.42578125" style="1" bestFit="1" customWidth="1"/>
    <col min="6" max="6" width="17.42578125" style="1" customWidth="1"/>
    <col min="7" max="7" width="10.140625" style="1" customWidth="1"/>
    <col min="8" max="8" width="64.85546875" style="1" customWidth="1"/>
    <col min="9" max="9" width="11.85546875" style="1" bestFit="1" customWidth="1"/>
    <col min="10" max="10" width="12.7109375" style="1" bestFit="1" customWidth="1"/>
    <col min="11" max="11" width="15.5703125" style="1" bestFit="1" customWidth="1"/>
    <col min="12" max="12" width="15.5703125" style="1" customWidth="1"/>
    <col min="13" max="14" width="13.42578125" style="1" bestFit="1" customWidth="1"/>
    <col min="15" max="17" width="11.85546875" style="1" bestFit="1" customWidth="1"/>
    <col min="18" max="16384" width="9.140625" style="1"/>
  </cols>
  <sheetData>
    <row r="1" spans="2:13" ht="29.25" customHeight="1" x14ac:dyDescent="0.25">
      <c r="B1" s="65" t="s">
        <v>98</v>
      </c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2:13" s="2" customFormat="1" ht="15" x14ac:dyDescent="0.25"/>
    <row r="3" spans="2:13" ht="15" customHeight="1" x14ac:dyDescent="0.25">
      <c r="B3" s="71" t="s">
        <v>0</v>
      </c>
      <c r="C3" s="71"/>
      <c r="D3" s="71"/>
      <c r="E3" s="71"/>
      <c r="F3" s="71"/>
      <c r="G3" s="72"/>
      <c r="H3" s="71" t="s">
        <v>1</v>
      </c>
      <c r="I3" s="71"/>
      <c r="J3" s="71"/>
      <c r="K3" s="71"/>
      <c r="L3" s="71"/>
    </row>
    <row r="4" spans="2:13" ht="15" customHeight="1" x14ac:dyDescent="0.25">
      <c r="B4" s="4" t="s">
        <v>2</v>
      </c>
      <c r="C4" s="3" t="s">
        <v>3</v>
      </c>
      <c r="D4" s="3" t="s">
        <v>81</v>
      </c>
      <c r="E4" s="3" t="s">
        <v>84</v>
      </c>
      <c r="F4" s="3" t="s">
        <v>112</v>
      </c>
      <c r="G4" s="72"/>
      <c r="H4" s="4" t="s">
        <v>2</v>
      </c>
      <c r="I4" s="3" t="s">
        <v>3</v>
      </c>
      <c r="J4" s="3" t="s">
        <v>81</v>
      </c>
      <c r="K4" s="3" t="s">
        <v>84</v>
      </c>
      <c r="L4" s="3" t="s">
        <v>112</v>
      </c>
    </row>
    <row r="5" spans="2:13" ht="15" customHeight="1" x14ac:dyDescent="0.25">
      <c r="B5" s="5" t="s">
        <v>4</v>
      </c>
      <c r="C5" s="6">
        <v>7362.45</v>
      </c>
      <c r="D5" s="6">
        <v>9241.6200000000008</v>
      </c>
      <c r="E5" s="6">
        <v>15388.32</v>
      </c>
      <c r="F5" s="6">
        <v>14195.582</v>
      </c>
      <c r="G5" s="72"/>
      <c r="H5" s="7" t="s">
        <v>5</v>
      </c>
      <c r="I5" s="8">
        <v>481.72</v>
      </c>
      <c r="J5" s="8">
        <v>520.89</v>
      </c>
      <c r="K5" s="9">
        <v>520.89</v>
      </c>
      <c r="L5" s="9">
        <v>957.98699999999997</v>
      </c>
    </row>
    <row r="6" spans="2:13" ht="15" customHeight="1" x14ac:dyDescent="0.25">
      <c r="B6" s="10" t="s">
        <v>6</v>
      </c>
      <c r="C6" s="11">
        <v>34.130000000000003</v>
      </c>
      <c r="D6" s="11">
        <v>31.79</v>
      </c>
      <c r="E6" s="11">
        <v>14.21</v>
      </c>
      <c r="F6" s="11">
        <v>89.474999999999994</v>
      </c>
      <c r="G6" s="72"/>
      <c r="H6" s="10" t="s">
        <v>89</v>
      </c>
      <c r="I6" s="11">
        <v>0</v>
      </c>
      <c r="J6" s="11">
        <v>0</v>
      </c>
      <c r="K6" s="12">
        <v>188.24</v>
      </c>
      <c r="L6" s="12">
        <v>0</v>
      </c>
    </row>
    <row r="7" spans="2:13" ht="15" customHeight="1" x14ac:dyDescent="0.25">
      <c r="B7" s="13" t="s">
        <v>7</v>
      </c>
      <c r="C7" s="14">
        <f t="shared" ref="C7:F7" si="0">C5+C6</f>
        <v>7396.58</v>
      </c>
      <c r="D7" s="14">
        <f t="shared" si="0"/>
        <v>9273.4100000000017</v>
      </c>
      <c r="E7" s="14">
        <f t="shared" si="0"/>
        <v>15402.529999999999</v>
      </c>
      <c r="F7" s="14">
        <f t="shared" si="0"/>
        <v>14285.057000000001</v>
      </c>
      <c r="G7" s="72"/>
      <c r="H7" s="10" t="s">
        <v>90</v>
      </c>
      <c r="I7" s="11">
        <v>207.41</v>
      </c>
      <c r="J7" s="11">
        <v>697.76</v>
      </c>
      <c r="K7" s="12">
        <v>2427.0500000000002</v>
      </c>
      <c r="L7" s="12">
        <v>7964.03</v>
      </c>
    </row>
    <row r="8" spans="2:13" ht="15" customHeight="1" x14ac:dyDescent="0.25">
      <c r="B8" s="15" t="s">
        <v>9</v>
      </c>
      <c r="C8" s="16"/>
      <c r="D8" s="16">
        <f>(D7/C7-1)</f>
        <v>0.2537429460642624</v>
      </c>
      <c r="E8" s="16">
        <f>(E7/D7-1)</f>
        <v>0.6609348664622825</v>
      </c>
      <c r="F8" s="16">
        <f>(F7/E7-1)</f>
        <v>-7.2551262682169604E-2</v>
      </c>
      <c r="G8" s="72"/>
      <c r="H8" s="17" t="s">
        <v>8</v>
      </c>
      <c r="I8" s="18">
        <f>SUM(I5:I7)</f>
        <v>689.13</v>
      </c>
      <c r="J8" s="18">
        <f t="shared" ref="J8" si="1">SUM(J5:J7)</f>
        <v>1218.6500000000001</v>
      </c>
      <c r="K8" s="18">
        <f>SUM(K5:K7)</f>
        <v>3136.1800000000003</v>
      </c>
      <c r="L8" s="18">
        <f>SUM(L5:L7)</f>
        <v>8922.0169999999998</v>
      </c>
    </row>
    <row r="9" spans="2:13" ht="15" customHeight="1" x14ac:dyDescent="0.25">
      <c r="B9" s="17" t="s">
        <v>10</v>
      </c>
      <c r="C9" s="18">
        <f>SUM(C10:C14)</f>
        <v>6942.12</v>
      </c>
      <c r="D9" s="18">
        <f>SUM(D10:D14)</f>
        <v>8553.59</v>
      </c>
      <c r="E9" s="18">
        <f>SUM(E10:E14)</f>
        <v>14363.069999999998</v>
      </c>
      <c r="F9" s="18">
        <f>SUM(F10:F14)</f>
        <v>13034.053</v>
      </c>
      <c r="G9" s="72"/>
      <c r="H9" s="10" t="s">
        <v>100</v>
      </c>
      <c r="I9" s="11">
        <v>677.1</v>
      </c>
      <c r="J9" s="11">
        <v>596.20000000000005</v>
      </c>
      <c r="K9" s="19">
        <v>1135.8</v>
      </c>
      <c r="L9" s="19">
        <v>617.59400000000005</v>
      </c>
    </row>
    <row r="10" spans="2:13" ht="15" customHeight="1" x14ac:dyDescent="0.25">
      <c r="B10" s="10" t="s">
        <v>12</v>
      </c>
      <c r="C10" s="11">
        <v>6549.61</v>
      </c>
      <c r="D10" s="11">
        <v>7984.5</v>
      </c>
      <c r="E10" s="11">
        <v>12987.88</v>
      </c>
      <c r="F10" s="11">
        <v>12193.227999999999</v>
      </c>
      <c r="G10" s="72"/>
      <c r="H10" s="10"/>
      <c r="I10" s="10"/>
      <c r="J10" s="19"/>
      <c r="K10" s="19"/>
      <c r="L10" s="19"/>
    </row>
    <row r="11" spans="2:13" ht="15" customHeight="1" x14ac:dyDescent="0.25">
      <c r="B11" s="10" t="s">
        <v>14</v>
      </c>
      <c r="C11" s="11">
        <v>0</v>
      </c>
      <c r="D11" s="11">
        <v>0</v>
      </c>
      <c r="E11" s="11">
        <v>296.47000000000003</v>
      </c>
      <c r="F11" s="11">
        <v>284.15600000000001</v>
      </c>
      <c r="G11" s="72"/>
      <c r="H11" s="17" t="s">
        <v>13</v>
      </c>
      <c r="I11" s="20">
        <f>I9+I49+I50+I51</f>
        <v>940.16</v>
      </c>
      <c r="J11" s="20">
        <f>J9+J49+J50+J51</f>
        <v>998.45</v>
      </c>
      <c r="K11" s="20">
        <f>K9+K49+K50+K51</f>
        <v>1562.83</v>
      </c>
      <c r="L11" s="20">
        <f>L9+L49+L50+L51</f>
        <v>1230.173</v>
      </c>
      <c r="M11" s="21"/>
    </row>
    <row r="12" spans="2:13" ht="15" customHeight="1" x14ac:dyDescent="0.25">
      <c r="B12" s="10" t="s">
        <v>15</v>
      </c>
      <c r="C12" s="11">
        <v>-58.7</v>
      </c>
      <c r="D12" s="11">
        <v>-41.09</v>
      </c>
      <c r="E12" s="11">
        <v>-43.53</v>
      </c>
      <c r="F12" s="11">
        <v>-578.05100000000004</v>
      </c>
      <c r="G12" s="72"/>
      <c r="H12" s="13"/>
      <c r="I12" s="14"/>
      <c r="J12" s="14"/>
      <c r="K12" s="14"/>
      <c r="L12" s="14"/>
    </row>
    <row r="13" spans="2:13" ht="15" customHeight="1" x14ac:dyDescent="0.25">
      <c r="B13" s="10" t="s">
        <v>16</v>
      </c>
      <c r="C13" s="11">
        <v>169.93</v>
      </c>
      <c r="D13" s="11">
        <v>232.58</v>
      </c>
      <c r="E13" s="11">
        <v>333.76</v>
      </c>
      <c r="F13" s="11">
        <v>481.988</v>
      </c>
      <c r="G13" s="72"/>
      <c r="H13" s="17" t="s">
        <v>18</v>
      </c>
      <c r="I13" s="20">
        <f>I8+I11</f>
        <v>1629.29</v>
      </c>
      <c r="J13" s="20">
        <f>J8+J11</f>
        <v>2217.1000000000004</v>
      </c>
      <c r="K13" s="20">
        <f>K8+K11</f>
        <v>4699.01</v>
      </c>
      <c r="L13" s="20">
        <f>L8+L11</f>
        <v>10152.19</v>
      </c>
      <c r="M13" s="1" t="s">
        <v>99</v>
      </c>
    </row>
    <row r="14" spans="2:13" ht="15" customHeight="1" x14ac:dyDescent="0.25">
      <c r="B14" s="10" t="s">
        <v>17</v>
      </c>
      <c r="C14" s="11">
        <v>281.27999999999997</v>
      </c>
      <c r="D14" s="11">
        <v>377.6</v>
      </c>
      <c r="E14" s="11">
        <v>788.49</v>
      </c>
      <c r="F14" s="11">
        <v>652.73199999999997</v>
      </c>
      <c r="G14" s="72"/>
      <c r="H14" s="17" t="s">
        <v>18</v>
      </c>
      <c r="I14" s="22">
        <f>I52-I39</f>
        <v>1629.2899999999995</v>
      </c>
      <c r="J14" s="22">
        <f>J52-J39</f>
        <v>2217.0999999999985</v>
      </c>
      <c r="K14" s="22">
        <f>K52-K39</f>
        <v>4699.0099999999984</v>
      </c>
      <c r="L14" s="22">
        <f>L52-L39</f>
        <v>10152.189999999999</v>
      </c>
      <c r="M14" s="1" t="s">
        <v>83</v>
      </c>
    </row>
    <row r="15" spans="2:13" ht="15" customHeight="1" x14ac:dyDescent="0.25">
      <c r="B15" s="17" t="s">
        <v>19</v>
      </c>
      <c r="C15" s="18">
        <f>(C5-C9)</f>
        <v>420.32999999999993</v>
      </c>
      <c r="D15" s="23">
        <f>(D5-D9)</f>
        <v>688.03000000000065</v>
      </c>
      <c r="E15" s="18">
        <f>(E5-E9)</f>
        <v>1025.2500000000018</v>
      </c>
      <c r="F15" s="18">
        <f>(F5-F9)</f>
        <v>1161.5290000000005</v>
      </c>
      <c r="G15" s="72"/>
      <c r="H15" s="10"/>
      <c r="I15" s="24"/>
      <c r="J15" s="24"/>
      <c r="K15" s="10"/>
      <c r="L15" s="10"/>
    </row>
    <row r="16" spans="2:13" ht="15" customHeight="1" x14ac:dyDescent="0.25">
      <c r="B16" s="15" t="s">
        <v>9</v>
      </c>
      <c r="C16" s="16"/>
      <c r="D16" s="16">
        <f>(D15/C15-1)</f>
        <v>0.63688054623748203</v>
      </c>
      <c r="E16" s="16">
        <f>(E15/D15-1)</f>
        <v>0.49012397715216038</v>
      </c>
      <c r="F16" s="16">
        <f>(F15/E15-1)</f>
        <v>0.13292270178005205</v>
      </c>
      <c r="G16" s="72"/>
      <c r="H16" s="10" t="s">
        <v>101</v>
      </c>
      <c r="I16" s="11">
        <v>810.38</v>
      </c>
      <c r="J16" s="11">
        <v>2379.29</v>
      </c>
      <c r="K16" s="11">
        <v>3235.46</v>
      </c>
      <c r="L16" s="11">
        <v>5362.0590000000002</v>
      </c>
    </row>
    <row r="17" spans="2:14" ht="15" customHeight="1" x14ac:dyDescent="0.25">
      <c r="B17" s="17" t="s">
        <v>20</v>
      </c>
      <c r="C17" s="25">
        <f>(C15/C5)</f>
        <v>5.7091049854328377E-2</v>
      </c>
      <c r="D17" s="25">
        <f>(D15/D5)</f>
        <v>7.4449068453366463E-2</v>
      </c>
      <c r="E17" s="25">
        <f>(E15/E5)</f>
        <v>6.6625206650238744E-2</v>
      </c>
      <c r="F17" s="25">
        <f>(F15/F5)</f>
        <v>8.1823274311683764E-2</v>
      </c>
      <c r="G17" s="72"/>
      <c r="H17" s="10" t="s">
        <v>22</v>
      </c>
      <c r="I17" s="11">
        <v>0</v>
      </c>
      <c r="J17" s="11">
        <v>84.93</v>
      </c>
      <c r="K17" s="11">
        <v>915.22</v>
      </c>
      <c r="L17" s="11">
        <v>266.29700000000003</v>
      </c>
    </row>
    <row r="18" spans="2:14" ht="15" customHeight="1" x14ac:dyDescent="0.25">
      <c r="B18" s="10" t="s">
        <v>21</v>
      </c>
      <c r="C18" s="24">
        <v>89.9</v>
      </c>
      <c r="D18" s="24">
        <v>162.97</v>
      </c>
      <c r="E18" s="24">
        <v>260.77</v>
      </c>
      <c r="F18" s="24">
        <v>354.79500000000002</v>
      </c>
      <c r="G18" s="72"/>
      <c r="H18" s="10" t="s">
        <v>24</v>
      </c>
      <c r="I18" s="11">
        <v>348.9</v>
      </c>
      <c r="J18" s="11">
        <v>882.43</v>
      </c>
      <c r="K18" s="11">
        <v>950.54</v>
      </c>
      <c r="L18" s="11">
        <v>1413.2429999999999</v>
      </c>
    </row>
    <row r="19" spans="2:14" ht="15" customHeight="1" x14ac:dyDescent="0.25">
      <c r="B19" s="10" t="s">
        <v>23</v>
      </c>
      <c r="C19" s="24">
        <v>255.79</v>
      </c>
      <c r="D19" s="24">
        <v>293.83</v>
      </c>
      <c r="E19" s="24">
        <v>314.60000000000002</v>
      </c>
      <c r="F19" s="24">
        <v>389.48700000000002</v>
      </c>
      <c r="G19" s="72"/>
      <c r="H19" s="10" t="s">
        <v>25</v>
      </c>
      <c r="I19" s="11">
        <v>0</v>
      </c>
      <c r="J19" s="11">
        <v>4.5599999999999996</v>
      </c>
      <c r="K19" s="11">
        <v>4.5599999999999996</v>
      </c>
      <c r="L19" s="11">
        <v>4.5620000000000003</v>
      </c>
      <c r="N19" s="26"/>
    </row>
    <row r="20" spans="2:14" ht="15" customHeight="1" x14ac:dyDescent="0.25">
      <c r="B20" s="10" t="s">
        <v>86</v>
      </c>
      <c r="C20" s="24">
        <v>0</v>
      </c>
      <c r="D20" s="24">
        <v>0</v>
      </c>
      <c r="E20" s="24">
        <v>-8.1199999999999992</v>
      </c>
      <c r="F20" s="24">
        <v>-14.725</v>
      </c>
      <c r="G20" s="72"/>
      <c r="H20" s="10" t="s">
        <v>26</v>
      </c>
      <c r="I20" s="11">
        <v>0.05</v>
      </c>
      <c r="J20" s="11">
        <v>1.66</v>
      </c>
      <c r="K20" s="11">
        <v>2</v>
      </c>
      <c r="L20" s="11">
        <v>1.3089999999999999</v>
      </c>
      <c r="N20" s="26"/>
    </row>
    <row r="21" spans="2:14" ht="15" customHeight="1" x14ac:dyDescent="0.25">
      <c r="B21" s="10" t="s">
        <v>87</v>
      </c>
      <c r="C21" s="24">
        <v>0</v>
      </c>
      <c r="D21" s="24">
        <v>0</v>
      </c>
      <c r="E21" s="24">
        <v>15.5</v>
      </c>
      <c r="F21" s="24">
        <v>0</v>
      </c>
      <c r="G21" s="72"/>
      <c r="H21" s="10" t="s">
        <v>95</v>
      </c>
      <c r="I21" s="11">
        <v>0</v>
      </c>
      <c r="J21" s="11">
        <v>0</v>
      </c>
      <c r="K21" s="27">
        <v>17.600000000000001</v>
      </c>
      <c r="L21" s="27">
        <v>54.905000000000001</v>
      </c>
    </row>
    <row r="22" spans="2:14" ht="15" customHeight="1" x14ac:dyDescent="0.25">
      <c r="B22" s="13" t="s">
        <v>27</v>
      </c>
      <c r="C22" s="28">
        <f>(C7-C9)+C20+C21-C18-C19</f>
        <v>108.77000000000007</v>
      </c>
      <c r="D22" s="28">
        <f>(D7-D9)+D20+D21-D18-D19</f>
        <v>263.02000000000152</v>
      </c>
      <c r="E22" s="28">
        <f>(E7-E9)+E20-E21-E18-E19</f>
        <v>440.47000000000105</v>
      </c>
      <c r="F22" s="28">
        <f>(F7-F9)+F20+F21-F18-F19</f>
        <v>491.99700000000081</v>
      </c>
      <c r="G22" s="72"/>
      <c r="H22" s="29" t="s">
        <v>29</v>
      </c>
      <c r="I22" s="11">
        <v>0</v>
      </c>
      <c r="J22" s="11">
        <v>14.39</v>
      </c>
      <c r="K22" s="27">
        <v>41.75</v>
      </c>
      <c r="L22" s="27">
        <v>48.881</v>
      </c>
    </row>
    <row r="23" spans="2:14" ht="15" customHeight="1" x14ac:dyDescent="0.25">
      <c r="B23" s="10" t="s">
        <v>28</v>
      </c>
      <c r="C23" s="24">
        <v>30.74</v>
      </c>
      <c r="D23" s="24">
        <v>88.68</v>
      </c>
      <c r="E23" s="24">
        <v>120.75</v>
      </c>
      <c r="F23" s="24">
        <v>138.26300000000001</v>
      </c>
      <c r="G23" s="72"/>
      <c r="H23" s="29" t="s">
        <v>91</v>
      </c>
      <c r="I23" s="11">
        <v>0</v>
      </c>
      <c r="J23" s="11">
        <v>0</v>
      </c>
      <c r="K23" s="27">
        <v>46.13</v>
      </c>
      <c r="L23" s="27">
        <v>46.131999999999998</v>
      </c>
    </row>
    <row r="24" spans="2:14" ht="15" customHeight="1" x14ac:dyDescent="0.25">
      <c r="B24" s="15" t="s">
        <v>30</v>
      </c>
      <c r="C24" s="16">
        <f>(C23/C22)</f>
        <v>0.28261469155097896</v>
      </c>
      <c r="D24" s="16">
        <f>(D23/D22)</f>
        <v>0.33716067219222678</v>
      </c>
      <c r="E24" s="16">
        <f t="shared" ref="E24:F24" si="2">(E23/E22)</f>
        <v>0.27413898789928876</v>
      </c>
      <c r="F24" s="16">
        <f t="shared" si="2"/>
        <v>0.28102407128498708</v>
      </c>
      <c r="G24" s="72"/>
      <c r="H24" s="29" t="s">
        <v>31</v>
      </c>
      <c r="I24" s="11">
        <v>0</v>
      </c>
      <c r="J24" s="11">
        <v>30.57</v>
      </c>
      <c r="K24" s="12">
        <v>30.57</v>
      </c>
      <c r="L24" s="12">
        <v>30.565999999999999</v>
      </c>
    </row>
    <row r="25" spans="2:14" ht="15" customHeight="1" x14ac:dyDescent="0.25">
      <c r="B25" s="17" t="s">
        <v>32</v>
      </c>
      <c r="C25" s="30">
        <f>(C22-C23)</f>
        <v>78.030000000000072</v>
      </c>
      <c r="D25" s="30">
        <f>(D22-D23)</f>
        <v>174.34000000000151</v>
      </c>
      <c r="E25" s="30">
        <f>(E22-E23)</f>
        <v>319.72000000000105</v>
      </c>
      <c r="F25" s="30">
        <f>(F22-F23)</f>
        <v>353.73400000000083</v>
      </c>
      <c r="G25" s="72"/>
      <c r="H25" s="10" t="s">
        <v>94</v>
      </c>
      <c r="I25" s="11">
        <v>15.47</v>
      </c>
      <c r="J25" s="11">
        <v>23.19</v>
      </c>
      <c r="K25" s="11">
        <v>19.760000000000002</v>
      </c>
      <c r="L25" s="11">
        <v>26.123999999999999</v>
      </c>
    </row>
    <row r="26" spans="2:14" ht="15" customHeight="1" x14ac:dyDescent="0.25">
      <c r="B26" s="17" t="s">
        <v>33</v>
      </c>
      <c r="C26" s="31">
        <f>C25/C5</f>
        <v>1.0598374182507192E-2</v>
      </c>
      <c r="D26" s="31">
        <f>D25/D5</f>
        <v>1.8864657927939201E-2</v>
      </c>
      <c r="E26" s="31">
        <f>E25/E5</f>
        <v>2.0776796947295159E-2</v>
      </c>
      <c r="F26" s="31">
        <f>F25/F5</f>
        <v>2.4918597913069069E-2</v>
      </c>
      <c r="G26" s="72"/>
      <c r="H26" s="10" t="s">
        <v>93</v>
      </c>
      <c r="I26" s="11">
        <v>14.45</v>
      </c>
      <c r="J26" s="11">
        <v>76.63</v>
      </c>
      <c r="K26" s="11">
        <v>671.37</v>
      </c>
      <c r="L26" s="11">
        <v>419.40199999999999</v>
      </c>
      <c r="M26" s="26"/>
    </row>
    <row r="27" spans="2:14" ht="15" customHeight="1" x14ac:dyDescent="0.25">
      <c r="B27" s="10" t="s">
        <v>34</v>
      </c>
      <c r="C27" s="12">
        <v>0.13</v>
      </c>
      <c r="D27" s="12">
        <v>-0.85</v>
      </c>
      <c r="E27" s="12">
        <v>-2.19</v>
      </c>
      <c r="F27" s="12">
        <v>-2.105</v>
      </c>
      <c r="G27" s="72"/>
      <c r="H27" s="17" t="s">
        <v>92</v>
      </c>
      <c r="I27" s="32">
        <f>SUM(I16:I26)</f>
        <v>1189.25</v>
      </c>
      <c r="J27" s="32">
        <f>SUM(J16:J26)</f>
        <v>3497.6499999999996</v>
      </c>
      <c r="K27" s="32">
        <f>SUM(K16:K26)</f>
        <v>5934.9600000000009</v>
      </c>
      <c r="L27" s="32">
        <f>SUM(L16:L26)</f>
        <v>7673.48</v>
      </c>
      <c r="M27" s="21"/>
    </row>
    <row r="28" spans="2:14" ht="15" customHeight="1" x14ac:dyDescent="0.25">
      <c r="B28" s="13" t="s">
        <v>88</v>
      </c>
      <c r="C28" s="14">
        <f>(C25+C27)</f>
        <v>78.160000000000068</v>
      </c>
      <c r="D28" s="14">
        <f t="shared" ref="D28:F28" si="3">(D25+D27)</f>
        <v>173.49000000000152</v>
      </c>
      <c r="E28" s="14">
        <f t="shared" si="3"/>
        <v>317.53000000000105</v>
      </c>
      <c r="F28" s="14">
        <f t="shared" si="3"/>
        <v>351.62900000000081</v>
      </c>
      <c r="G28" s="72"/>
      <c r="H28" s="13"/>
      <c r="I28" s="11"/>
      <c r="J28" s="11"/>
      <c r="K28" s="11"/>
      <c r="L28" s="11"/>
    </row>
    <row r="29" spans="2:14" ht="15" customHeight="1" x14ac:dyDescent="0.25">
      <c r="B29" s="15" t="s">
        <v>9</v>
      </c>
      <c r="C29" s="16"/>
      <c r="D29" s="16">
        <f>(D28/C28-1)</f>
        <v>1.2196775844421874</v>
      </c>
      <c r="E29" s="16">
        <f>(E28/D28-1)</f>
        <v>0.830249582108469</v>
      </c>
      <c r="F29" s="16">
        <f>(F28/E28-1)</f>
        <v>0.10738827827291808</v>
      </c>
      <c r="G29" s="72"/>
      <c r="H29" s="17" t="s">
        <v>35</v>
      </c>
      <c r="I29" s="18">
        <f>SUM(I30:I37)</f>
        <v>4014.3999999999996</v>
      </c>
      <c r="J29" s="18">
        <f>SUM(J30:J37)</f>
        <v>7269.0999999999995</v>
      </c>
      <c r="K29" s="18">
        <f t="shared" ref="K29:L29" si="4">SUM(K30:K37)</f>
        <v>8706.5899999999983</v>
      </c>
      <c r="L29" s="18">
        <f t="shared" si="4"/>
        <v>10004.251</v>
      </c>
    </row>
    <row r="30" spans="2:14" ht="15" customHeight="1" x14ac:dyDescent="0.25">
      <c r="B30" s="17" t="s">
        <v>40</v>
      </c>
      <c r="C30" s="33">
        <v>1.62</v>
      </c>
      <c r="D30" s="33">
        <v>3.47</v>
      </c>
      <c r="E30" s="33">
        <v>4.6399999999999997</v>
      </c>
      <c r="F30" s="33">
        <v>4.3499999999999996</v>
      </c>
      <c r="G30" s="72"/>
      <c r="H30" s="10" t="s">
        <v>36</v>
      </c>
      <c r="I30" s="11">
        <v>1404.7</v>
      </c>
      <c r="J30" s="11">
        <v>2772.96</v>
      </c>
      <c r="K30" s="11">
        <v>2936.71</v>
      </c>
      <c r="L30" s="11">
        <v>3781.587</v>
      </c>
    </row>
    <row r="31" spans="2:14" ht="15" customHeight="1" x14ac:dyDescent="0.25">
      <c r="B31" s="10" t="s">
        <v>9</v>
      </c>
      <c r="C31" s="34"/>
      <c r="D31" s="34">
        <f>(D30/C30-1)</f>
        <v>1.1419753086419755</v>
      </c>
      <c r="E31" s="34">
        <f>(E30/D30-1)</f>
        <v>0.33717579250720453</v>
      </c>
      <c r="F31" s="34">
        <f>(F30/E30-1)</f>
        <v>-6.25E-2</v>
      </c>
      <c r="G31" s="72"/>
      <c r="H31" s="10" t="s">
        <v>38</v>
      </c>
      <c r="I31" s="11">
        <v>0</v>
      </c>
      <c r="J31" s="11">
        <v>0</v>
      </c>
      <c r="K31" s="27">
        <v>0</v>
      </c>
      <c r="L31" s="27">
        <v>0</v>
      </c>
    </row>
    <row r="32" spans="2:14" ht="15" customHeight="1" x14ac:dyDescent="0.25">
      <c r="G32" s="72"/>
      <c r="H32" s="10" t="s">
        <v>39</v>
      </c>
      <c r="I32" s="11">
        <v>2341.81</v>
      </c>
      <c r="J32" s="11">
        <v>3561.97</v>
      </c>
      <c r="K32" s="35">
        <v>4790.87</v>
      </c>
      <c r="L32" s="35">
        <v>2124.056</v>
      </c>
    </row>
    <row r="33" spans="2:17" ht="15" customHeight="1" x14ac:dyDescent="0.25">
      <c r="B33" s="71" t="s">
        <v>44</v>
      </c>
      <c r="C33" s="71"/>
      <c r="D33" s="71"/>
      <c r="E33" s="71"/>
      <c r="F33" s="71"/>
      <c r="G33" s="72"/>
      <c r="H33" s="10" t="s">
        <v>41</v>
      </c>
      <c r="I33" s="11">
        <v>36.479999999999997</v>
      </c>
      <c r="J33" s="11">
        <v>241.47</v>
      </c>
      <c r="K33" s="11">
        <v>600.17999999999995</v>
      </c>
      <c r="L33" s="11">
        <v>1069.251</v>
      </c>
    </row>
    <row r="34" spans="2:17" ht="15" customHeight="1" x14ac:dyDescent="0.25">
      <c r="B34" s="4" t="s">
        <v>2</v>
      </c>
      <c r="C34" s="3" t="s">
        <v>3</v>
      </c>
      <c r="D34" s="3" t="s">
        <v>81</v>
      </c>
      <c r="E34" s="3" t="s">
        <v>84</v>
      </c>
      <c r="F34" s="3" t="s">
        <v>112</v>
      </c>
      <c r="G34" s="72"/>
      <c r="H34" s="10" t="s">
        <v>102</v>
      </c>
      <c r="I34" s="11">
        <v>78.91</v>
      </c>
      <c r="J34" s="11">
        <v>348.19</v>
      </c>
      <c r="K34" s="11">
        <v>154.38</v>
      </c>
      <c r="L34" s="11">
        <v>1.3069999999999999</v>
      </c>
    </row>
    <row r="35" spans="2:17" ht="15" customHeight="1" x14ac:dyDescent="0.25">
      <c r="B35" s="5" t="s">
        <v>46</v>
      </c>
      <c r="C35" s="36">
        <v>54.62</v>
      </c>
      <c r="D35" s="36">
        <v>36.479999999999997</v>
      </c>
      <c r="E35" s="37">
        <v>241.47</v>
      </c>
      <c r="F35" s="38">
        <v>600.17600000000004</v>
      </c>
      <c r="G35" s="72"/>
      <c r="H35" s="10" t="s">
        <v>42</v>
      </c>
      <c r="I35" s="11">
        <v>22.06</v>
      </c>
      <c r="J35" s="11">
        <v>25.87</v>
      </c>
      <c r="K35" s="11">
        <v>12.8</v>
      </c>
      <c r="L35" s="11">
        <v>2388.9960000000001</v>
      </c>
    </row>
    <row r="36" spans="2:17" ht="15" customHeight="1" x14ac:dyDescent="0.25">
      <c r="B36" s="13" t="s">
        <v>47</v>
      </c>
      <c r="C36" s="14">
        <v>474.19</v>
      </c>
      <c r="D36" s="14">
        <v>-289.41000000000003</v>
      </c>
      <c r="E36" s="39">
        <v>188.28</v>
      </c>
      <c r="F36" s="40">
        <v>2569.7739999999999</v>
      </c>
      <c r="G36" s="72"/>
      <c r="H36" s="29" t="s">
        <v>43</v>
      </c>
      <c r="I36" s="11">
        <v>128.99</v>
      </c>
      <c r="J36" s="11">
        <v>312.27999999999997</v>
      </c>
      <c r="K36" s="11">
        <v>211.65</v>
      </c>
      <c r="L36" s="11">
        <v>639.05399999999997</v>
      </c>
    </row>
    <row r="37" spans="2:17" x14ac:dyDescent="0.25">
      <c r="B37" s="10" t="s">
        <v>49</v>
      </c>
      <c r="C37" s="24">
        <v>-66.91</v>
      </c>
      <c r="D37" s="24">
        <v>-2041.94</v>
      </c>
      <c r="E37" s="64">
        <v>-2175.02</v>
      </c>
      <c r="F37" s="12">
        <v>-3766.43</v>
      </c>
      <c r="G37" s="72"/>
      <c r="H37" s="10" t="s">
        <v>29</v>
      </c>
      <c r="I37" s="11">
        <v>1.45</v>
      </c>
      <c r="J37" s="11">
        <v>6.36</v>
      </c>
      <c r="K37" s="27">
        <v>0</v>
      </c>
      <c r="L37" s="27">
        <v>0</v>
      </c>
    </row>
    <row r="38" spans="2:17" x14ac:dyDescent="0.25">
      <c r="B38" s="10" t="s">
        <v>51</v>
      </c>
      <c r="C38" s="24">
        <v>-425.42</v>
      </c>
      <c r="D38" s="24">
        <v>2535.4499999999998</v>
      </c>
      <c r="E38" s="64">
        <v>2345.4499999999998</v>
      </c>
      <c r="F38" s="12">
        <v>1665.731</v>
      </c>
      <c r="G38" s="72"/>
      <c r="H38" s="10"/>
      <c r="I38" s="11"/>
      <c r="J38" s="11"/>
      <c r="K38" s="27"/>
      <c r="L38" s="27"/>
    </row>
    <row r="39" spans="2:17" x14ac:dyDescent="0.25">
      <c r="B39" s="17" t="s">
        <v>52</v>
      </c>
      <c r="C39" s="18">
        <f t="shared" ref="C39:F39" si="5">SUM(C36:C38)</f>
        <v>-18.140000000000043</v>
      </c>
      <c r="D39" s="18">
        <f t="shared" si="5"/>
        <v>204.09999999999991</v>
      </c>
      <c r="E39" s="41">
        <f t="shared" si="5"/>
        <v>358.70999999999981</v>
      </c>
      <c r="F39" s="18">
        <f t="shared" si="5"/>
        <v>469.07500000000005</v>
      </c>
      <c r="G39" s="72"/>
      <c r="H39" s="17" t="s">
        <v>45</v>
      </c>
      <c r="I39" s="18">
        <f>SUM(I40:I46)</f>
        <v>3574.36</v>
      </c>
      <c r="J39" s="18">
        <f>SUM(J40:J46)</f>
        <v>8549.6500000000015</v>
      </c>
      <c r="K39" s="18">
        <f>SUM(K40:K46)</f>
        <v>9942.5400000000009</v>
      </c>
      <c r="L39" s="18">
        <f>SUM(L40:L46)</f>
        <v>7525.5410000000002</v>
      </c>
    </row>
    <row r="40" spans="2:17" x14ac:dyDescent="0.25">
      <c r="B40" s="10" t="s">
        <v>104</v>
      </c>
      <c r="C40" s="10">
        <v>0</v>
      </c>
      <c r="D40" s="10">
        <v>0.89</v>
      </c>
      <c r="E40" s="10">
        <v>0</v>
      </c>
      <c r="F40" s="10">
        <v>0</v>
      </c>
      <c r="G40" s="72"/>
      <c r="H40" s="10" t="s">
        <v>96</v>
      </c>
      <c r="I40" s="24">
        <v>1708.47</v>
      </c>
      <c r="J40" s="24">
        <v>3243.61</v>
      </c>
      <c r="K40" s="24">
        <v>3788.65</v>
      </c>
      <c r="L40" s="24">
        <v>2696.3809999999999</v>
      </c>
    </row>
    <row r="41" spans="2:17" x14ac:dyDescent="0.25">
      <c r="B41" s="17" t="s">
        <v>53</v>
      </c>
      <c r="C41" s="18">
        <f>C35+C39</f>
        <v>36.479999999999954</v>
      </c>
      <c r="D41" s="18">
        <f>D35+D39+D40</f>
        <v>241.46999999999989</v>
      </c>
      <c r="E41" s="41">
        <f>E35+E39</f>
        <v>600.17999999999984</v>
      </c>
      <c r="F41" s="18">
        <f>F35+F39</f>
        <v>1069.2510000000002</v>
      </c>
      <c r="G41" s="72"/>
      <c r="H41" s="10" t="s">
        <v>82</v>
      </c>
      <c r="I41" s="11">
        <v>52.47</v>
      </c>
      <c r="J41" s="11">
        <v>56.18</v>
      </c>
      <c r="K41" s="24">
        <v>64.59</v>
      </c>
      <c r="L41" s="24">
        <v>160.18299999999999</v>
      </c>
    </row>
    <row r="42" spans="2:17" x14ac:dyDescent="0.25">
      <c r="G42" s="72"/>
      <c r="H42" s="10" t="s">
        <v>103</v>
      </c>
      <c r="I42" s="19">
        <v>1519.28</v>
      </c>
      <c r="J42" s="19">
        <v>3339.3199999999997</v>
      </c>
      <c r="K42" s="19">
        <v>3890.75</v>
      </c>
      <c r="L42" s="19">
        <f>103.914+4052.299</f>
        <v>4156.2129999999997</v>
      </c>
    </row>
    <row r="43" spans="2:17" x14ac:dyDescent="0.25">
      <c r="B43" s="4" t="s">
        <v>54</v>
      </c>
      <c r="C43" s="3" t="s">
        <v>3</v>
      </c>
      <c r="D43" s="3" t="s">
        <v>81</v>
      </c>
      <c r="E43" s="3" t="s">
        <v>84</v>
      </c>
      <c r="F43" s="3" t="s">
        <v>112</v>
      </c>
      <c r="G43" s="72"/>
      <c r="H43" s="10" t="s">
        <v>48</v>
      </c>
      <c r="I43" s="11">
        <v>123.35</v>
      </c>
      <c r="J43" s="11">
        <v>1745.75</v>
      </c>
      <c r="K43" s="35">
        <v>1917.42</v>
      </c>
      <c r="L43" s="35">
        <v>303.09399999999999</v>
      </c>
      <c r="M43" s="26"/>
      <c r="N43" s="26"/>
      <c r="O43" s="26"/>
      <c r="P43" s="26"/>
      <c r="Q43" s="26"/>
    </row>
    <row r="44" spans="2:17" x14ac:dyDescent="0.25">
      <c r="B44" s="5" t="s">
        <v>59</v>
      </c>
      <c r="C44" s="36">
        <f>C36</f>
        <v>474.19</v>
      </c>
      <c r="D44" s="36">
        <f>D36</f>
        <v>-289.41000000000003</v>
      </c>
      <c r="E44" s="42">
        <f>E36</f>
        <v>188.28</v>
      </c>
      <c r="F44" s="36">
        <f>F36</f>
        <v>2569.7739999999999</v>
      </c>
      <c r="G44" s="72"/>
      <c r="H44" s="10" t="s">
        <v>50</v>
      </c>
      <c r="I44" s="11">
        <v>154.33000000000001</v>
      </c>
      <c r="J44" s="11">
        <v>153.08000000000001</v>
      </c>
      <c r="K44" s="35">
        <v>274.86</v>
      </c>
      <c r="L44" s="35">
        <v>193.994</v>
      </c>
    </row>
    <row r="45" spans="2:17" x14ac:dyDescent="0.25">
      <c r="B45" s="10" t="s">
        <v>60</v>
      </c>
      <c r="C45" s="24">
        <v>-54.07</v>
      </c>
      <c r="D45" s="24">
        <v>-1425.48</v>
      </c>
      <c r="E45" s="24">
        <f>-2243.399+4.333</f>
        <v>-2239.0659999999998</v>
      </c>
      <c r="F45" s="24">
        <f>-1501.162</f>
        <v>-1501.162</v>
      </c>
      <c r="G45" s="72"/>
      <c r="H45" s="10" t="s">
        <v>11</v>
      </c>
      <c r="I45" s="11">
        <v>16.46</v>
      </c>
      <c r="J45" s="11">
        <v>10.7</v>
      </c>
      <c r="K45" s="10">
        <v>6.27</v>
      </c>
      <c r="L45" s="10">
        <v>15.676</v>
      </c>
    </row>
    <row r="46" spans="2:17" x14ac:dyDescent="0.25">
      <c r="B46" s="17" t="s">
        <v>62</v>
      </c>
      <c r="C46" s="18">
        <f>SUM(C44:C45)</f>
        <v>420.12</v>
      </c>
      <c r="D46" s="18">
        <f>SUM(D44:D45)</f>
        <v>-1714.89</v>
      </c>
      <c r="E46" s="41">
        <f>SUM(E44:E45)</f>
        <v>-2050.7859999999996</v>
      </c>
      <c r="F46" s="18">
        <f>SUM(F44:F45)</f>
        <v>1068.6119999999999</v>
      </c>
      <c r="G46" s="72"/>
      <c r="H46" s="10" t="s">
        <v>97</v>
      </c>
      <c r="I46" s="11">
        <v>0</v>
      </c>
      <c r="J46" s="11">
        <v>1.01</v>
      </c>
      <c r="K46" s="43">
        <v>0</v>
      </c>
      <c r="L46" s="43">
        <v>0</v>
      </c>
    </row>
    <row r="47" spans="2:17" x14ac:dyDescent="0.25">
      <c r="E47" s="44"/>
      <c r="F47" s="44"/>
      <c r="G47" s="72"/>
      <c r="H47" s="10"/>
      <c r="I47" s="11"/>
      <c r="J47" s="11"/>
      <c r="K47" s="43"/>
      <c r="L47" s="43"/>
    </row>
    <row r="48" spans="2:17" x14ac:dyDescent="0.25">
      <c r="B48" s="10" t="s">
        <v>66</v>
      </c>
      <c r="C48" s="45">
        <v>78407387</v>
      </c>
      <c r="D48" s="45">
        <v>78407387</v>
      </c>
      <c r="E48" s="45">
        <v>78407387</v>
      </c>
      <c r="F48" s="45">
        <v>95798691</v>
      </c>
      <c r="G48" s="72"/>
      <c r="H48" s="17" t="s">
        <v>55</v>
      </c>
      <c r="I48" s="18">
        <f>(I29-I39)</f>
        <v>440.03999999999951</v>
      </c>
      <c r="J48" s="18">
        <f>(J29-J39)</f>
        <v>-1280.550000000002</v>
      </c>
      <c r="K48" s="18">
        <f>(K29-K39)</f>
        <v>-1235.9500000000025</v>
      </c>
      <c r="L48" s="18">
        <f>(L29-L39)</f>
        <v>2478.71</v>
      </c>
    </row>
    <row r="49" spans="2:13" x14ac:dyDescent="0.25">
      <c r="B49" s="46" t="s">
        <v>68</v>
      </c>
      <c r="C49" s="47">
        <f>C48*I57/1000000</f>
        <v>0</v>
      </c>
      <c r="D49" s="47">
        <f>D48*J57/1000000</f>
        <v>0</v>
      </c>
      <c r="E49" s="47">
        <f>E48*K57/1000000</f>
        <v>0</v>
      </c>
      <c r="F49" s="47">
        <f>F48*L57/1000000</f>
        <v>14508.711751949999</v>
      </c>
      <c r="G49" s="72"/>
      <c r="H49" s="10" t="s">
        <v>56</v>
      </c>
      <c r="I49" s="11">
        <v>184.62</v>
      </c>
      <c r="J49" s="11">
        <v>258.24</v>
      </c>
      <c r="K49" s="35">
        <v>259.75</v>
      </c>
      <c r="L49" s="35">
        <v>386.72399999999999</v>
      </c>
    </row>
    <row r="50" spans="2:13" x14ac:dyDescent="0.25">
      <c r="B50" s="46" t="s">
        <v>70</v>
      </c>
      <c r="C50" s="47">
        <f>I40+I9</f>
        <v>2385.5700000000002</v>
      </c>
      <c r="D50" s="47">
        <f>J40+J9</f>
        <v>3839.8100000000004</v>
      </c>
      <c r="E50" s="47">
        <f>K40+K9</f>
        <v>4924.45</v>
      </c>
      <c r="F50" s="47">
        <f>L40+L9</f>
        <v>3313.9749999999999</v>
      </c>
      <c r="G50" s="72"/>
      <c r="H50" s="10" t="s">
        <v>11</v>
      </c>
      <c r="I50" s="11">
        <v>9.5399999999999991</v>
      </c>
      <c r="J50" s="11">
        <v>19.739999999999998</v>
      </c>
      <c r="K50" s="48">
        <v>28.22</v>
      </c>
      <c r="L50" s="48">
        <v>38.026000000000003</v>
      </c>
    </row>
    <row r="51" spans="2:13" x14ac:dyDescent="0.25">
      <c r="B51" s="46" t="s">
        <v>72</v>
      </c>
      <c r="C51" s="47">
        <f>I33+I34</f>
        <v>115.38999999999999</v>
      </c>
      <c r="D51" s="47">
        <f>J33+J34</f>
        <v>589.66</v>
      </c>
      <c r="E51" s="47">
        <f>K33+K34</f>
        <v>754.56</v>
      </c>
      <c r="F51" s="47">
        <f>L33+L34</f>
        <v>1070.558</v>
      </c>
      <c r="G51" s="72"/>
      <c r="H51" s="10" t="s">
        <v>57</v>
      </c>
      <c r="I51" s="11">
        <v>68.900000000000006</v>
      </c>
      <c r="J51" s="11">
        <v>124.27</v>
      </c>
      <c r="K51" s="11">
        <v>139.06</v>
      </c>
      <c r="L51" s="11">
        <v>187.82900000000001</v>
      </c>
    </row>
    <row r="52" spans="2:13" x14ac:dyDescent="0.25">
      <c r="B52" s="46" t="s">
        <v>74</v>
      </c>
      <c r="C52" s="49" t="s">
        <v>37</v>
      </c>
      <c r="D52" s="49" t="s">
        <v>37</v>
      </c>
      <c r="E52" s="49" t="s">
        <v>37</v>
      </c>
      <c r="F52" s="18">
        <f>F49+F50-F51</f>
        <v>16752.128751949997</v>
      </c>
      <c r="G52" s="72"/>
      <c r="H52" s="17" t="s">
        <v>58</v>
      </c>
      <c r="I52" s="30">
        <f>SUM(I27,I29)</f>
        <v>5203.6499999999996</v>
      </c>
      <c r="J52" s="30">
        <f>SUM(J27,J29)</f>
        <v>10766.75</v>
      </c>
      <c r="K52" s="30">
        <f>SUM(K27,K29)</f>
        <v>14641.55</v>
      </c>
      <c r="L52" s="30">
        <f>SUM(L27,L29)</f>
        <v>17677.731</v>
      </c>
    </row>
    <row r="53" spans="2:13" x14ac:dyDescent="0.25">
      <c r="E53" s="44"/>
      <c r="F53" s="44"/>
      <c r="G53" s="72"/>
      <c r="H53" s="17" t="s">
        <v>113</v>
      </c>
      <c r="I53" s="30">
        <f>SUM(I39,I11,I8)</f>
        <v>5203.6500000000005</v>
      </c>
      <c r="J53" s="30">
        <f>SUM(J39,J11,J8)</f>
        <v>10766.750000000002</v>
      </c>
      <c r="K53" s="30">
        <f>SUM(K39,K11,K8)</f>
        <v>14641.550000000001</v>
      </c>
      <c r="L53" s="30">
        <f>SUM(L39,L11,L8)</f>
        <v>17677.731</v>
      </c>
    </row>
    <row r="54" spans="2:13" x14ac:dyDescent="0.25">
      <c r="E54" s="44"/>
      <c r="F54" s="44"/>
      <c r="G54" s="72"/>
      <c r="H54" s="2"/>
      <c r="I54" s="2"/>
      <c r="J54" s="2"/>
      <c r="K54" s="2"/>
      <c r="L54" s="2"/>
    </row>
    <row r="55" spans="2:13" x14ac:dyDescent="0.25">
      <c r="E55" s="44"/>
      <c r="F55" s="44"/>
      <c r="G55" s="72"/>
      <c r="H55" s="68" t="s">
        <v>61</v>
      </c>
      <c r="I55" s="69"/>
      <c r="J55" s="69"/>
      <c r="K55" s="69"/>
      <c r="L55" s="70"/>
    </row>
    <row r="56" spans="2:13" x14ac:dyDescent="0.25">
      <c r="G56" s="72"/>
      <c r="H56" s="4" t="s">
        <v>63</v>
      </c>
      <c r="I56" s="3" t="s">
        <v>3</v>
      </c>
      <c r="J56" s="3" t="s">
        <v>81</v>
      </c>
      <c r="K56" s="3" t="s">
        <v>84</v>
      </c>
      <c r="L56" s="3" t="s">
        <v>112</v>
      </c>
    </row>
    <row r="57" spans="2:13" x14ac:dyDescent="0.25">
      <c r="F57" s="26"/>
      <c r="G57" s="72"/>
      <c r="H57" s="50" t="s">
        <v>64</v>
      </c>
      <c r="I57" s="8">
        <v>0</v>
      </c>
      <c r="J57" s="8">
        <v>0</v>
      </c>
      <c r="K57" s="8">
        <v>0</v>
      </c>
      <c r="L57" s="51">
        <v>151.44999999999999</v>
      </c>
    </row>
    <row r="58" spans="2:13" x14ac:dyDescent="0.25">
      <c r="G58" s="72"/>
      <c r="H58" s="40" t="s">
        <v>65</v>
      </c>
      <c r="I58" s="52">
        <f>C30</f>
        <v>1.62</v>
      </c>
      <c r="J58" s="52">
        <f>D30</f>
        <v>3.47</v>
      </c>
      <c r="K58" s="52">
        <f>E30</f>
        <v>4.6399999999999997</v>
      </c>
      <c r="L58" s="52">
        <f>F30</f>
        <v>4.3499999999999996</v>
      </c>
    </row>
    <row r="59" spans="2:13" x14ac:dyDescent="0.25">
      <c r="F59" s="26"/>
      <c r="G59" s="72"/>
      <c r="H59" s="53" t="s">
        <v>67</v>
      </c>
      <c r="I59" s="54">
        <f>(I8*1000000)/C48</f>
        <v>8.7890953437843802</v>
      </c>
      <c r="J59" s="54">
        <f>(J8*1000000)/D48</f>
        <v>15.542540653726926</v>
      </c>
      <c r="K59" s="54">
        <f>(K8*1000000)/E48</f>
        <v>39.998527179588329</v>
      </c>
      <c r="L59" s="54">
        <f>(L8*1000000)/F48</f>
        <v>93.132974019446678</v>
      </c>
    </row>
    <row r="60" spans="2:13" x14ac:dyDescent="0.25">
      <c r="G60" s="72"/>
      <c r="H60" s="12" t="s">
        <v>69</v>
      </c>
      <c r="I60" s="55" t="s">
        <v>37</v>
      </c>
      <c r="J60" s="55" t="s">
        <v>37</v>
      </c>
      <c r="K60" s="55" t="s">
        <v>37</v>
      </c>
      <c r="L60" s="56" t="s">
        <v>37</v>
      </c>
      <c r="M60" s="1" t="s">
        <v>85</v>
      </c>
    </row>
    <row r="61" spans="2:13" x14ac:dyDescent="0.25">
      <c r="G61" s="72"/>
      <c r="H61" s="53" t="s">
        <v>71</v>
      </c>
      <c r="I61" s="57" t="s">
        <v>37</v>
      </c>
      <c r="J61" s="57" t="s">
        <v>37</v>
      </c>
      <c r="K61" s="57" t="s">
        <v>37</v>
      </c>
      <c r="L61" s="57">
        <f>L57/L58</f>
        <v>34.816091954022987</v>
      </c>
    </row>
    <row r="62" spans="2:13" x14ac:dyDescent="0.25">
      <c r="G62" s="72"/>
      <c r="H62" s="53" t="s">
        <v>73</v>
      </c>
      <c r="I62" s="57" t="s">
        <v>37</v>
      </c>
      <c r="J62" s="57" t="s">
        <v>37</v>
      </c>
      <c r="K62" s="57" t="s">
        <v>37</v>
      </c>
      <c r="L62" s="57">
        <f>(L57/L59)</f>
        <v>1.6261694807295255</v>
      </c>
    </row>
    <row r="63" spans="2:13" x14ac:dyDescent="0.25">
      <c r="G63" s="72"/>
      <c r="H63" s="53" t="s">
        <v>75</v>
      </c>
      <c r="I63" s="57" t="s">
        <v>37</v>
      </c>
      <c r="J63" s="57" t="s">
        <v>37</v>
      </c>
      <c r="K63" s="57" t="s">
        <v>37</v>
      </c>
      <c r="L63" s="58">
        <f>F52/F15</f>
        <v>14.422479982807136</v>
      </c>
    </row>
    <row r="64" spans="2:13" x14ac:dyDescent="0.25">
      <c r="G64" s="72"/>
      <c r="H64" s="59" t="s">
        <v>76</v>
      </c>
      <c r="I64" s="60">
        <f>C25/AVERAGE(I8)</f>
        <v>0.11322972443515748</v>
      </c>
      <c r="J64" s="60">
        <f>D25/AVERAGE(I8,J8)</f>
        <v>0.18276740504670505</v>
      </c>
      <c r="K64" s="60">
        <f>E25/AVERAGE(J8,K8)</f>
        <v>0.14683466403969894</v>
      </c>
      <c r="L64" s="60">
        <f>F25/AVERAGE(K8,L8)</f>
        <v>5.8671126371546395E-2</v>
      </c>
    </row>
    <row r="65" spans="7:13" x14ac:dyDescent="0.25">
      <c r="G65" s="72"/>
      <c r="H65" s="59" t="s">
        <v>77</v>
      </c>
      <c r="I65" s="60">
        <f>(C15-C18)/I13</f>
        <v>0.20280613027760555</v>
      </c>
      <c r="J65" s="60">
        <f>(D15-D18)/J13</f>
        <v>0.23682287673086488</v>
      </c>
      <c r="K65" s="60">
        <f>(E15-E18)/K13</f>
        <v>0.16268958780679374</v>
      </c>
      <c r="L65" s="60">
        <f>(F15-F18)/L13</f>
        <v>7.9464036823581941E-2</v>
      </c>
    </row>
    <row r="66" spans="7:13" x14ac:dyDescent="0.25">
      <c r="G66" s="72"/>
      <c r="H66" s="53" t="s">
        <v>78</v>
      </c>
      <c r="I66" s="58">
        <f>(I9+I40)/I8</f>
        <v>3.4617125941404381</v>
      </c>
      <c r="J66" s="58">
        <f>(J9+J40)/J8</f>
        <v>3.1508718664095516</v>
      </c>
      <c r="K66" s="58">
        <f>(K9+K40)/K8</f>
        <v>1.5702064294778997</v>
      </c>
      <c r="L66" s="58">
        <f>(L9+L40)/L8</f>
        <v>0.37143787105539028</v>
      </c>
    </row>
    <row r="67" spans="7:13" x14ac:dyDescent="0.25">
      <c r="G67" s="72"/>
      <c r="H67" s="53" t="s">
        <v>79</v>
      </c>
      <c r="I67" s="58">
        <f>(I9+I40-I33-I34)/I8</f>
        <v>3.29426958628996</v>
      </c>
      <c r="J67" s="58">
        <f>(J9+J40-J33-J34)/J8</f>
        <v>2.6670085750625696</v>
      </c>
      <c r="K67" s="58">
        <f>(K9+K40-K33-K34)/K8</f>
        <v>1.3296079944390944</v>
      </c>
      <c r="L67" s="58">
        <f>(L9+L40-L33-L34)/L8</f>
        <v>0.25144729045013031</v>
      </c>
    </row>
    <row r="68" spans="7:13" x14ac:dyDescent="0.25">
      <c r="G68" s="72"/>
      <c r="H68" s="53" t="s">
        <v>80</v>
      </c>
      <c r="I68" s="60" t="s">
        <v>37</v>
      </c>
      <c r="J68" s="60" t="s">
        <v>37</v>
      </c>
      <c r="K68" s="60" t="s">
        <v>37</v>
      </c>
      <c r="L68" s="60" t="s">
        <v>37</v>
      </c>
    </row>
    <row r="69" spans="7:13" x14ac:dyDescent="0.25">
      <c r="G69" s="72"/>
      <c r="H69" s="46" t="s">
        <v>105</v>
      </c>
      <c r="I69" s="61">
        <f>(C22+C21+C19)/(C19)</f>
        <v>1.4252316353258536</v>
      </c>
      <c r="J69" s="61">
        <f>(D22+D21+D19)/(D19)</f>
        <v>1.8951434502943931</v>
      </c>
      <c r="K69" s="61">
        <f>(E22+E21+E19)/(E19)</f>
        <v>2.4493642720915481</v>
      </c>
      <c r="L69" s="61">
        <f>(F22+F21+F19)/(F19)</f>
        <v>2.2631923530182028</v>
      </c>
      <c r="M69" s="2"/>
    </row>
    <row r="70" spans="7:13" x14ac:dyDescent="0.25">
      <c r="G70" s="72"/>
      <c r="H70" s="46" t="s">
        <v>106</v>
      </c>
      <c r="I70" s="62">
        <f>(AVERAGE(H32,I32)/C5)*365</f>
        <v>116.09731135695318</v>
      </c>
      <c r="J70" s="62">
        <f>(AVERAGE(I32,J32)/D5)*365</f>
        <v>116.58560403911866</v>
      </c>
      <c r="K70" s="62">
        <f>(AVERAGE(J32,K32)/E5)*365</f>
        <v>99.061710440126021</v>
      </c>
      <c r="L70" s="62">
        <f>(AVERAGE(K32,L32)/F5)*365</f>
        <v>88.89906697731729</v>
      </c>
      <c r="M70" s="2"/>
    </row>
    <row r="71" spans="7:13" x14ac:dyDescent="0.25">
      <c r="G71" s="72"/>
      <c r="H71" s="46" t="s">
        <v>107</v>
      </c>
      <c r="I71" s="62">
        <f>(AVERAGE(H42:I42))/C10*365</f>
        <v>84.667209192608425</v>
      </c>
      <c r="J71" s="62">
        <f>(AVERAGE(I42:J42))/D10*365</f>
        <v>111.05197570292439</v>
      </c>
      <c r="K71" s="62">
        <f>(AVERAGE(J42:K42))/E10*365</f>
        <v>101.59377627449591</v>
      </c>
      <c r="L71" s="62">
        <f>(AVERAGE(K42:L42))/F10*365</f>
        <v>120.44150634270105</v>
      </c>
      <c r="M71" s="2"/>
    </row>
    <row r="72" spans="7:13" x14ac:dyDescent="0.25">
      <c r="G72" s="72"/>
      <c r="H72" s="46" t="s">
        <v>108</v>
      </c>
      <c r="I72" s="62">
        <f>(AVERAGE(H30:I30)/(C10+C11+C12))*365</f>
        <v>78.989771850172019</v>
      </c>
      <c r="J72" s="62">
        <f>(AVERAGE(I30:J30)/(D10+D11+D12))*365</f>
        <v>95.981820150288087</v>
      </c>
      <c r="K72" s="62">
        <f>(AVERAGE(J30:K30)/(E10+E11+E12))*365</f>
        <v>78.697148288399063</v>
      </c>
      <c r="L72" s="62">
        <f>(AVERAGE(K30:L30)/(F10+F11+F12))*365</f>
        <v>103.03848144261532</v>
      </c>
      <c r="M72" s="2"/>
    </row>
    <row r="73" spans="7:13" x14ac:dyDescent="0.25">
      <c r="G73" s="72"/>
      <c r="H73" s="46" t="s">
        <v>109</v>
      </c>
      <c r="I73" s="62">
        <f>I70+I72-I71</f>
        <v>110.41987401451678</v>
      </c>
      <c r="J73" s="62">
        <f>J70+J72-J71</f>
        <v>101.51544848648236</v>
      </c>
      <c r="K73" s="62">
        <f>K70+K72-K71</f>
        <v>76.165082454029161</v>
      </c>
      <c r="L73" s="62">
        <f t="shared" ref="L73" si="6">L70+L72-L71</f>
        <v>71.496042077231579</v>
      </c>
      <c r="M73" s="2"/>
    </row>
    <row r="74" spans="7:13" x14ac:dyDescent="0.25">
      <c r="G74" s="72"/>
      <c r="H74" s="46" t="s">
        <v>110</v>
      </c>
      <c r="I74" s="62">
        <f>(AVERAGE(H75:I75)/C5)*365</f>
        <v>21.815373958396979</v>
      </c>
      <c r="J74" s="62">
        <f>(AVERAGE(I75:J75)/D5)*365</f>
        <v>-16.598072091256775</v>
      </c>
      <c r="K74" s="62">
        <f>(AVERAGE(J75:K75)/E5)*365</f>
        <v>-29.844794623454728</v>
      </c>
      <c r="L74" s="62">
        <f>(AVERAGE(K75:L75)/F5)*365</f>
        <v>15.977062440976322</v>
      </c>
      <c r="M74" s="2"/>
    </row>
    <row r="75" spans="7:13" x14ac:dyDescent="0.25">
      <c r="G75" s="72"/>
      <c r="H75" s="46" t="s">
        <v>111</v>
      </c>
      <c r="I75" s="61">
        <f>I29-I39</f>
        <v>440.03999999999951</v>
      </c>
      <c r="J75" s="61">
        <f>J29-J39</f>
        <v>-1280.550000000002</v>
      </c>
      <c r="K75" s="61">
        <f>K29-K39</f>
        <v>-1235.9500000000025</v>
      </c>
      <c r="L75" s="61">
        <f>L29-L39</f>
        <v>2478.71</v>
      </c>
      <c r="M75" s="2"/>
    </row>
    <row r="76" spans="7:13" x14ac:dyDescent="0.25">
      <c r="M76" s="2"/>
    </row>
    <row r="77" spans="7:13" x14ac:dyDescent="0.25">
      <c r="H77" s="2"/>
      <c r="J77" s="63"/>
      <c r="M77" s="2"/>
    </row>
    <row r="78" spans="7:13" x14ac:dyDescent="0.25">
      <c r="M78" s="2"/>
    </row>
    <row r="79" spans="7:13" x14ac:dyDescent="0.25">
      <c r="M79" s="2"/>
    </row>
    <row r="80" spans="7:13" hidden="1" x14ac:dyDescent="0.25">
      <c r="M80" s="2"/>
    </row>
    <row r="81" spans="13:13" x14ac:dyDescent="0.25">
      <c r="M81" s="2"/>
    </row>
  </sheetData>
  <mergeCells count="6">
    <mergeCell ref="B1:L1"/>
    <mergeCell ref="H55:L55"/>
    <mergeCell ref="B3:F3"/>
    <mergeCell ref="H3:L3"/>
    <mergeCell ref="B33:F33"/>
    <mergeCell ref="G3:G75"/>
  </mergeCells>
  <printOptions horizontalCentered="1"/>
  <pageMargins left="0" right="0" top="0" bottom="0" header="0" footer="0"/>
  <pageSetup paperSize="9" scale="54" fitToWidth="0" orientation="landscape" r:id="rId1"/>
  <ignoredErrors>
    <ignoredError sqref="J71:L72 C39:F40 C41 E41:F41" formulaRange="1"/>
    <ignoredError sqref="E22" formula="1"/>
    <ignoredError sqref="D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</vt:lpstr>
      <vt:lpstr>Consolidated!Print_Area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2022-04-21T08:47:11Z</dcterms:created>
  <dcterms:modified xsi:type="dcterms:W3CDTF">2024-06-03T09:30:30Z</dcterms:modified>
</cp:coreProperties>
</file>