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ew folder\HOEC\"/>
    </mc:Choice>
  </mc:AlternateContent>
  <xr:revisionPtr revIDLastSave="0" documentId="8_{4E438158-4F19-4651-B6F7-A9CD58F7B04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tandalone" sheetId="4" state="hidden" r:id="rId1"/>
    <sheet name="Consolidated" sheetId="5" r:id="rId2"/>
    <sheet name="Peer Analysis working" sheetId="6" state="hidden" r:id="rId3"/>
  </sheets>
  <definedNames>
    <definedName name="_xlnm.Print_Area" localSheetId="1">Consolidated!$A$1:$AC$78</definedName>
    <definedName name="_xlnm.Print_Area" localSheetId="0">Standalone!$A$1:$S$78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5" l="1"/>
  <c r="M33" i="5"/>
  <c r="M28" i="5"/>
  <c r="M16" i="5"/>
  <c r="M6" i="5"/>
  <c r="AB6" i="5"/>
  <c r="M57" i="5"/>
  <c r="L58" i="5"/>
  <c r="AC72" i="5"/>
  <c r="AC64" i="5"/>
  <c r="M58" i="5"/>
  <c r="M50" i="5"/>
  <c r="M52" i="5" s="1"/>
  <c r="M45" i="5"/>
  <c r="M46" i="5" s="1"/>
  <c r="M59" i="5" s="1"/>
  <c r="AB15" i="5"/>
  <c r="AC10" i="5"/>
  <c r="AC70" i="5" s="1"/>
  <c r="AC6" i="5"/>
  <c r="AC62" i="5" s="1"/>
  <c r="AC65" i="5" s="1"/>
  <c r="AC15" i="5"/>
  <c r="AC30" i="5"/>
  <c r="AC41" i="5"/>
  <c r="AC54" i="5"/>
  <c r="AC12" i="5" s="1"/>
  <c r="M35" i="5"/>
  <c r="M5" i="5"/>
  <c r="M7" i="5"/>
  <c r="AC74" i="5" s="1"/>
  <c r="K7" i="5"/>
  <c r="M60" i="5" l="1"/>
  <c r="AC73" i="5"/>
  <c r="AC75" i="5" s="1"/>
  <c r="AC77" i="5"/>
  <c r="AC55" i="5"/>
  <c r="M14" i="5"/>
  <c r="AC68" i="5" s="1"/>
  <c r="AC69" i="5"/>
  <c r="AC48" i="5"/>
  <c r="AC11" i="5"/>
  <c r="W61" i="5"/>
  <c r="X61" i="5"/>
  <c r="Y61" i="5"/>
  <c r="Z61" i="5"/>
  <c r="AA61" i="5"/>
  <c r="AB61" i="5"/>
  <c r="AB64" i="5" s="1"/>
  <c r="M23" i="5" l="1"/>
  <c r="AC66" i="5"/>
  <c r="M17" i="5"/>
  <c r="AC78" i="5" l="1"/>
  <c r="L57" i="5" l="1"/>
  <c r="AB72" i="5"/>
  <c r="AA72" i="5"/>
  <c r="AB41" i="5"/>
  <c r="AA42" i="5"/>
  <c r="AA15" i="5" l="1"/>
  <c r="L35" i="5"/>
  <c r="L36" i="5"/>
  <c r="L5" i="5"/>
  <c r="L6" i="5"/>
  <c r="K20" i="5" l="1"/>
  <c r="L7" i="5" l="1"/>
  <c r="L14" i="5" l="1"/>
  <c r="M15" i="5" s="1"/>
  <c r="AB73" i="5"/>
  <c r="AB74" i="5"/>
  <c r="L50" i="5"/>
  <c r="L52" i="5" s="1"/>
  <c r="K50" i="5"/>
  <c r="K52" i="5" s="1"/>
  <c r="J50" i="5"/>
  <c r="J52" i="5" s="1"/>
  <c r="I50" i="5"/>
  <c r="I52" i="5" s="1"/>
  <c r="H50" i="5"/>
  <c r="G50" i="5"/>
  <c r="AB75" i="5" l="1"/>
  <c r="L23" i="5"/>
  <c r="K58" i="5"/>
  <c r="AB30" i="5"/>
  <c r="AB10" i="5"/>
  <c r="AB62" i="5"/>
  <c r="AB65" i="5" s="1"/>
  <c r="L45" i="5"/>
  <c r="L46" i="5" s="1"/>
  <c r="L59" i="5" s="1"/>
  <c r="AB54" i="5" l="1"/>
  <c r="AB12" i="5" s="1"/>
  <c r="AB68" i="5" s="1"/>
  <c r="AB48" i="5"/>
  <c r="AC76" i="5" s="1"/>
  <c r="AB78" i="5"/>
  <c r="L25" i="5"/>
  <c r="AB55" i="5"/>
  <c r="L60" i="5"/>
  <c r="AB66" i="5" s="1"/>
  <c r="AB70" i="5"/>
  <c r="AB69" i="5"/>
  <c r="AB77" i="5"/>
  <c r="AB11" i="5"/>
  <c r="K57" i="5"/>
  <c r="AA64" i="5"/>
  <c r="L17" i="5" l="1"/>
  <c r="L26" i="5"/>
  <c r="AB67" i="5" l="1"/>
  <c r="L27" i="5"/>
  <c r="L31" i="5"/>
  <c r="AA41" i="5" l="1"/>
  <c r="AA30" i="5"/>
  <c r="AA10" i="5"/>
  <c r="AA6" i="5"/>
  <c r="AA11" i="5" s="1"/>
  <c r="K45" i="5"/>
  <c r="K46" i="5" s="1"/>
  <c r="K59" i="5" s="1"/>
  <c r="K60" i="5" s="1"/>
  <c r="K36" i="5"/>
  <c r="K35" i="5"/>
  <c r="K6" i="5"/>
  <c r="K5" i="5"/>
  <c r="AA69" i="5" l="1"/>
  <c r="AA70" i="5"/>
  <c r="AA77" i="5"/>
  <c r="AA54" i="5"/>
  <c r="AA12" i="5" s="1"/>
  <c r="AA48" i="5"/>
  <c r="AB76" i="5" s="1"/>
  <c r="AA55" i="5"/>
  <c r="AA66" i="5"/>
  <c r="AA62" i="5"/>
  <c r="AA65" i="5" s="1"/>
  <c r="K14" i="5" l="1"/>
  <c r="AA74" i="5"/>
  <c r="AA73" i="5"/>
  <c r="Z72" i="5"/>
  <c r="L15" i="5" l="1"/>
  <c r="K23" i="5"/>
  <c r="AA68" i="5" s="1"/>
  <c r="K17" i="5"/>
  <c r="AA75" i="5"/>
  <c r="AA78" i="5"/>
  <c r="K26" i="5"/>
  <c r="K25" i="5"/>
  <c r="G6" i="5"/>
  <c r="G36" i="5"/>
  <c r="E9" i="5"/>
  <c r="F57" i="5"/>
  <c r="F58" i="5"/>
  <c r="F52" i="5"/>
  <c r="F46" i="5"/>
  <c r="F9" i="5"/>
  <c r="W15" i="5"/>
  <c r="V15" i="5"/>
  <c r="K27" i="5" l="1"/>
  <c r="AA67" i="5"/>
  <c r="K31" i="5"/>
  <c r="F60" i="5"/>
  <c r="Z64" i="5"/>
  <c r="Z41" i="5"/>
  <c r="Z30" i="5"/>
  <c r="Z15" i="5"/>
  <c r="G58" i="5"/>
  <c r="H58" i="5"/>
  <c r="I58" i="5"/>
  <c r="J58" i="5"/>
  <c r="Z10" i="5"/>
  <c r="Z6" i="5"/>
  <c r="J57" i="5"/>
  <c r="J45" i="5"/>
  <c r="Y6" i="5"/>
  <c r="Y11" i="5" s="1"/>
  <c r="Y10" i="5"/>
  <c r="Y15" i="5"/>
  <c r="Y30" i="5"/>
  <c r="Y41" i="5"/>
  <c r="Y64" i="5"/>
  <c r="Y71" i="5"/>
  <c r="Y72" i="5"/>
  <c r="L32" i="5" l="1"/>
  <c r="Z70" i="5"/>
  <c r="Z62" i="5"/>
  <c r="Z69" i="5"/>
  <c r="Y69" i="5"/>
  <c r="Z11" i="5"/>
  <c r="Z54" i="5"/>
  <c r="Z12" i="5" s="1"/>
  <c r="Y70" i="5"/>
  <c r="Z55" i="5"/>
  <c r="Z48" i="5"/>
  <c r="AA76" i="5" s="1"/>
  <c r="Z77" i="5"/>
  <c r="Y62" i="5"/>
  <c r="Y65" i="5" s="1"/>
  <c r="Y48" i="5"/>
  <c r="Y55" i="5"/>
  <c r="Y54" i="5"/>
  <c r="Y12" i="5" s="1"/>
  <c r="J36" i="5"/>
  <c r="J35" i="5"/>
  <c r="J7" i="5"/>
  <c r="J6" i="5"/>
  <c r="J5" i="5"/>
  <c r="Z76" i="5" l="1"/>
  <c r="Z73" i="5"/>
  <c r="Z74" i="5"/>
  <c r="Z65" i="5"/>
  <c r="J14" i="5"/>
  <c r="V74" i="5"/>
  <c r="S74" i="5"/>
  <c r="R74" i="5"/>
  <c r="Q74" i="5"/>
  <c r="W73" i="5"/>
  <c r="V73" i="5"/>
  <c r="S73" i="5"/>
  <c r="R73" i="5"/>
  <c r="Q73" i="5"/>
  <c r="X72" i="5"/>
  <c r="W72" i="5"/>
  <c r="V72" i="5"/>
  <c r="S72" i="5"/>
  <c r="R72" i="5"/>
  <c r="Q72" i="5"/>
  <c r="P72" i="5"/>
  <c r="X71" i="5"/>
  <c r="W71" i="5"/>
  <c r="V71" i="5"/>
  <c r="S71" i="5"/>
  <c r="R71" i="5"/>
  <c r="Q71" i="5"/>
  <c r="P71" i="5"/>
  <c r="D59" i="5"/>
  <c r="C59" i="5"/>
  <c r="B59" i="5"/>
  <c r="X64" i="5"/>
  <c r="W64" i="5"/>
  <c r="V61" i="5"/>
  <c r="V64" i="5" s="1"/>
  <c r="S61" i="5"/>
  <c r="S64" i="5" s="1"/>
  <c r="R61" i="5"/>
  <c r="R64" i="5" s="1"/>
  <c r="Q61" i="5"/>
  <c r="Q64" i="5" s="1"/>
  <c r="P61" i="5"/>
  <c r="P64" i="5" s="1"/>
  <c r="I57" i="5"/>
  <c r="I60" i="5" s="1"/>
  <c r="H57" i="5"/>
  <c r="H60" i="5" s="1"/>
  <c r="G57" i="5"/>
  <c r="G60" i="5" s="1"/>
  <c r="D57" i="5"/>
  <c r="C57" i="5"/>
  <c r="B57" i="5"/>
  <c r="H51" i="5"/>
  <c r="H52" i="5" s="1"/>
  <c r="G51" i="5"/>
  <c r="D51" i="5"/>
  <c r="C51" i="5"/>
  <c r="I46" i="5"/>
  <c r="J46" i="5" s="1"/>
  <c r="J59" i="5" s="1"/>
  <c r="J60" i="5" s="1"/>
  <c r="G46" i="5"/>
  <c r="H45" i="5"/>
  <c r="H46" i="5" s="1"/>
  <c r="D45" i="5"/>
  <c r="D46" i="5" s="1"/>
  <c r="C45" i="5"/>
  <c r="C46" i="5" s="1"/>
  <c r="B45" i="5"/>
  <c r="B46" i="5" s="1"/>
  <c r="X41" i="5"/>
  <c r="W41" i="5"/>
  <c r="V41" i="5"/>
  <c r="S41" i="5"/>
  <c r="R41" i="5"/>
  <c r="Q41" i="5"/>
  <c r="P41" i="5"/>
  <c r="I36" i="5"/>
  <c r="H36" i="5"/>
  <c r="I35" i="5"/>
  <c r="H35" i="5"/>
  <c r="G35" i="5"/>
  <c r="F35" i="5"/>
  <c r="E35" i="5"/>
  <c r="D35" i="5"/>
  <c r="C35" i="5"/>
  <c r="X30" i="5"/>
  <c r="X48" i="5" s="1"/>
  <c r="Y76" i="5" s="1"/>
  <c r="W30" i="5"/>
  <c r="V30" i="5"/>
  <c r="S30" i="5"/>
  <c r="S48" i="5" s="1"/>
  <c r="R30" i="5"/>
  <c r="R48" i="5" s="1"/>
  <c r="Q30" i="5"/>
  <c r="P30" i="5"/>
  <c r="B31" i="5"/>
  <c r="B27" i="5"/>
  <c r="D24" i="5"/>
  <c r="C24" i="5"/>
  <c r="B23" i="5"/>
  <c r="I20" i="5"/>
  <c r="Y77" i="5" s="1"/>
  <c r="H20" i="5"/>
  <c r="G20" i="5"/>
  <c r="B17" i="5"/>
  <c r="X15" i="5"/>
  <c r="S15" i="5"/>
  <c r="R15" i="5"/>
  <c r="Q15" i="5"/>
  <c r="P15" i="5"/>
  <c r="X10" i="5"/>
  <c r="W10" i="5"/>
  <c r="V10" i="5"/>
  <c r="S10" i="5"/>
  <c r="R10" i="5"/>
  <c r="R77" i="5" s="1"/>
  <c r="Q10" i="5"/>
  <c r="P10" i="5"/>
  <c r="I7" i="5"/>
  <c r="H7" i="5"/>
  <c r="G7" i="5"/>
  <c r="F7" i="5"/>
  <c r="F14" i="5" s="1"/>
  <c r="E7" i="5"/>
  <c r="E14" i="5" s="1"/>
  <c r="D7" i="5"/>
  <c r="D14" i="5" s="1"/>
  <c r="C7" i="5"/>
  <c r="C14" i="5" s="1"/>
  <c r="B7" i="5"/>
  <c r="X6" i="5"/>
  <c r="X62" i="5" s="1"/>
  <c r="X65" i="5" s="1"/>
  <c r="W6" i="5"/>
  <c r="W62" i="5" s="1"/>
  <c r="W65" i="5" s="1"/>
  <c r="V6" i="5"/>
  <c r="V11" i="5" s="1"/>
  <c r="S6" i="5"/>
  <c r="S11" i="5" s="1"/>
  <c r="R6" i="5"/>
  <c r="R62" i="5" s="1"/>
  <c r="R65" i="5" s="1"/>
  <c r="Q6" i="5"/>
  <c r="Q62" i="5" s="1"/>
  <c r="Q65" i="5" s="1"/>
  <c r="P6" i="5"/>
  <c r="P11" i="5" s="1"/>
  <c r="I6" i="5"/>
  <c r="H6" i="5"/>
  <c r="I5" i="5"/>
  <c r="H5" i="5"/>
  <c r="G5" i="5"/>
  <c r="F5" i="5"/>
  <c r="E5" i="5"/>
  <c r="D5" i="5"/>
  <c r="C5" i="5"/>
  <c r="Z66" i="5" l="1"/>
  <c r="J17" i="5"/>
  <c r="K15" i="5"/>
  <c r="J23" i="5"/>
  <c r="J25" i="5" s="1"/>
  <c r="W77" i="5"/>
  <c r="V55" i="5"/>
  <c r="Z75" i="5"/>
  <c r="E17" i="5"/>
  <c r="E23" i="5"/>
  <c r="Y73" i="5"/>
  <c r="Y74" i="5"/>
  <c r="P54" i="5"/>
  <c r="P12" i="5" s="1"/>
  <c r="P13" i="5" s="1"/>
  <c r="R75" i="5"/>
  <c r="V54" i="5"/>
  <c r="V12" i="5" s="1"/>
  <c r="G14" i="5"/>
  <c r="W74" i="5"/>
  <c r="W75" i="5" s="1"/>
  <c r="X73" i="5"/>
  <c r="X74" i="5"/>
  <c r="X54" i="5"/>
  <c r="X12" i="5" s="1"/>
  <c r="R54" i="5"/>
  <c r="R12" i="5" s="1"/>
  <c r="S54" i="5"/>
  <c r="S12" i="5" s="1"/>
  <c r="Q48" i="5"/>
  <c r="R76" i="5" s="1"/>
  <c r="W48" i="5"/>
  <c r="X76" i="5" s="1"/>
  <c r="P55" i="5"/>
  <c r="P70" i="5"/>
  <c r="V70" i="5"/>
  <c r="Q55" i="5"/>
  <c r="W55" i="5"/>
  <c r="Q70" i="5"/>
  <c r="W70" i="5"/>
  <c r="Q54" i="5"/>
  <c r="Q12" i="5" s="1"/>
  <c r="W54" i="5"/>
  <c r="W12" i="5" s="1"/>
  <c r="R55" i="5"/>
  <c r="X55" i="5"/>
  <c r="S70" i="5"/>
  <c r="X70" i="5"/>
  <c r="X77" i="5"/>
  <c r="P48" i="5"/>
  <c r="V48" i="5"/>
  <c r="W76" i="5" s="1"/>
  <c r="S55" i="5"/>
  <c r="S75" i="5"/>
  <c r="I14" i="5"/>
  <c r="V75" i="5"/>
  <c r="B50" i="5"/>
  <c r="Q75" i="5"/>
  <c r="F23" i="5"/>
  <c r="V66" i="5"/>
  <c r="F15" i="5"/>
  <c r="F17" i="5"/>
  <c r="C15" i="5"/>
  <c r="C17" i="5"/>
  <c r="C23" i="5"/>
  <c r="C25" i="5" s="1"/>
  <c r="D17" i="5"/>
  <c r="D23" i="5"/>
  <c r="D15" i="5"/>
  <c r="S76" i="5"/>
  <c r="Q11" i="5"/>
  <c r="W11" i="5"/>
  <c r="H14" i="5"/>
  <c r="D58" i="5"/>
  <c r="D60" i="5" s="1"/>
  <c r="R66" i="5" s="1"/>
  <c r="S62" i="5"/>
  <c r="S65" i="5" s="1"/>
  <c r="R69" i="5"/>
  <c r="X69" i="5"/>
  <c r="R70" i="5"/>
  <c r="S77" i="5"/>
  <c r="X11" i="5"/>
  <c r="P62" i="5"/>
  <c r="P65" i="5" s="1"/>
  <c r="V62" i="5"/>
  <c r="V65" i="5" s="1"/>
  <c r="S66" i="5"/>
  <c r="S69" i="5"/>
  <c r="V77" i="5"/>
  <c r="B25" i="5"/>
  <c r="B58" i="5"/>
  <c r="B60" i="5" s="1"/>
  <c r="P66" i="5" s="1"/>
  <c r="P67" i="5"/>
  <c r="P68" i="5"/>
  <c r="P69" i="5"/>
  <c r="V69" i="5"/>
  <c r="Q77" i="5"/>
  <c r="R11" i="5"/>
  <c r="E15" i="5"/>
  <c r="C58" i="5"/>
  <c r="C60" i="5" s="1"/>
  <c r="Q66" i="5" s="1"/>
  <c r="Q69" i="5"/>
  <c r="W69" i="5"/>
  <c r="Y66" i="5" l="1"/>
  <c r="L16" i="5"/>
  <c r="Q76" i="5"/>
  <c r="X66" i="5"/>
  <c r="K16" i="5"/>
  <c r="J16" i="5"/>
  <c r="G16" i="5"/>
  <c r="Z78" i="5"/>
  <c r="Z68" i="5"/>
  <c r="J26" i="5"/>
  <c r="Y75" i="5"/>
  <c r="G15" i="5"/>
  <c r="W66" i="5"/>
  <c r="G23" i="5"/>
  <c r="G26" i="5" s="1"/>
  <c r="G17" i="5"/>
  <c r="X75" i="5"/>
  <c r="I17" i="5"/>
  <c r="J15" i="5"/>
  <c r="V76" i="5"/>
  <c r="I23" i="5"/>
  <c r="I15" i="5"/>
  <c r="I16" i="5"/>
  <c r="S78" i="5"/>
  <c r="S68" i="5"/>
  <c r="E26" i="5"/>
  <c r="D26" i="5"/>
  <c r="R78" i="5"/>
  <c r="R68" i="5"/>
  <c r="F26" i="5"/>
  <c r="V68" i="5"/>
  <c r="F25" i="5"/>
  <c r="V78" i="5"/>
  <c r="D25" i="5"/>
  <c r="E25" i="5"/>
  <c r="H23" i="5"/>
  <c r="H17" i="5"/>
  <c r="H16" i="5"/>
  <c r="H15" i="5"/>
  <c r="Q68" i="5"/>
  <c r="C26" i="5"/>
  <c r="Q78" i="5"/>
  <c r="D50" i="5" l="1"/>
  <c r="D52" i="5" s="1"/>
  <c r="Z67" i="5"/>
  <c r="J27" i="5"/>
  <c r="J31" i="5"/>
  <c r="K32" i="5" s="1"/>
  <c r="J28" i="5"/>
  <c r="G28" i="5"/>
  <c r="G52" i="5"/>
  <c r="G25" i="5"/>
  <c r="W68" i="5"/>
  <c r="Y78" i="5"/>
  <c r="Y68" i="5"/>
  <c r="W78" i="5"/>
  <c r="C50" i="5"/>
  <c r="C52" i="5" s="1"/>
  <c r="I26" i="5"/>
  <c r="L28" i="5" s="1"/>
  <c r="I25" i="5"/>
  <c r="Q67" i="5"/>
  <c r="C27" i="5"/>
  <c r="C31" i="5"/>
  <c r="C32" i="5" s="1"/>
  <c r="F31" i="5"/>
  <c r="V67" i="5"/>
  <c r="F27" i="5"/>
  <c r="D27" i="5"/>
  <c r="D31" i="5"/>
  <c r="R67" i="5"/>
  <c r="E31" i="5"/>
  <c r="S67" i="5"/>
  <c r="E27" i="5"/>
  <c r="H26" i="5"/>
  <c r="K28" i="5" s="1"/>
  <c r="X78" i="5"/>
  <c r="X68" i="5"/>
  <c r="H25" i="5"/>
  <c r="W67" i="5"/>
  <c r="G27" i="5"/>
  <c r="G31" i="5"/>
  <c r="M37" i="6"/>
  <c r="F27" i="6"/>
  <c r="B14" i="6"/>
  <c r="B7" i="6"/>
  <c r="I31" i="5" l="1"/>
  <c r="L33" i="5" s="1"/>
  <c r="J33" i="5"/>
  <c r="G33" i="5"/>
  <c r="I27" i="5"/>
  <c r="D32" i="5"/>
  <c r="F32" i="5"/>
  <c r="I28" i="5"/>
  <c r="Y67" i="5"/>
  <c r="I33" i="5"/>
  <c r="G32" i="5"/>
  <c r="E32" i="5"/>
  <c r="H27" i="5"/>
  <c r="H31" i="5"/>
  <c r="K33" i="5" s="1"/>
  <c r="H28" i="5"/>
  <c r="X67" i="5"/>
  <c r="I42" i="6"/>
  <c r="I31" i="6"/>
  <c r="I29" i="6"/>
  <c r="I26" i="6"/>
  <c r="J32" i="5" l="1"/>
  <c r="H33" i="5"/>
  <c r="H32" i="5"/>
  <c r="I32" i="5"/>
  <c r="I44" i="6"/>
  <c r="I43" i="6"/>
  <c r="I34" i="6"/>
  <c r="I30" i="6"/>
  <c r="I27" i="6"/>
  <c r="S72" i="4"/>
  <c r="S71" i="4"/>
  <c r="H60" i="4"/>
  <c r="I60" i="4"/>
  <c r="I63" i="4" s="1"/>
  <c r="G51" i="4"/>
  <c r="G50" i="4"/>
  <c r="H54" i="4"/>
  <c r="H51" i="4"/>
  <c r="H50" i="4"/>
  <c r="I51" i="4" l="1"/>
  <c r="I50" i="4"/>
  <c r="S61" i="4" l="1"/>
  <c r="S64" i="4" s="1"/>
  <c r="I49" i="4"/>
  <c r="I44" i="4"/>
  <c r="I34" i="4"/>
  <c r="I33" i="4"/>
  <c r="I6" i="4"/>
  <c r="I5" i="4"/>
  <c r="S41" i="4" l="1"/>
  <c r="S6" i="4"/>
  <c r="S10" i="4"/>
  <c r="S15" i="4"/>
  <c r="S29" i="4"/>
  <c r="I41" i="6" l="1"/>
  <c r="I40" i="6"/>
  <c r="I49" i="6"/>
  <c r="S70" i="4"/>
  <c r="S69" i="4"/>
  <c r="S11" i="4"/>
  <c r="S62" i="4"/>
  <c r="S65" i="4" s="1"/>
  <c r="S55" i="4"/>
  <c r="S54" i="4"/>
  <c r="S12" i="4" s="1"/>
  <c r="S48" i="4"/>
  <c r="I33" i="6" l="1"/>
  <c r="I35" i="6"/>
  <c r="H49" i="4" l="1"/>
  <c r="I7" i="4" l="1"/>
  <c r="I13" i="4" l="1"/>
  <c r="S74" i="4"/>
  <c r="S73" i="4"/>
  <c r="I45" i="6"/>
  <c r="I36" i="6" l="1"/>
  <c r="S75" i="4"/>
  <c r="I46" i="6"/>
  <c r="I16" i="4"/>
  <c r="S78" i="4"/>
  <c r="S68" i="4"/>
  <c r="S66" i="4"/>
  <c r="I21" i="4"/>
  <c r="I23" i="4" s="1"/>
  <c r="R72" i="4"/>
  <c r="Q72" i="4"/>
  <c r="P72" i="4"/>
  <c r="O72" i="4"/>
  <c r="N72" i="4"/>
  <c r="I38" i="6" l="1"/>
  <c r="I50" i="6"/>
  <c r="I48" i="4"/>
  <c r="I53" i="4" s="1"/>
  <c r="I55" i="4" s="1"/>
  <c r="I24" i="4"/>
  <c r="H6" i="4"/>
  <c r="H5" i="4"/>
  <c r="G5" i="4"/>
  <c r="F5" i="4"/>
  <c r="E5" i="4"/>
  <c r="D5" i="4"/>
  <c r="S67" i="4" l="1"/>
  <c r="I29" i="4"/>
  <c r="I25" i="4"/>
  <c r="I37" i="6"/>
  <c r="D27" i="6" l="1"/>
  <c r="E27" i="6"/>
  <c r="C27" i="6"/>
  <c r="L16" i="6" l="1"/>
  <c r="I19" i="6" l="1"/>
  <c r="I18" i="6"/>
  <c r="I15" i="6"/>
  <c r="I14" i="6"/>
  <c r="I13" i="6"/>
  <c r="I12" i="6"/>
  <c r="I7" i="6"/>
  <c r="I6" i="6"/>
  <c r="C7" i="6"/>
  <c r="D7" i="6"/>
  <c r="E7" i="6"/>
  <c r="J8" i="6"/>
  <c r="J28" i="6" s="1"/>
  <c r="K8" i="6"/>
  <c r="K40" i="6" s="1"/>
  <c r="L8" i="6"/>
  <c r="L40" i="6" s="1"/>
  <c r="M8" i="6"/>
  <c r="M40" i="6" s="1"/>
  <c r="J46" i="6"/>
  <c r="M45" i="6"/>
  <c r="J9" i="6"/>
  <c r="J38" i="6" s="1"/>
  <c r="K9" i="6"/>
  <c r="K38" i="6" s="1"/>
  <c r="L9" i="6"/>
  <c r="L38" i="6" s="1"/>
  <c r="M9" i="6"/>
  <c r="M38" i="6" s="1"/>
  <c r="C14" i="6"/>
  <c r="E14" i="6"/>
  <c r="J16" i="6"/>
  <c r="J29" i="6" s="1"/>
  <c r="K16" i="6"/>
  <c r="J18" i="6"/>
  <c r="K18" i="6"/>
  <c r="J20" i="6"/>
  <c r="J48" i="6" s="1"/>
  <c r="K20" i="6"/>
  <c r="K48" i="6" s="1"/>
  <c r="L20" i="6"/>
  <c r="L48" i="6" s="1"/>
  <c r="M20" i="6"/>
  <c r="J27" i="6"/>
  <c r="K27" i="6"/>
  <c r="L27" i="6"/>
  <c r="M27" i="6"/>
  <c r="L29" i="6"/>
  <c r="M29" i="6"/>
  <c r="J32" i="6"/>
  <c r="J34" i="6" s="1"/>
  <c r="K32" i="6"/>
  <c r="L32" i="6"/>
  <c r="L34" i="6" s="1"/>
  <c r="M32" i="6"/>
  <c r="M34" i="6" s="1"/>
  <c r="J33" i="6"/>
  <c r="J35" i="6" s="1"/>
  <c r="K33" i="6"/>
  <c r="K35" i="6" s="1"/>
  <c r="L33" i="6"/>
  <c r="L35" i="6" s="1"/>
  <c r="M33" i="6"/>
  <c r="M35" i="6" s="1"/>
  <c r="K34" i="6"/>
  <c r="J37" i="6"/>
  <c r="K37" i="6"/>
  <c r="L37" i="6"/>
  <c r="J43" i="6"/>
  <c r="K43" i="6"/>
  <c r="L43" i="6"/>
  <c r="M43" i="6"/>
  <c r="J44" i="6"/>
  <c r="K44" i="6"/>
  <c r="L44" i="6"/>
  <c r="L45" i="6"/>
  <c r="L46" i="6"/>
  <c r="J39" i="6"/>
  <c r="K39" i="6"/>
  <c r="L39" i="6"/>
  <c r="J50" i="6"/>
  <c r="K50" i="6"/>
  <c r="L50" i="6"/>
  <c r="M50" i="6"/>
  <c r="L28" i="6" l="1"/>
  <c r="K41" i="6"/>
  <c r="M44" i="6"/>
  <c r="I32" i="6"/>
  <c r="M48" i="6"/>
  <c r="J45" i="6"/>
  <c r="F14" i="6"/>
  <c r="F7" i="6"/>
  <c r="I8" i="6"/>
  <c r="M49" i="6"/>
  <c r="K29" i="6"/>
  <c r="J30" i="6"/>
  <c r="M39" i="6"/>
  <c r="M46" i="6"/>
  <c r="J40" i="6"/>
  <c r="D14" i="6"/>
  <c r="K45" i="6"/>
  <c r="L30" i="6"/>
  <c r="L36" i="6" s="1"/>
  <c r="L47" i="6"/>
  <c r="M28" i="6"/>
  <c r="M30" i="6" s="1"/>
  <c r="K28" i="6"/>
  <c r="K49" i="6"/>
  <c r="K46" i="6"/>
  <c r="M41" i="6"/>
  <c r="L41" i="6"/>
  <c r="J41" i="6"/>
  <c r="L49" i="6"/>
  <c r="J49" i="6"/>
  <c r="J36" i="6" l="1"/>
  <c r="J47" i="6"/>
  <c r="K47" i="6"/>
  <c r="K30" i="6"/>
  <c r="K36" i="6" s="1"/>
  <c r="M47" i="6"/>
  <c r="M36" i="6"/>
  <c r="H34" i="4" l="1"/>
  <c r="D54" i="4" l="1"/>
  <c r="Q29" i="4" l="1"/>
  <c r="I16" i="6" l="1"/>
  <c r="C22" i="4"/>
  <c r="R71" i="4"/>
  <c r="I10" i="6" l="1"/>
  <c r="I39" i="6" s="1"/>
  <c r="R29" i="4"/>
  <c r="O15" i="4"/>
  <c r="P15" i="4"/>
  <c r="Q15" i="4"/>
  <c r="R15" i="4"/>
  <c r="N15" i="4"/>
  <c r="H33" i="4"/>
  <c r="H7" i="4"/>
  <c r="I28" i="6"/>
  <c r="I11" i="6" l="1"/>
  <c r="I5" i="6"/>
  <c r="I17" i="6"/>
  <c r="H13" i="4"/>
  <c r="R73" i="4"/>
  <c r="R74" i="4"/>
  <c r="I48" i="6"/>
  <c r="I9" i="6" l="1"/>
  <c r="I20" i="6"/>
  <c r="H21" i="4"/>
  <c r="H48" i="4" s="1"/>
  <c r="H53" i="4" s="1"/>
  <c r="H55" i="4" s="1"/>
  <c r="I14" i="4"/>
  <c r="H16" i="4"/>
  <c r="I47" i="6" l="1"/>
  <c r="B27" i="6" l="1"/>
  <c r="R61" i="4" l="1"/>
  <c r="D22" i="4"/>
  <c r="P29" i="4"/>
  <c r="O29" i="4"/>
  <c r="M74" i="4" l="1"/>
  <c r="N74" i="4"/>
  <c r="O74" i="4"/>
  <c r="N73" i="4"/>
  <c r="O73" i="4"/>
  <c r="R64" i="4"/>
  <c r="M41" i="4"/>
  <c r="N41" i="4"/>
  <c r="O41" i="4"/>
  <c r="P41" i="4"/>
  <c r="Q41" i="4"/>
  <c r="M29" i="4"/>
  <c r="N29" i="4"/>
  <c r="N54" i="4" s="1"/>
  <c r="O54" i="4"/>
  <c r="M10" i="4"/>
  <c r="N10" i="4"/>
  <c r="O10" i="4"/>
  <c r="P10" i="4"/>
  <c r="Q10" i="4"/>
  <c r="M6" i="4"/>
  <c r="M11" i="4" s="1"/>
  <c r="N6" i="4"/>
  <c r="N11" i="4" s="1"/>
  <c r="O6" i="4"/>
  <c r="O11" i="4" s="1"/>
  <c r="P6" i="4"/>
  <c r="P11" i="4" s="1"/>
  <c r="Q6" i="4"/>
  <c r="Q11" i="4" s="1"/>
  <c r="C7" i="4"/>
  <c r="C13" i="4" s="1"/>
  <c r="D7" i="4"/>
  <c r="D13" i="4" s="1"/>
  <c r="E7" i="4"/>
  <c r="E13" i="4" s="1"/>
  <c r="Q55" i="4" l="1"/>
  <c r="E16" i="4"/>
  <c r="O68" i="4"/>
  <c r="E21" i="4"/>
  <c r="D16" i="4"/>
  <c r="D21" i="4"/>
  <c r="C16" i="4"/>
  <c r="C21" i="4"/>
  <c r="R75" i="4"/>
  <c r="M48" i="4"/>
  <c r="O48" i="4"/>
  <c r="P55" i="4"/>
  <c r="N55" i="4"/>
  <c r="N78" i="4"/>
  <c r="O78" i="4"/>
  <c r="N48" i="4"/>
  <c r="O55" i="4"/>
  <c r="M55" i="4"/>
  <c r="O75" i="4"/>
  <c r="N75" i="4"/>
  <c r="L29" i="4"/>
  <c r="O76" i="4" l="1"/>
  <c r="N76" i="4"/>
  <c r="D51" i="4"/>
  <c r="E25" i="4"/>
  <c r="D14" i="4"/>
  <c r="D23" i="4"/>
  <c r="E14" i="4"/>
  <c r="C24" i="4"/>
  <c r="C25" i="4" s="1"/>
  <c r="C23" i="4"/>
  <c r="M72" i="4"/>
  <c r="D62" i="4"/>
  <c r="C62" i="4"/>
  <c r="B62" i="4"/>
  <c r="M73" i="4"/>
  <c r="G60" i="4"/>
  <c r="D60" i="4"/>
  <c r="C60" i="4"/>
  <c r="B60" i="4"/>
  <c r="Q71" i="4"/>
  <c r="P71" i="4"/>
  <c r="O71" i="4"/>
  <c r="N71" i="4"/>
  <c r="M71" i="4"/>
  <c r="L71" i="4"/>
  <c r="C54" i="4"/>
  <c r="D52" i="4"/>
  <c r="C52" i="4"/>
  <c r="B52" i="4"/>
  <c r="D50" i="4"/>
  <c r="C50" i="4"/>
  <c r="B50" i="4"/>
  <c r="D49" i="4"/>
  <c r="C49" i="4"/>
  <c r="B49" i="4"/>
  <c r="Q61" i="4"/>
  <c r="Q64" i="4" s="1"/>
  <c r="P61" i="4"/>
  <c r="P64" i="4" s="1"/>
  <c r="O61" i="4"/>
  <c r="O64" i="4" s="1"/>
  <c r="N61" i="4"/>
  <c r="N64" i="4" s="1"/>
  <c r="M61" i="4"/>
  <c r="M64" i="4" s="1"/>
  <c r="L61" i="4"/>
  <c r="L64" i="4" s="1"/>
  <c r="G44" i="4"/>
  <c r="D43" i="4"/>
  <c r="D44" i="4" s="1"/>
  <c r="C43" i="4"/>
  <c r="C44" i="4" s="1"/>
  <c r="B43" i="4"/>
  <c r="B44" i="4" s="1"/>
  <c r="G33" i="4"/>
  <c r="F33" i="4"/>
  <c r="E33" i="4"/>
  <c r="D33" i="4"/>
  <c r="C33" i="4"/>
  <c r="L41" i="4"/>
  <c r="L54" i="4"/>
  <c r="G61" i="4"/>
  <c r="O77" i="4"/>
  <c r="L10" i="4"/>
  <c r="B7" i="4"/>
  <c r="B13" i="4" s="1"/>
  <c r="B16" i="4" s="1"/>
  <c r="Q62" i="4"/>
  <c r="Q65" i="4" s="1"/>
  <c r="P62" i="4"/>
  <c r="P65" i="4" s="1"/>
  <c r="O62" i="4"/>
  <c r="O65" i="4" s="1"/>
  <c r="N62" i="4"/>
  <c r="N65" i="4" s="1"/>
  <c r="M62" i="4"/>
  <c r="M65" i="4" s="1"/>
  <c r="L6" i="4"/>
  <c r="L11" i="4" s="1"/>
  <c r="R6" i="4"/>
  <c r="R11" i="4" s="1"/>
  <c r="H15" i="4" l="1"/>
  <c r="R78" i="4"/>
  <c r="H44" i="4"/>
  <c r="E23" i="4"/>
  <c r="H23" i="4"/>
  <c r="Q48" i="4"/>
  <c r="Q54" i="4"/>
  <c r="Q12" i="4" s="1"/>
  <c r="P48" i="4"/>
  <c r="P54" i="4"/>
  <c r="D24" i="4"/>
  <c r="R54" i="4"/>
  <c r="L55" i="4"/>
  <c r="C5" i="4"/>
  <c r="P73" i="4"/>
  <c r="F7" i="4"/>
  <c r="P74" i="4"/>
  <c r="Q74" i="4"/>
  <c r="Q73" i="4"/>
  <c r="G7" i="4"/>
  <c r="R10" i="4"/>
  <c r="R41" i="4"/>
  <c r="B21" i="4"/>
  <c r="B24" i="4" s="1"/>
  <c r="B25" i="4" s="1"/>
  <c r="E29" i="4"/>
  <c r="O67" i="4"/>
  <c r="C29" i="4"/>
  <c r="M67" i="4"/>
  <c r="C61" i="4"/>
  <c r="C63" i="4" s="1"/>
  <c r="M66" i="4" s="1"/>
  <c r="M77" i="4"/>
  <c r="G63" i="4"/>
  <c r="N68" i="4"/>
  <c r="L48" i="4"/>
  <c r="C51" i="4" s="1"/>
  <c r="L62" i="4"/>
  <c r="L65" i="4" s="1"/>
  <c r="M75" i="4"/>
  <c r="L12" i="4"/>
  <c r="N12" i="4"/>
  <c r="R62" i="4"/>
  <c r="R65" i="4" s="1"/>
  <c r="B61" i="4"/>
  <c r="B63" i="4" s="1"/>
  <c r="L69" i="4"/>
  <c r="N77" i="4"/>
  <c r="D61" i="4"/>
  <c r="N69" i="4"/>
  <c r="P77" i="4"/>
  <c r="P69" i="4"/>
  <c r="M54" i="4"/>
  <c r="M12" i="4" s="1"/>
  <c r="O12" i="4"/>
  <c r="O69" i="4"/>
  <c r="L70" i="4"/>
  <c r="P70" i="4"/>
  <c r="M70" i="4"/>
  <c r="O70" i="4"/>
  <c r="Q70" i="4"/>
  <c r="M69" i="4"/>
  <c r="Q69" i="4"/>
  <c r="N70" i="4"/>
  <c r="R55" i="4" l="1"/>
  <c r="Q76" i="4"/>
  <c r="P76" i="4"/>
  <c r="N67" i="4"/>
  <c r="D25" i="4"/>
  <c r="G13" i="4"/>
  <c r="G21" i="4" s="1"/>
  <c r="F13" i="4"/>
  <c r="I15" i="4" s="1"/>
  <c r="H14" i="4"/>
  <c r="R12" i="4"/>
  <c r="D29" i="4"/>
  <c r="L66" i="4"/>
  <c r="P75" i="4"/>
  <c r="R69" i="4"/>
  <c r="Q75" i="4"/>
  <c r="H24" i="4"/>
  <c r="H25" i="4" s="1"/>
  <c r="R70" i="4"/>
  <c r="R48" i="4"/>
  <c r="O66" i="4"/>
  <c r="D63" i="4"/>
  <c r="N66" i="4" s="1"/>
  <c r="H63" i="4"/>
  <c r="R66" i="4" s="1"/>
  <c r="C48" i="4"/>
  <c r="C14" i="4"/>
  <c r="D48" i="4"/>
  <c r="B29" i="4"/>
  <c r="M76" i="4"/>
  <c r="P12" i="4"/>
  <c r="L68" i="4"/>
  <c r="B48" i="4"/>
  <c r="B53" i="4" s="1"/>
  <c r="B55" i="4" s="1"/>
  <c r="B23" i="4"/>
  <c r="Q66" i="4"/>
  <c r="R68" i="4"/>
  <c r="M68" i="4"/>
  <c r="Q68" i="4" l="1"/>
  <c r="R76" i="4"/>
  <c r="S76" i="4"/>
  <c r="G14" i="4"/>
  <c r="P66" i="4"/>
  <c r="F16" i="4"/>
  <c r="F21" i="4"/>
  <c r="F23" i="4" s="1"/>
  <c r="G16" i="4"/>
  <c r="G24" i="4"/>
  <c r="G25" i="4" s="1"/>
  <c r="F14" i="4"/>
  <c r="P78" i="4"/>
  <c r="P68" i="4"/>
  <c r="Q78" i="4"/>
  <c r="H26" i="4"/>
  <c r="H29" i="4"/>
  <c r="R67" i="4"/>
  <c r="D53" i="4"/>
  <c r="D55" i="4" s="1"/>
  <c r="C53" i="4"/>
  <c r="C55" i="4" s="1"/>
  <c r="L67" i="4"/>
  <c r="H31" i="4" l="1"/>
  <c r="I30" i="4"/>
  <c r="F24" i="4"/>
  <c r="P67" i="4" s="1"/>
  <c r="G23" i="4"/>
  <c r="G53" i="4"/>
  <c r="G55" i="4" s="1"/>
  <c r="Q67" i="4"/>
  <c r="G29" i="4"/>
  <c r="H30" i="4" s="1"/>
  <c r="D30" i="4"/>
  <c r="C30" i="4"/>
  <c r="F29" i="4" l="1"/>
  <c r="F30" i="4" s="1"/>
  <c r="F25" i="4"/>
  <c r="I26" i="4"/>
  <c r="E30" i="4"/>
  <c r="G30" i="4" l="1"/>
  <c r="I31" i="4"/>
  <c r="M25" i="5" l="1"/>
  <c r="M26" i="5"/>
  <c r="M31" i="5" l="1"/>
  <c r="AC67" i="5"/>
  <c r="M27" i="5"/>
  <c r="M32" i="5" l="1"/>
</calcChain>
</file>

<file path=xl/sharedStrings.xml><?xml version="1.0" encoding="utf-8"?>
<sst xmlns="http://schemas.openxmlformats.org/spreadsheetml/2006/main" count="485" uniqueCount="202">
  <si>
    <t>Y/E, Mar (Rs. mn)</t>
  </si>
  <si>
    <t>Income</t>
  </si>
  <si>
    <t>Growth (%)</t>
  </si>
  <si>
    <t>Expenditure</t>
  </si>
  <si>
    <t>EBITDA</t>
  </si>
  <si>
    <t>EBITDA margin (%)</t>
  </si>
  <si>
    <t>Other Income</t>
  </si>
  <si>
    <t>Depreciation</t>
  </si>
  <si>
    <t>Interest</t>
  </si>
  <si>
    <t>Excp Item</t>
  </si>
  <si>
    <t>PBT</t>
  </si>
  <si>
    <t>Tax</t>
  </si>
  <si>
    <t>Effective tax rate (%)</t>
  </si>
  <si>
    <t>PAT</t>
  </si>
  <si>
    <t>Minority Interest</t>
  </si>
  <si>
    <t>PAT After MI</t>
  </si>
  <si>
    <t>EPS</t>
  </si>
  <si>
    <t>Cash and Cash Equivalents at Beginning of the year</t>
  </si>
  <si>
    <t>Cash Flow From Operating Activities</t>
  </si>
  <si>
    <t>Cash Flow From Financing Activities</t>
  </si>
  <si>
    <t>Net Inc./(Dec.) in Cash and Cash Equivalent</t>
  </si>
  <si>
    <t>Our Calculations</t>
  </si>
  <si>
    <t xml:space="preserve">Pre-Tax Profit </t>
  </si>
  <si>
    <t xml:space="preserve">Depreciation </t>
  </si>
  <si>
    <t xml:space="preserve">Other Adjustments </t>
  </si>
  <si>
    <t xml:space="preserve">Change in Working capital </t>
  </si>
  <si>
    <t xml:space="preserve">Taxes Paid </t>
  </si>
  <si>
    <t xml:space="preserve">Operating Cash Inflow </t>
  </si>
  <si>
    <t>Capital Expenditure</t>
  </si>
  <si>
    <t>FCF</t>
  </si>
  <si>
    <t xml:space="preserve"> </t>
  </si>
  <si>
    <t>FY13</t>
  </si>
  <si>
    <t>FY14</t>
  </si>
  <si>
    <t>FY15</t>
  </si>
  <si>
    <t>FY16</t>
  </si>
  <si>
    <t>FY17</t>
  </si>
  <si>
    <t>Share Capital</t>
  </si>
  <si>
    <t>Reserves &amp; Surplus</t>
  </si>
  <si>
    <t>Networth/Shareholders Fund/ Book Value</t>
  </si>
  <si>
    <t>Minority Int</t>
  </si>
  <si>
    <t>Long Term Debt</t>
  </si>
  <si>
    <t>Short Term Debt</t>
  </si>
  <si>
    <t>Loans</t>
  </si>
  <si>
    <t>Capital Employed</t>
  </si>
  <si>
    <t>CURRENT ASSETS, LOANS &amp; ADVANCES</t>
  </si>
  <si>
    <t>Inventories</t>
  </si>
  <si>
    <t>CURRENT LIABILITIES &amp; PROVISIONS</t>
  </si>
  <si>
    <t>NET CURRENT ASSETS</t>
  </si>
  <si>
    <t>Deferred Tax Liability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</si>
  <si>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</si>
  <si>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</si>
  <si>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</si>
  <si>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</si>
  <si>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</si>
  <si>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</si>
  <si>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</si>
  <si>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</si>
  <si>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</si>
  <si>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</si>
  <si>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</si>
  <si>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</si>
  <si>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</si>
  <si>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</si>
  <si>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</si>
  <si>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</si>
  <si>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</si>
  <si>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Working Capital Days</t>
  </si>
  <si>
    <t>Employee Benefit Expense</t>
  </si>
  <si>
    <t>Other Expenses</t>
  </si>
  <si>
    <t>Other Comprehensive Income</t>
  </si>
  <si>
    <t>Short term Provisions</t>
  </si>
  <si>
    <t>Long term Provision</t>
  </si>
  <si>
    <t>Cash and Cash Equivalents at End of the year</t>
  </si>
  <si>
    <t>No. of Shares</t>
  </si>
  <si>
    <t>Market Cap</t>
  </si>
  <si>
    <t>Cash</t>
  </si>
  <si>
    <t>EV</t>
  </si>
  <si>
    <t>Total Debt</t>
  </si>
  <si>
    <t>Other Current liabilities</t>
  </si>
  <si>
    <t>Cash Flow from Investing Activities</t>
  </si>
  <si>
    <t>PAT margin (%)</t>
  </si>
  <si>
    <t>Cash Conversion cycle</t>
  </si>
  <si>
    <t>Trade Payables</t>
  </si>
  <si>
    <t>Other Financial liabilities</t>
  </si>
  <si>
    <t>Other financial liabilities</t>
  </si>
  <si>
    <t>FY18</t>
  </si>
  <si>
    <t>Interest Cost</t>
  </si>
  <si>
    <t>Gross Block</t>
  </si>
  <si>
    <t>TOTAL ASSETS</t>
  </si>
  <si>
    <t>TOTAL LIABILITIES</t>
  </si>
  <si>
    <t>FY19</t>
  </si>
  <si>
    <t>Property, plant and equipment</t>
  </si>
  <si>
    <t>Capital work-in-progress</t>
  </si>
  <si>
    <t>Financial assets</t>
  </si>
  <si>
    <t>Other non-current assets</t>
  </si>
  <si>
    <t>(i) Trade Receivable</t>
  </si>
  <si>
    <t>(v) Other financial assets</t>
  </si>
  <si>
    <t>Current Tax Liabilities (Net)</t>
  </si>
  <si>
    <t>Property, plant &amp; equipment</t>
  </si>
  <si>
    <t>Other Current Assets</t>
  </si>
  <si>
    <t>Interest Coverage</t>
  </si>
  <si>
    <t>Standalone - Income Statement</t>
  </si>
  <si>
    <t>Standalone - Balance Sheet</t>
  </si>
  <si>
    <t>Key Ratios</t>
  </si>
  <si>
    <t>NON-CURRENT ASSETS</t>
  </si>
  <si>
    <t>Cash Flow Statement</t>
  </si>
  <si>
    <t>Consolidated Income Statement</t>
  </si>
  <si>
    <t>Consolidated Balance Sheet</t>
  </si>
  <si>
    <t>Interest Coverage (x)</t>
  </si>
  <si>
    <t>Financial liabilities</t>
  </si>
  <si>
    <t>Long term Provisions</t>
  </si>
  <si>
    <t>Name of Agency:</t>
  </si>
  <si>
    <t>CARE RATINGS</t>
  </si>
  <si>
    <t>Long term Bank Facilities</t>
  </si>
  <si>
    <t>Long term / Short term Bank Facilities</t>
  </si>
  <si>
    <t>CARE A- ; Stable / CARE A2+</t>
  </si>
  <si>
    <t>CARE A- ; Stable</t>
  </si>
  <si>
    <t>Short term Bank Facilities</t>
  </si>
  <si>
    <t>CARE A2+</t>
  </si>
  <si>
    <t>CAGR (%) - 3 Years</t>
  </si>
  <si>
    <t>Interest Coverage Ratio</t>
  </si>
  <si>
    <t>Asset T/O ratio</t>
  </si>
  <si>
    <t>DPS</t>
  </si>
  <si>
    <t>EPS 2019</t>
  </si>
  <si>
    <t>CAGR 3 YRS</t>
  </si>
  <si>
    <t>PAT 2016</t>
  </si>
  <si>
    <t>PAT 2019</t>
  </si>
  <si>
    <t>PBT 2016</t>
  </si>
  <si>
    <t>PBT 2019</t>
  </si>
  <si>
    <t>Interest 2016</t>
  </si>
  <si>
    <t>Trade Payables 2018</t>
  </si>
  <si>
    <t>Trade Payables 2019</t>
  </si>
  <si>
    <t>Current Liabilites</t>
  </si>
  <si>
    <t>Interest 2019</t>
  </si>
  <si>
    <t>Cash &amp; Bank Balances</t>
  </si>
  <si>
    <t>Depreciation 2019</t>
  </si>
  <si>
    <t>Sundry Debtors 2018</t>
  </si>
  <si>
    <t>Sundry Debtors 2019</t>
  </si>
  <si>
    <t>Inventories 2018</t>
  </si>
  <si>
    <t>EBITDA 2016</t>
  </si>
  <si>
    <t>Inventories 2019</t>
  </si>
  <si>
    <t>EBITDA 2019</t>
  </si>
  <si>
    <t>Current Asset</t>
  </si>
  <si>
    <t>Non Current Asset</t>
  </si>
  <si>
    <t>Change in Inventories</t>
  </si>
  <si>
    <t>Purchase</t>
  </si>
  <si>
    <t>Total Income 2016</t>
  </si>
  <si>
    <t>Net Worth</t>
  </si>
  <si>
    <t>Total Income 2019</t>
  </si>
  <si>
    <t>Balance Sheet</t>
  </si>
  <si>
    <t>Income Statement</t>
  </si>
  <si>
    <t>Depreciation 2016</t>
  </si>
  <si>
    <t>HOEC Limited</t>
  </si>
  <si>
    <t>Share of expenses from producing oil&amp;gas blocks</t>
  </si>
  <si>
    <t>Royalty, Cess &amp; NCCD</t>
  </si>
  <si>
    <t xml:space="preserve">(Increase)/ Decrease in stock of crude oil </t>
  </si>
  <si>
    <t>Income Tax Assets (Net)</t>
  </si>
  <si>
    <t>(ii) Investments</t>
  </si>
  <si>
    <t>(iii) Cash and cash equivalents</t>
  </si>
  <si>
    <t>(iv) Loans to subsidiary</t>
  </si>
  <si>
    <t>(iv) Other bank balances</t>
  </si>
  <si>
    <t>Oil &amp; Gas assets</t>
  </si>
  <si>
    <t>Others</t>
  </si>
  <si>
    <t>(i) Oil &amp; Gas assets</t>
  </si>
  <si>
    <t>(ii) Others</t>
  </si>
  <si>
    <t>Investment property</t>
  </si>
  <si>
    <t>Intangible Assets</t>
  </si>
  <si>
    <t>(ii) Deposits under site restoration fund</t>
  </si>
  <si>
    <t>(iii) Other bank balances</t>
  </si>
  <si>
    <t>(iv) Other financial assets</t>
  </si>
  <si>
    <t>Other current liabilities</t>
  </si>
  <si>
    <t>Trade payables</t>
  </si>
  <si>
    <t>(i) Investments in subsidiaries</t>
  </si>
  <si>
    <t xml:space="preserve">Share of expenses from producing oil </t>
  </si>
  <si>
    <t>Increase/ decrease in stock of crude oil &amp; condensate</t>
  </si>
  <si>
    <t>Share of profit of associate</t>
  </si>
  <si>
    <t xml:space="preserve">Intangible Assets </t>
  </si>
  <si>
    <t>(i) Investments in associates</t>
  </si>
  <si>
    <t xml:space="preserve">   (i) Investments</t>
  </si>
  <si>
    <t>(ii) Trade Receivable</t>
  </si>
  <si>
    <t>Other non-current liabilities</t>
  </si>
  <si>
    <t>FY20</t>
  </si>
  <si>
    <t>HOEC</t>
  </si>
  <si>
    <t>Oil India</t>
  </si>
  <si>
    <t>ONGC</t>
  </si>
  <si>
    <t>Deep Industries</t>
  </si>
  <si>
    <t>Selan Exploration</t>
  </si>
  <si>
    <t>Peer Analysis Working - HINDUSTAN OIL EXPLORATION COMPANY LIMITED (HOEC)</t>
  </si>
  <si>
    <t>Credit Rating: As on 31st March 2020</t>
  </si>
  <si>
    <t>Short Term Borrowings</t>
  </si>
  <si>
    <t>Rs in Millions</t>
  </si>
  <si>
    <t>Non-current assets (net)</t>
  </si>
  <si>
    <t>FY21</t>
  </si>
  <si>
    <t>-</t>
  </si>
  <si>
    <t>FY22</t>
  </si>
  <si>
    <t>Vessel Operating Expenses</t>
  </si>
  <si>
    <t>FY23</t>
  </si>
  <si>
    <t>Other Equity</t>
  </si>
  <si>
    <t>Market Cap (As of 9M-FY24)</t>
  </si>
  <si>
    <t>TTM EPS for 9M-FY24</t>
  </si>
  <si>
    <t xml:space="preserve">Balance Sheet and Mixed Ratios are as per H1-FY24 Result Updates while P&amp;L Ratio is as per 9M-FY24 Result Updates       
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</si>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</sst>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%"/>
    <numFmt numFmtId="168" formatCode="_ * #,##0.0_ ;_ * \-#,##0.0_ ;_ * &quot;-&quot;??_ ;_ @_ "/>
    <numFmt numFmtId="169" formatCode="#,##0;\(#,##0\)"/>
    <numFmt numFmtId="170" formatCode="#,##0.00;\(#,##0.00\)"/>
    <numFmt numFmtId="171" formatCode="#,##0.000000000000"/>
    <numFmt numFmtId="172" formatCode="#,##0.0;\(#,##0.0\)"/>
    <numFmt numFmtId="173" formatCode="_(* #,##0.0_);_(* \(#,##0.0\);_(* &quot;-&quot;??_);_(@_)"/>
    <numFmt numFmtId="174" formatCode="_(* #,##0_);_(* \(#,##0\);_(* &quot;-&quot;??_);_(@_)"/>
    <numFmt numFmtId="175" formatCode="_(* #,##0.00_);_(* \(#,##0.00\);_(* &quot;-&quot;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Tahoma"/>
      <family val="2"/>
    </font>
    <font>
      <sz val="10"/>
      <color theme="1"/>
      <name val="Tahoma"/>
      <family val="2"/>
    </font>
    <font>
      <b/>
      <u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theme="1"/>
      <name val="Tahoma"/>
      <family val="2"/>
    </font>
    <font>
      <i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name val="Calibri"/>
      <family val="2"/>
      <scheme val="minor"/>
    </font>
    <font>
      <b/>
      <sz val="12"/>
      <color theme="0"/>
      <name val="Tahoma"/>
      <family val="2"/>
    </font>
    <font>
      <sz val="8"/>
      <color rgb="FF000000"/>
      <name val="MyFirstFont"/>
    </font>
  </fonts>
  <fills count="1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3" fillId="0" borderId="0" xfId="0" applyFont="1"/>
    <xf numFmtId="0" fontId="7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8" fontId="5" fillId="0" borderId="1" xfId="2" applyNumberFormat="1" applyFont="1" applyFill="1" applyBorder="1"/>
    <xf numFmtId="170" fontId="5" fillId="0" borderId="1" xfId="2" applyNumberFormat="1" applyFont="1" applyFill="1" applyBorder="1"/>
    <xf numFmtId="170" fontId="8" fillId="0" borderId="1" xfId="2" applyNumberFormat="1" applyFont="1" applyFill="1" applyBorder="1"/>
    <xf numFmtId="168" fontId="3" fillId="0" borderId="1" xfId="2" applyNumberFormat="1" applyFont="1" applyFill="1" applyBorder="1"/>
    <xf numFmtId="170" fontId="3" fillId="0" borderId="1" xfId="2" applyNumberFormat="1" applyFont="1" applyFill="1" applyBorder="1"/>
    <xf numFmtId="170" fontId="9" fillId="0" borderId="1" xfId="2" applyNumberFormat="1" applyFont="1" applyFill="1" applyBorder="1"/>
    <xf numFmtId="167" fontId="11" fillId="0" borderId="1" xfId="0" applyNumberFormat="1" applyFont="1" applyBorder="1"/>
    <xf numFmtId="10" fontId="10" fillId="0" borderId="1" xfId="0" applyNumberFormat="1" applyFont="1" applyBorder="1"/>
    <xf numFmtId="10" fontId="11" fillId="0" borderId="1" xfId="0" applyNumberFormat="1" applyFont="1" applyBorder="1"/>
    <xf numFmtId="168" fontId="9" fillId="0" borderId="1" xfId="2" applyNumberFormat="1" applyFont="1" applyFill="1" applyBorder="1"/>
    <xf numFmtId="171" fontId="3" fillId="0" borderId="0" xfId="0" applyNumberFormat="1" applyFont="1"/>
    <xf numFmtId="0" fontId="3" fillId="0" borderId="1" xfId="0" applyFont="1" applyBorder="1"/>
    <xf numFmtId="168" fontId="12" fillId="0" borderId="1" xfId="2" applyNumberFormat="1" applyFont="1" applyFill="1" applyBorder="1"/>
    <xf numFmtId="166" fontId="3" fillId="0" borderId="1" xfId="0" applyNumberFormat="1" applyFont="1" applyBorder="1"/>
    <xf numFmtId="167" fontId="10" fillId="0" borderId="1" xfId="0" applyNumberFormat="1" applyFont="1" applyBorder="1"/>
    <xf numFmtId="165" fontId="5" fillId="0" borderId="1" xfId="2" applyFont="1" applyFill="1" applyBorder="1"/>
    <xf numFmtId="0" fontId="12" fillId="0" borderId="0" xfId="0" applyFont="1"/>
    <xf numFmtId="0" fontId="5" fillId="0" borderId="0" xfId="0" applyFont="1"/>
    <xf numFmtId="168" fontId="8" fillId="0" borderId="0" xfId="2" applyNumberFormat="1" applyFont="1" applyFill="1" applyBorder="1"/>
    <xf numFmtId="165" fontId="8" fillId="0" borderId="0" xfId="2" applyFont="1" applyFill="1" applyBorder="1"/>
    <xf numFmtId="0" fontId="6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5" fontId="3" fillId="0" borderId="1" xfId="2" applyFont="1" applyFill="1" applyBorder="1"/>
    <xf numFmtId="169" fontId="3" fillId="0" borderId="1" xfId="2" applyNumberFormat="1" applyFont="1" applyFill="1" applyBorder="1"/>
    <xf numFmtId="166" fontId="9" fillId="0" borderId="0" xfId="0" applyNumberFormat="1" applyFont="1"/>
    <xf numFmtId="0" fontId="9" fillId="0" borderId="0" xfId="0" applyFont="1"/>
    <xf numFmtId="1" fontId="3" fillId="0" borderId="0" xfId="0" applyNumberFormat="1" applyFont="1"/>
    <xf numFmtId="0" fontId="8" fillId="0" borderId="1" xfId="0" applyFont="1" applyBorder="1"/>
    <xf numFmtId="165" fontId="9" fillId="0" borderId="1" xfId="2" applyFont="1" applyFill="1" applyBorder="1"/>
    <xf numFmtId="0" fontId="6" fillId="3" borderId="6" xfId="0" applyFont="1" applyFill="1" applyBorder="1"/>
    <xf numFmtId="0" fontId="7" fillId="3" borderId="7" xfId="0" applyFont="1" applyFill="1" applyBorder="1" applyAlignment="1">
      <alignment horizontal="center"/>
    </xf>
    <xf numFmtId="0" fontId="5" fillId="0" borderId="6" xfId="0" applyFont="1" applyBorder="1"/>
    <xf numFmtId="170" fontId="8" fillId="0" borderId="7" xfId="2" applyNumberFormat="1" applyFont="1" applyFill="1" applyBorder="1"/>
    <xf numFmtId="0" fontId="3" fillId="0" borderId="6" xfId="0" applyFont="1" applyBorder="1"/>
    <xf numFmtId="170" fontId="9" fillId="0" borderId="7" xfId="2" applyNumberFormat="1" applyFont="1" applyFill="1" applyBorder="1"/>
    <xf numFmtId="0" fontId="10" fillId="0" borderId="6" xfId="0" applyFont="1" applyBorder="1"/>
    <xf numFmtId="0" fontId="3" fillId="0" borderId="8" xfId="0" applyFont="1" applyBorder="1"/>
    <xf numFmtId="0" fontId="12" fillId="0" borderId="9" xfId="0" applyFont="1" applyBorder="1"/>
    <xf numFmtId="167" fontId="12" fillId="0" borderId="9" xfId="0" applyNumberFormat="1" applyFont="1" applyBorder="1"/>
    <xf numFmtId="167" fontId="3" fillId="0" borderId="9" xfId="0" applyNumberFormat="1" applyFont="1" applyBorder="1"/>
    <xf numFmtId="10" fontId="3" fillId="0" borderId="9" xfId="0" applyNumberFormat="1" applyFont="1" applyBorder="1"/>
    <xf numFmtId="0" fontId="3" fillId="0" borderId="6" xfId="0" applyFont="1" applyBorder="1" applyAlignment="1">
      <alignment horizontal="left" indent="1"/>
    </xf>
    <xf numFmtId="0" fontId="5" fillId="0" borderId="8" xfId="0" applyFont="1" applyBorder="1"/>
    <xf numFmtId="170" fontId="5" fillId="0" borderId="7" xfId="2" applyNumberFormat="1" applyFont="1" applyFill="1" applyBorder="1"/>
    <xf numFmtId="170" fontId="3" fillId="0" borderId="7" xfId="2" applyNumberFormat="1" applyFont="1" applyFill="1" applyBorder="1"/>
    <xf numFmtId="0" fontId="6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1" xfId="0" applyFont="1" applyFill="1" applyBorder="1"/>
    <xf numFmtId="166" fontId="5" fillId="0" borderId="6" xfId="0" applyNumberFormat="1" applyFont="1" applyBorder="1"/>
    <xf numFmtId="166" fontId="3" fillId="0" borderId="6" xfId="0" applyNumberFormat="1" applyFont="1" applyBorder="1"/>
    <xf numFmtId="167" fontId="3" fillId="0" borderId="6" xfId="0" applyNumberFormat="1" applyFont="1" applyBorder="1"/>
    <xf numFmtId="0" fontId="9" fillId="0" borderId="6" xfId="0" applyFont="1" applyBorder="1"/>
    <xf numFmtId="0" fontId="6" fillId="3" borderId="1" xfId="0" applyFont="1" applyFill="1" applyBorder="1" applyAlignment="1">
      <alignment horizontal="center"/>
    </xf>
    <xf numFmtId="170" fontId="8" fillId="4" borderId="1" xfId="2" applyNumberFormat="1" applyFont="1" applyFill="1" applyBorder="1"/>
    <xf numFmtId="170" fontId="8" fillId="4" borderId="7" xfId="2" applyNumberFormat="1" applyFont="1" applyFill="1" applyBorder="1"/>
    <xf numFmtId="10" fontId="10" fillId="4" borderId="1" xfId="0" applyNumberFormat="1" applyFont="1" applyFill="1" applyBorder="1"/>
    <xf numFmtId="10" fontId="10" fillId="4" borderId="7" xfId="0" applyNumberFormat="1" applyFont="1" applyFill="1" applyBorder="1"/>
    <xf numFmtId="10" fontId="5" fillId="4" borderId="1" xfId="0" applyNumberFormat="1" applyFont="1" applyFill="1" applyBorder="1"/>
    <xf numFmtId="10" fontId="5" fillId="4" borderId="1" xfId="1" applyNumberFormat="1" applyFont="1" applyFill="1" applyBorder="1"/>
    <xf numFmtId="10" fontId="14" fillId="4" borderId="1" xfId="0" applyNumberFormat="1" applyFont="1" applyFill="1" applyBorder="1"/>
    <xf numFmtId="10" fontId="3" fillId="4" borderId="1" xfId="0" applyNumberFormat="1" applyFont="1" applyFill="1" applyBorder="1"/>
    <xf numFmtId="167" fontId="11" fillId="4" borderId="1" xfId="0" applyNumberFormat="1" applyFont="1" applyFill="1" applyBorder="1"/>
    <xf numFmtId="170" fontId="5" fillId="4" borderId="1" xfId="2" applyNumberFormat="1" applyFont="1" applyFill="1" applyBorder="1"/>
    <xf numFmtId="170" fontId="5" fillId="4" borderId="7" xfId="2" applyNumberFormat="1" applyFont="1" applyFill="1" applyBorder="1"/>
    <xf numFmtId="170" fontId="5" fillId="4" borderId="9" xfId="2" applyNumberFormat="1" applyFont="1" applyFill="1" applyBorder="1"/>
    <xf numFmtId="170" fontId="5" fillId="4" borderId="10" xfId="2" applyNumberFormat="1" applyFont="1" applyFill="1" applyBorder="1"/>
    <xf numFmtId="170" fontId="3" fillId="4" borderId="1" xfId="2" applyNumberFormat="1" applyFont="1" applyFill="1" applyBorder="1"/>
    <xf numFmtId="10" fontId="9" fillId="4" borderId="1" xfId="0" applyNumberFormat="1" applyFont="1" applyFill="1" applyBorder="1"/>
    <xf numFmtId="10" fontId="3" fillId="4" borderId="1" xfId="1" applyNumberFormat="1" applyFont="1" applyFill="1" applyBorder="1"/>
    <xf numFmtId="10" fontId="9" fillId="4" borderId="1" xfId="1" applyNumberFormat="1" applyFont="1" applyFill="1" applyBorder="1"/>
    <xf numFmtId="169" fontId="3" fillId="4" borderId="1" xfId="2" applyNumberFormat="1" applyFont="1" applyFill="1" applyBorder="1"/>
    <xf numFmtId="168" fontId="5" fillId="4" borderId="1" xfId="2" applyNumberFormat="1" applyFont="1" applyFill="1" applyBorder="1"/>
    <xf numFmtId="168" fontId="8" fillId="4" borderId="1" xfId="2" applyNumberFormat="1" applyFont="1" applyFill="1" applyBorder="1"/>
    <xf numFmtId="10" fontId="3" fillId="4" borderId="7" xfId="1" applyNumberFormat="1" applyFont="1" applyFill="1" applyBorder="1"/>
    <xf numFmtId="166" fontId="5" fillId="4" borderId="1" xfId="0" applyNumberFormat="1" applyFont="1" applyFill="1" applyBorder="1"/>
    <xf numFmtId="167" fontId="10" fillId="4" borderId="1" xfId="0" applyNumberFormat="1" applyFont="1" applyFill="1" applyBorder="1"/>
    <xf numFmtId="0" fontId="12" fillId="4" borderId="1" xfId="0" applyFont="1" applyFill="1" applyBorder="1"/>
    <xf numFmtId="170" fontId="12" fillId="4" borderId="1" xfId="2" applyNumberFormat="1" applyFont="1" applyFill="1" applyBorder="1"/>
    <xf numFmtId="165" fontId="5" fillId="4" borderId="1" xfId="2" applyFont="1" applyFill="1" applyBorder="1"/>
    <xf numFmtId="165" fontId="3" fillId="4" borderId="1" xfId="2" applyFont="1" applyFill="1" applyBorder="1"/>
    <xf numFmtId="2" fontId="3" fillId="4" borderId="1" xfId="0" applyNumberFormat="1" applyFont="1" applyFill="1" applyBorder="1"/>
    <xf numFmtId="166" fontId="3" fillId="4" borderId="1" xfId="0" applyNumberFormat="1" applyFont="1" applyFill="1" applyBorder="1"/>
    <xf numFmtId="1" fontId="3" fillId="4" borderId="1" xfId="0" applyNumberFormat="1" applyFont="1" applyFill="1" applyBorder="1"/>
    <xf numFmtId="168" fontId="8" fillId="4" borderId="9" xfId="2" applyNumberFormat="1" applyFont="1" applyFill="1" applyBorder="1"/>
    <xf numFmtId="0" fontId="5" fillId="4" borderId="6" xfId="0" applyFont="1" applyFill="1" applyBorder="1"/>
    <xf numFmtId="168" fontId="13" fillId="4" borderId="1" xfId="2" applyNumberFormat="1" applyFont="1" applyFill="1" applyBorder="1"/>
    <xf numFmtId="0" fontId="3" fillId="5" borderId="6" xfId="0" applyFont="1" applyFill="1" applyBorder="1"/>
    <xf numFmtId="170" fontId="9" fillId="5" borderId="1" xfId="2" applyNumberFormat="1" applyFont="1" applyFill="1" applyBorder="1"/>
    <xf numFmtId="168" fontId="12" fillId="5" borderId="1" xfId="2" applyNumberFormat="1" applyFont="1" applyFill="1" applyBorder="1"/>
    <xf numFmtId="0" fontId="0" fillId="0" borderId="0" xfId="0" applyAlignment="1">
      <alignment vertical="top"/>
    </xf>
    <xf numFmtId="173" fontId="1" fillId="6" borderId="10" xfId="3" applyNumberFormat="1" applyFont="1" applyFill="1" applyBorder="1" applyAlignment="1">
      <alignment vertical="top"/>
    </xf>
    <xf numFmtId="173" fontId="1" fillId="6" borderId="9" xfId="3" applyNumberFormat="1" applyFont="1" applyFill="1" applyBorder="1" applyAlignment="1">
      <alignment vertical="top"/>
    </xf>
    <xf numFmtId="0" fontId="0" fillId="0" borderId="8" xfId="0" applyBorder="1" applyAlignment="1">
      <alignment vertical="top"/>
    </xf>
    <xf numFmtId="173" fontId="1" fillId="6" borderId="7" xfId="3" applyNumberFormat="1" applyFont="1" applyFill="1" applyBorder="1" applyAlignment="1">
      <alignment vertical="top"/>
    </xf>
    <xf numFmtId="173" fontId="1" fillId="6" borderId="1" xfId="3" applyNumberFormat="1" applyFont="1" applyFill="1" applyBorder="1" applyAlignment="1">
      <alignment vertical="top"/>
    </xf>
    <xf numFmtId="0" fontId="0" fillId="0" borderId="6" xfId="0" applyBorder="1" applyAlignment="1">
      <alignment vertical="top"/>
    </xf>
    <xf numFmtId="167" fontId="1" fillId="6" borderId="7" xfId="1" applyNumberFormat="1" applyFont="1" applyFill="1" applyBorder="1" applyAlignment="1">
      <alignment vertical="top"/>
    </xf>
    <xf numFmtId="167" fontId="1" fillId="6" borderId="1" xfId="1" applyNumberFormat="1" applyFont="1" applyFill="1" applyBorder="1" applyAlignment="1">
      <alignment vertical="top"/>
    </xf>
    <xf numFmtId="174" fontId="1" fillId="6" borderId="7" xfId="3" applyNumberFormat="1" applyFont="1" applyFill="1" applyBorder="1" applyAlignment="1">
      <alignment vertical="top"/>
    </xf>
    <xf numFmtId="174" fontId="1" fillId="6" borderId="1" xfId="3" applyNumberFormat="1" applyFont="1" applyFill="1" applyBorder="1" applyAlignment="1">
      <alignment vertical="top"/>
    </xf>
    <xf numFmtId="164" fontId="1" fillId="0" borderId="7" xfId="3" applyNumberFormat="1" applyFont="1" applyBorder="1" applyAlignment="1">
      <alignment vertical="top"/>
    </xf>
    <xf numFmtId="164" fontId="1" fillId="0" borderId="1" xfId="3" applyNumberFormat="1" applyFont="1" applyBorder="1" applyAlignment="1">
      <alignment vertical="top"/>
    </xf>
    <xf numFmtId="165" fontId="1" fillId="6" borderId="7" xfId="3" applyNumberFormat="1" applyFont="1" applyFill="1" applyBorder="1" applyAlignment="1">
      <alignment vertical="top"/>
    </xf>
    <xf numFmtId="165" fontId="1" fillId="6" borderId="1" xfId="3" applyNumberFormat="1" applyFont="1" applyFill="1" applyBorder="1" applyAlignment="1">
      <alignment vertical="top"/>
    </xf>
    <xf numFmtId="165" fontId="0" fillId="0" borderId="7" xfId="3" applyNumberFormat="1" applyFont="1" applyBorder="1" applyAlignment="1">
      <alignment vertical="top"/>
    </xf>
    <xf numFmtId="165" fontId="0" fillId="0" borderId="1" xfId="3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vertical="top"/>
    </xf>
    <xf numFmtId="167" fontId="0" fillId="6" borderId="7" xfId="1" applyNumberFormat="1" applyFont="1" applyFill="1" applyBorder="1" applyAlignment="1">
      <alignment vertical="top"/>
    </xf>
    <xf numFmtId="167" fontId="0" fillId="6" borderId="1" xfId="1" applyNumberFormat="1" applyFont="1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15" fillId="5" borderId="5" xfId="0" applyFont="1" applyFill="1" applyBorder="1" applyAlignment="1">
      <alignment horizontal="center" vertical="top" wrapText="1"/>
    </xf>
    <xf numFmtId="0" fontId="15" fillId="5" borderId="4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vertical="top"/>
    </xf>
    <xf numFmtId="0" fontId="15" fillId="0" borderId="0" xfId="0" applyFont="1" applyAlignment="1">
      <alignment horizontal="center" vertical="top"/>
    </xf>
    <xf numFmtId="165" fontId="0" fillId="6" borderId="9" xfId="3" applyNumberFormat="1" applyFont="1" applyFill="1" applyBorder="1" applyAlignment="1">
      <alignment vertical="top"/>
    </xf>
    <xf numFmtId="0" fontId="0" fillId="6" borderId="8" xfId="0" applyFill="1" applyBorder="1" applyAlignment="1">
      <alignment vertical="top"/>
    </xf>
    <xf numFmtId="165" fontId="0" fillId="6" borderId="7" xfId="3" applyNumberFormat="1" applyFont="1" applyFill="1" applyBorder="1" applyAlignment="1">
      <alignment vertical="top"/>
    </xf>
    <xf numFmtId="165" fontId="0" fillId="6" borderId="1" xfId="3" applyNumberFormat="1" applyFon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10" fontId="0" fillId="0" borderId="1" xfId="1" applyNumberFormat="1" applyFont="1" applyBorder="1" applyAlignment="1">
      <alignment vertical="top"/>
    </xf>
    <xf numFmtId="0" fontId="15" fillId="5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165" fontId="0" fillId="0" borderId="1" xfId="3" applyNumberFormat="1" applyFont="1" applyFill="1" applyBorder="1" applyAlignment="1">
      <alignment vertical="top"/>
    </xf>
    <xf numFmtId="167" fontId="0" fillId="0" borderId="1" xfId="1" applyNumberFormat="1" applyFont="1" applyFill="1" applyBorder="1" applyAlignment="1">
      <alignment vertical="top"/>
    </xf>
    <xf numFmtId="175" fontId="1" fillId="0" borderId="1" xfId="3" applyNumberFormat="1" applyFont="1" applyBorder="1" applyAlignment="1">
      <alignment vertical="top"/>
    </xf>
    <xf numFmtId="175" fontId="1" fillId="0" borderId="7" xfId="3" applyNumberFormat="1" applyFont="1" applyBorder="1" applyAlignment="1">
      <alignment vertical="top"/>
    </xf>
    <xf numFmtId="167" fontId="0" fillId="6" borderId="1" xfId="1" applyNumberFormat="1" applyFont="1" applyFill="1" applyBorder="1" applyAlignment="1">
      <alignment horizontal="right" vertical="top"/>
    </xf>
    <xf numFmtId="0" fontId="7" fillId="3" borderId="14" xfId="0" applyFont="1" applyFill="1" applyBorder="1" applyAlignment="1">
      <alignment horizontal="center"/>
    </xf>
    <xf numFmtId="170" fontId="8" fillId="0" borderId="14" xfId="2" applyNumberFormat="1" applyFont="1" applyFill="1" applyBorder="1"/>
    <xf numFmtId="10" fontId="10" fillId="4" borderId="14" xfId="0" applyNumberFormat="1" applyFont="1" applyFill="1" applyBorder="1"/>
    <xf numFmtId="170" fontId="5" fillId="4" borderId="14" xfId="2" applyNumberFormat="1" applyFont="1" applyFill="1" applyBorder="1"/>
    <xf numFmtId="170" fontId="3" fillId="0" borderId="14" xfId="2" applyNumberFormat="1" applyFont="1" applyFill="1" applyBorder="1"/>
    <xf numFmtId="170" fontId="8" fillId="4" borderId="14" xfId="2" applyNumberFormat="1" applyFont="1" applyFill="1" applyBorder="1"/>
    <xf numFmtId="10" fontId="5" fillId="4" borderId="14" xfId="0" applyNumberFormat="1" applyFont="1" applyFill="1" applyBorder="1"/>
    <xf numFmtId="170" fontId="9" fillId="0" borderId="14" xfId="2" applyNumberFormat="1" applyFont="1" applyFill="1" applyBorder="1"/>
    <xf numFmtId="10" fontId="3" fillId="4" borderId="14" xfId="1" applyNumberFormat="1" applyFont="1" applyFill="1" applyBorder="1"/>
    <xf numFmtId="10" fontId="5" fillId="4" borderId="14" xfId="1" applyNumberFormat="1" applyFont="1" applyFill="1" applyBorder="1"/>
    <xf numFmtId="10" fontId="14" fillId="4" borderId="14" xfId="0" applyNumberFormat="1" applyFont="1" applyFill="1" applyBorder="1"/>
    <xf numFmtId="170" fontId="5" fillId="0" borderId="14" xfId="2" applyNumberFormat="1" applyFont="1" applyFill="1" applyBorder="1"/>
    <xf numFmtId="10" fontId="3" fillId="4" borderId="14" xfId="0" applyNumberFormat="1" applyFont="1" applyFill="1" applyBorder="1"/>
    <xf numFmtId="10" fontId="10" fillId="4" borderId="15" xfId="0" applyNumberFormat="1" applyFont="1" applyFill="1" applyBorder="1"/>
    <xf numFmtId="10" fontId="5" fillId="4" borderId="7" xfId="0" applyNumberFormat="1" applyFont="1" applyFill="1" applyBorder="1"/>
    <xf numFmtId="10" fontId="5" fillId="4" borderId="7" xfId="1" applyNumberFormat="1" applyFont="1" applyFill="1" applyBorder="1"/>
    <xf numFmtId="0" fontId="7" fillId="3" borderId="18" xfId="0" applyFont="1" applyFill="1" applyBorder="1" applyAlignment="1">
      <alignment horizontal="center"/>
    </xf>
    <xf numFmtId="170" fontId="9" fillId="0" borderId="18" xfId="2" applyNumberFormat="1" applyFont="1" applyFill="1" applyBorder="1"/>
    <xf numFmtId="170" fontId="9" fillId="5" borderId="18" xfId="2" applyNumberFormat="1" applyFont="1" applyFill="1" applyBorder="1"/>
    <xf numFmtId="170" fontId="3" fillId="0" borderId="18" xfId="2" applyNumberFormat="1" applyFont="1" applyFill="1" applyBorder="1"/>
    <xf numFmtId="170" fontId="5" fillId="4" borderId="18" xfId="2" applyNumberFormat="1" applyFont="1" applyFill="1" applyBorder="1"/>
    <xf numFmtId="165" fontId="3" fillId="0" borderId="18" xfId="2" applyFont="1" applyFill="1" applyBorder="1"/>
    <xf numFmtId="170" fontId="5" fillId="4" borderId="19" xfId="2" applyNumberFormat="1" applyFont="1" applyFill="1" applyBorder="1"/>
    <xf numFmtId="0" fontId="7" fillId="3" borderId="20" xfId="0" applyFont="1" applyFill="1" applyBorder="1" applyAlignment="1">
      <alignment horizontal="center"/>
    </xf>
    <xf numFmtId="170" fontId="3" fillId="4" borderId="14" xfId="2" applyNumberFormat="1" applyFont="1" applyFill="1" applyBorder="1"/>
    <xf numFmtId="10" fontId="9" fillId="4" borderId="14" xfId="0" applyNumberFormat="1" applyFont="1" applyFill="1" applyBorder="1"/>
    <xf numFmtId="10" fontId="9" fillId="4" borderId="14" xfId="1" applyNumberFormat="1" applyFont="1" applyFill="1" applyBorder="1"/>
    <xf numFmtId="169" fontId="3" fillId="4" borderId="14" xfId="2" applyNumberFormat="1" applyFont="1" applyFill="1" applyBorder="1"/>
    <xf numFmtId="0" fontId="7" fillId="3" borderId="21" xfId="0" applyFont="1" applyFill="1" applyBorder="1" applyAlignment="1">
      <alignment horizontal="center"/>
    </xf>
    <xf numFmtId="170" fontId="5" fillId="4" borderId="15" xfId="2" applyNumberFormat="1" applyFont="1" applyFill="1" applyBorder="1"/>
    <xf numFmtId="170" fontId="5" fillId="4" borderId="22" xfId="2" applyNumberFormat="1" applyFont="1" applyFill="1" applyBorder="1"/>
    <xf numFmtId="169" fontId="3" fillId="0" borderId="14" xfId="2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10" fontId="3" fillId="0" borderId="0" xfId="1" applyNumberFormat="1" applyFont="1" applyBorder="1"/>
    <xf numFmtId="0" fontId="3" fillId="0" borderId="17" xfId="0" applyFont="1" applyBorder="1"/>
    <xf numFmtId="0" fontId="3" fillId="0" borderId="26" xfId="0" applyFont="1" applyBorder="1"/>
    <xf numFmtId="3" fontId="16" fillId="0" borderId="0" xfId="0" applyNumberFormat="1" applyFont="1"/>
    <xf numFmtId="0" fontId="6" fillId="0" borderId="7" xfId="0" applyFont="1" applyBorder="1"/>
    <xf numFmtId="0" fontId="5" fillId="0" borderId="7" xfId="0" applyFont="1" applyBorder="1"/>
    <xf numFmtId="170" fontId="5" fillId="4" borderId="7" xfId="0" applyNumberFormat="1" applyFont="1" applyFill="1" applyBorder="1"/>
    <xf numFmtId="170" fontId="3" fillId="4" borderId="7" xfId="2" applyNumberFormat="1" applyFont="1" applyFill="1" applyBorder="1"/>
    <xf numFmtId="0" fontId="3" fillId="4" borderId="7" xfId="0" applyFont="1" applyFill="1" applyBorder="1"/>
    <xf numFmtId="10" fontId="3" fillId="4" borderId="7" xfId="0" applyNumberFormat="1" applyFont="1" applyFill="1" applyBorder="1"/>
    <xf numFmtId="10" fontId="9" fillId="4" borderId="7" xfId="0" applyNumberFormat="1" applyFont="1" applyFill="1" applyBorder="1"/>
    <xf numFmtId="10" fontId="9" fillId="4" borderId="7" xfId="1" applyNumberFormat="1" applyFont="1" applyFill="1" applyBorder="1"/>
    <xf numFmtId="169" fontId="3" fillId="4" borderId="7" xfId="2" applyNumberFormat="1" applyFont="1" applyFill="1" applyBorder="1"/>
    <xf numFmtId="0" fontId="12" fillId="0" borderId="28" xfId="0" applyFont="1" applyBorder="1"/>
    <xf numFmtId="1" fontId="9" fillId="0" borderId="1" xfId="0" applyNumberFormat="1" applyFont="1" applyBorder="1"/>
    <xf numFmtId="169" fontId="3" fillId="0" borderId="14" xfId="2" applyNumberFormat="1" applyFont="1" applyFill="1" applyBorder="1"/>
    <xf numFmtId="169" fontId="3" fillId="0" borderId="7" xfId="2" applyNumberFormat="1" applyFont="1" applyFill="1" applyBorder="1"/>
    <xf numFmtId="0" fontId="9" fillId="0" borderId="1" xfId="0" applyFont="1" applyBorder="1"/>
    <xf numFmtId="10" fontId="9" fillId="0" borderId="1" xfId="1" applyNumberFormat="1" applyFont="1" applyFill="1" applyBorder="1"/>
    <xf numFmtId="10" fontId="9" fillId="0" borderId="14" xfId="1" applyNumberFormat="1" applyFont="1" applyFill="1" applyBorder="1"/>
    <xf numFmtId="0" fontId="3" fillId="0" borderId="7" xfId="0" applyFont="1" applyBorder="1"/>
    <xf numFmtId="0" fontId="3" fillId="0" borderId="27" xfId="0" applyFont="1" applyBorder="1"/>
    <xf numFmtId="0" fontId="3" fillId="0" borderId="28" xfId="0" applyFont="1" applyBorder="1"/>
    <xf numFmtId="170" fontId="3" fillId="0" borderId="9" xfId="2" applyNumberFormat="1" applyFont="1" applyFill="1" applyBorder="1"/>
    <xf numFmtId="170" fontId="3" fillId="0" borderId="15" xfId="2" applyNumberFormat="1" applyFont="1" applyFill="1" applyBorder="1"/>
    <xf numFmtId="170" fontId="3" fillId="0" borderId="10" xfId="2" applyNumberFormat="1" applyFont="1" applyFill="1" applyBorder="1"/>
    <xf numFmtId="166" fontId="9" fillId="0" borderId="1" xfId="0" applyNumberFormat="1" applyFont="1" applyBorder="1"/>
    <xf numFmtId="0" fontId="4" fillId="3" borderId="29" xfId="0" applyFont="1" applyFill="1" applyBorder="1" applyAlignment="1">
      <alignment horizontal="center"/>
    </xf>
    <xf numFmtId="170" fontId="5" fillId="4" borderId="30" xfId="2" applyNumberFormat="1" applyFont="1" applyFill="1" applyBorder="1"/>
    <xf numFmtId="170" fontId="5" fillId="0" borderId="31" xfId="2" applyNumberFormat="1" applyFont="1" applyFill="1" applyBorder="1"/>
    <xf numFmtId="170" fontId="3" fillId="0" borderId="32" xfId="2" applyNumberFormat="1" applyFont="1" applyFill="1" applyBorder="1"/>
    <xf numFmtId="4" fontId="0" fillId="0" borderId="0" xfId="0" applyNumberFormat="1" applyAlignment="1">
      <alignment vertical="top"/>
    </xf>
    <xf numFmtId="165" fontId="3" fillId="0" borderId="1" xfId="2" applyFont="1" applyFill="1" applyBorder="1" applyAlignment="1">
      <alignment horizontal="right"/>
    </xf>
    <xf numFmtId="169" fontId="3" fillId="0" borderId="1" xfId="2" applyNumberFormat="1" applyFont="1" applyFill="1" applyBorder="1" applyAlignment="1">
      <alignment horizontal="right"/>
    </xf>
    <xf numFmtId="170" fontId="9" fillId="0" borderId="1" xfId="2" applyNumberFormat="1" applyFont="1" applyFill="1" applyBorder="1" applyAlignment="1">
      <alignment horizontal="right"/>
    </xf>
    <xf numFmtId="170" fontId="9" fillId="0" borderId="0" xfId="2" applyNumberFormat="1" applyFont="1" applyFill="1" applyBorder="1"/>
    <xf numFmtId="165" fontId="3" fillId="0" borderId="1" xfId="2" applyFont="1" applyBorder="1"/>
    <xf numFmtId="165" fontId="9" fillId="5" borderId="1" xfId="2" applyFont="1" applyFill="1" applyBorder="1"/>
    <xf numFmtId="170" fontId="9" fillId="7" borderId="1" xfId="2" applyNumberFormat="1" applyFont="1" applyFill="1" applyBorder="1"/>
    <xf numFmtId="165" fontId="9" fillId="7" borderId="1" xfId="2" applyFont="1" applyFill="1" applyBorder="1"/>
    <xf numFmtId="170" fontId="8" fillId="7" borderId="1" xfId="2" applyNumberFormat="1" applyFont="1" applyFill="1" applyBorder="1"/>
    <xf numFmtId="170" fontId="9" fillId="8" borderId="1" xfId="2" applyNumberFormat="1" applyFont="1" applyFill="1" applyBorder="1"/>
    <xf numFmtId="165" fontId="3" fillId="0" borderId="0" xfId="2" applyFont="1" applyFill="1" applyBorder="1"/>
    <xf numFmtId="0" fontId="6" fillId="0" borderId="0" xfId="0" applyFont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172" fontId="3" fillId="0" borderId="0" xfId="2" applyNumberFormat="1" applyFont="1" applyFill="1" applyBorder="1"/>
    <xf numFmtId="167" fontId="3" fillId="0" borderId="0" xfId="0" applyNumberFormat="1" applyFont="1"/>
    <xf numFmtId="10" fontId="3" fillId="0" borderId="0" xfId="0" applyNumberFormat="1" applyFont="1"/>
    <xf numFmtId="167" fontId="9" fillId="0" borderId="0" xfId="1" applyNumberFormat="1" applyFont="1" applyFill="1" applyBorder="1"/>
    <xf numFmtId="169" fontId="3" fillId="0" borderId="0" xfId="2" applyNumberFormat="1" applyFont="1" applyFill="1" applyBorder="1"/>
    <xf numFmtId="170" fontId="3" fillId="0" borderId="0" xfId="2" applyNumberFormat="1" applyFont="1" applyFill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9" fillId="0" borderId="0" xfId="2" applyFont="1" applyFill="1" applyBorder="1"/>
    <xf numFmtId="43" fontId="9" fillId="0" borderId="1" xfId="2" applyNumberFormat="1" applyFont="1" applyFill="1" applyBorder="1"/>
    <xf numFmtId="170" fontId="8" fillId="9" borderId="1" xfId="2" applyNumberFormat="1" applyFont="1" applyFill="1" applyBorder="1"/>
    <xf numFmtId="10" fontId="10" fillId="11" borderId="1" xfId="0" applyNumberFormat="1" applyFont="1" applyFill="1" applyBorder="1"/>
    <xf numFmtId="0" fontId="6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10" fontId="10" fillId="11" borderId="1" xfId="1" applyNumberFormat="1" applyFont="1" applyFill="1" applyBorder="1"/>
    <xf numFmtId="10" fontId="14" fillId="11" borderId="1" xfId="0" applyNumberFormat="1" applyFont="1" applyFill="1" applyBorder="1"/>
    <xf numFmtId="10" fontId="3" fillId="11" borderId="1" xfId="0" applyNumberFormat="1" applyFont="1" applyFill="1" applyBorder="1"/>
    <xf numFmtId="170" fontId="10" fillId="11" borderId="1" xfId="2" applyNumberFormat="1" applyFont="1" applyFill="1" applyBorder="1"/>
    <xf numFmtId="170" fontId="3" fillId="11" borderId="1" xfId="2" applyNumberFormat="1" applyFont="1" applyFill="1" applyBorder="1"/>
    <xf numFmtId="170" fontId="3" fillId="8" borderId="1" xfId="2" applyNumberFormat="1" applyFont="1" applyFill="1" applyBorder="1"/>
    <xf numFmtId="3" fontId="16" fillId="0" borderId="1" xfId="0" applyNumberFormat="1" applyFont="1" applyBorder="1"/>
    <xf numFmtId="0" fontId="6" fillId="9" borderId="1" xfId="0" applyFont="1" applyFill="1" applyBorder="1" applyAlignment="1">
      <alignment horizontal="right"/>
    </xf>
    <xf numFmtId="166" fontId="7" fillId="9" borderId="1" xfId="0" applyNumberFormat="1" applyFont="1" applyFill="1" applyBorder="1" applyAlignment="1">
      <alignment horizontal="center"/>
    </xf>
    <xf numFmtId="165" fontId="8" fillId="9" borderId="1" xfId="2" applyFont="1" applyFill="1" applyBorder="1"/>
    <xf numFmtId="2" fontId="3" fillId="11" borderId="1" xfId="0" applyNumberFormat="1" applyFont="1" applyFill="1" applyBorder="1"/>
    <xf numFmtId="172" fontId="3" fillId="11" borderId="1" xfId="2" applyNumberFormat="1" applyFont="1" applyFill="1" applyBorder="1"/>
    <xf numFmtId="167" fontId="3" fillId="11" borderId="1" xfId="0" applyNumberFormat="1" applyFont="1" applyFill="1" applyBorder="1"/>
    <xf numFmtId="10" fontId="3" fillId="11" borderId="1" xfId="1" applyNumberFormat="1" applyFont="1" applyFill="1" applyBorder="1"/>
    <xf numFmtId="167" fontId="3" fillId="11" borderId="1" xfId="1" applyNumberFormat="1" applyFont="1" applyFill="1" applyBorder="1"/>
    <xf numFmtId="167" fontId="9" fillId="11" borderId="1" xfId="1" applyNumberFormat="1" applyFont="1" applyFill="1" applyBorder="1"/>
    <xf numFmtId="169" fontId="3" fillId="11" borderId="1" xfId="2" applyNumberFormat="1" applyFont="1" applyFill="1" applyBorder="1"/>
    <xf numFmtId="10" fontId="9" fillId="11" borderId="1" xfId="1" applyNumberFormat="1" applyFont="1" applyFill="1" applyBorder="1"/>
    <xf numFmtId="165" fontId="0" fillId="0" borderId="0" xfId="2" applyFont="1" applyFill="1" applyAlignment="1">
      <alignment horizontal="right"/>
    </xf>
    <xf numFmtId="0" fontId="0" fillId="8" borderId="0" xfId="0" applyFill="1"/>
    <xf numFmtId="43" fontId="3" fillId="11" borderId="1" xfId="0" applyNumberFormat="1" applyFont="1" applyFill="1" applyBorder="1"/>
    <xf numFmtId="43" fontId="3" fillId="11" borderId="1" xfId="0" applyNumberFormat="1" applyFont="1" applyFill="1" applyBorder="1" applyAlignment="1">
      <alignment horizontal="right"/>
    </xf>
    <xf numFmtId="165" fontId="3" fillId="0" borderId="0" xfId="2" applyFont="1" applyBorder="1"/>
    <xf numFmtId="0" fontId="5" fillId="9" borderId="1" xfId="0" applyFont="1" applyFill="1" applyBorder="1"/>
    <xf numFmtId="0" fontId="12" fillId="0" borderId="1" xfId="0" applyFont="1" applyBorder="1"/>
    <xf numFmtId="0" fontId="8" fillId="0" borderId="2" xfId="0" applyFont="1" applyBorder="1"/>
    <xf numFmtId="10" fontId="3" fillId="0" borderId="0" xfId="1" applyNumberFormat="1" applyFont="1" applyFill="1" applyBorder="1"/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3" fillId="5" borderId="1" xfId="0" applyFont="1" applyFill="1" applyBorder="1"/>
    <xf numFmtId="0" fontId="3" fillId="0" borderId="1" xfId="0" applyFont="1" applyBorder="1" applyAlignment="1">
      <alignment horizontal="left" indent="1"/>
    </xf>
    <xf numFmtId="165" fontId="9" fillId="0" borderId="1" xfId="2" applyFont="1" applyFill="1" applyBorder="1" applyAlignment="1">
      <alignment horizontal="right"/>
    </xf>
    <xf numFmtId="166" fontId="3" fillId="11" borderId="1" xfId="0" applyNumberFormat="1" applyFont="1" applyFill="1" applyBorder="1"/>
    <xf numFmtId="0" fontId="9" fillId="11" borderId="1" xfId="0" applyFont="1" applyFill="1" applyBorder="1"/>
    <xf numFmtId="0" fontId="3" fillId="11" borderId="1" xfId="0" applyFont="1" applyFill="1" applyBorder="1"/>
    <xf numFmtId="170" fontId="5" fillId="9" borderId="1" xfId="2" applyNumberFormat="1" applyFont="1" applyFill="1" applyBorder="1"/>
    <xf numFmtId="0" fontId="5" fillId="0" borderId="1" xfId="0" applyFont="1" applyBorder="1"/>
    <xf numFmtId="0" fontId="10" fillId="0" borderId="1" xfId="0" applyFont="1" applyBorder="1"/>
    <xf numFmtId="167" fontId="12" fillId="0" borderId="1" xfId="0" applyNumberFormat="1" applyFont="1" applyBorder="1"/>
    <xf numFmtId="167" fontId="3" fillId="0" borderId="1" xfId="0" applyNumberFormat="1" applyFont="1" applyBorder="1"/>
    <xf numFmtId="0" fontId="4" fillId="9" borderId="0" xfId="0" applyFont="1" applyFill="1" applyAlignment="1">
      <alignment horizontal="center"/>
    </xf>
    <xf numFmtId="10" fontId="10" fillId="7" borderId="1" xfId="0" applyNumberFormat="1" applyFont="1" applyFill="1" applyBorder="1"/>
    <xf numFmtId="43" fontId="9" fillId="7" borderId="1" xfId="2" applyNumberFormat="1" applyFont="1" applyFill="1" applyBorder="1"/>
    <xf numFmtId="10" fontId="10" fillId="7" borderId="1" xfId="1" applyNumberFormat="1" applyFont="1" applyFill="1" applyBorder="1"/>
    <xf numFmtId="10" fontId="14" fillId="7" borderId="1" xfId="0" applyNumberFormat="1" applyFont="1" applyFill="1" applyBorder="1"/>
    <xf numFmtId="10" fontId="3" fillId="7" borderId="1" xfId="0" applyNumberFormat="1" applyFont="1" applyFill="1" applyBorder="1"/>
    <xf numFmtId="170" fontId="5" fillId="7" borderId="1" xfId="2" applyNumberFormat="1" applyFont="1" applyFill="1" applyBorder="1"/>
    <xf numFmtId="170" fontId="5" fillId="7" borderId="0" xfId="2" applyNumberFormat="1" applyFont="1" applyFill="1" applyBorder="1"/>
    <xf numFmtId="170" fontId="3" fillId="7" borderId="1" xfId="2" applyNumberFormat="1" applyFont="1" applyFill="1" applyBorder="1"/>
    <xf numFmtId="170" fontId="3" fillId="7" borderId="0" xfId="2" applyNumberFormat="1" applyFont="1" applyFill="1" applyBorder="1"/>
    <xf numFmtId="170" fontId="10" fillId="7" borderId="1" xfId="2" applyNumberFormat="1" applyFont="1" applyFill="1" applyBorder="1"/>
    <xf numFmtId="3" fontId="16" fillId="7" borderId="1" xfId="0" applyNumberFormat="1" applyFont="1" applyFill="1" applyBorder="1"/>
    <xf numFmtId="165" fontId="3" fillId="7" borderId="1" xfId="2" applyFont="1" applyFill="1" applyBorder="1"/>
    <xf numFmtId="165" fontId="8" fillId="7" borderId="1" xfId="2" applyFont="1" applyFill="1" applyBorder="1"/>
    <xf numFmtId="2" fontId="3" fillId="7" borderId="1" xfId="0" applyNumberFormat="1" applyFont="1" applyFill="1" applyBorder="1"/>
    <xf numFmtId="43" fontId="3" fillId="7" borderId="1" xfId="0" applyNumberFormat="1" applyFont="1" applyFill="1" applyBorder="1" applyAlignment="1">
      <alignment horizontal="right"/>
    </xf>
    <xf numFmtId="172" fontId="3" fillId="7" borderId="1" xfId="2" applyNumberFormat="1" applyFont="1" applyFill="1" applyBorder="1"/>
    <xf numFmtId="167" fontId="3" fillId="7" borderId="1" xfId="0" applyNumberFormat="1" applyFont="1" applyFill="1" applyBorder="1"/>
    <xf numFmtId="167" fontId="9" fillId="7" borderId="1" xfId="1" applyNumberFormat="1" applyFont="1" applyFill="1" applyBorder="1"/>
    <xf numFmtId="169" fontId="3" fillId="7" borderId="1" xfId="2" applyNumberFormat="1" applyFont="1" applyFill="1" applyBorder="1"/>
    <xf numFmtId="0" fontId="3" fillId="7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8" fillId="10" borderId="17" xfId="0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9" fillId="0" borderId="0" xfId="0" applyFont="1"/>
  </cellXfs>
  <cellStyles count="5">
    <cellStyle name="Comma" xfId="2" builtinId="3"/>
    <cellStyle name="Comma 2" xfId="3" xr:uid="{00000000-0005-0000-0000-000001000000}"/>
    <cellStyle name="Comma 3" xfId="4" xr:uid="{6ADD09C8-44EE-402C-B48B-3C90CBA659A4}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7F7F7F"/>
      <rgbColor rgb="00BFBFBF"/>
      <rgbColor rgb="00FFF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A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5"/>
  <sheetViews>
    <sheetView view="pageBreakPreview" zoomScale="80" zoomScaleNormal="85" zoomScaleSheetLayoutView="80" workbookViewId="0">
      <pane ySplit="3" topLeftCell="A30" activePane="bottomLeft" state="frozen"/>
      <selection activeCell="H26" sqref="H26"/>
      <selection pane="bottomLeft" activeCell="I45" sqref="I45"/>
    </sheetView>
  </sheetViews>
  <sheetFormatPr defaultColWidth="9.109375" defaultRowHeight="15" customHeight="1" x14ac:dyDescent="0.25"/>
  <cols>
    <col min="1" max="1" width="50.6640625" style="1" bestFit="1" customWidth="1"/>
    <col min="2" max="3" width="12.6640625" style="20" hidden="1" customWidth="1"/>
    <col min="4" max="4" width="10.6640625" style="20" hidden="1" customWidth="1"/>
    <col min="5" max="5" width="12.6640625" style="20" customWidth="1"/>
    <col min="6" max="6" width="12.6640625" style="1" customWidth="1"/>
    <col min="7" max="8" width="12.6640625" style="20" customWidth="1"/>
    <col min="9" max="9" width="15.6640625" style="20" bestFit="1" customWidth="1"/>
    <col min="10" max="10" width="3.6640625" style="1" customWidth="1"/>
    <col min="11" max="11" width="41.6640625" style="1" bestFit="1" customWidth="1"/>
    <col min="12" max="14" width="12.6640625" style="20" hidden="1" customWidth="1"/>
    <col min="15" max="15" width="12.6640625" style="20" customWidth="1"/>
    <col min="16" max="16" width="12.6640625" style="1" customWidth="1"/>
    <col min="17" max="17" width="12.6640625" style="29" customWidth="1"/>
    <col min="18" max="18" width="12.6640625" style="1" customWidth="1"/>
    <col min="19" max="19" width="13.44140625" style="1" customWidth="1"/>
    <col min="20" max="20" width="17.44140625" style="1" bestFit="1" customWidth="1"/>
    <col min="21" max="16384" width="9.109375" style="1"/>
  </cols>
  <sheetData>
    <row r="1" spans="1:20" ht="15" customHeight="1" thickBot="1" x14ac:dyDescent="0.3">
      <c r="A1" s="297" t="s">
        <v>152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/>
    </row>
    <row r="2" spans="1:20" ht="15" customHeight="1" x14ac:dyDescent="0.25">
      <c r="A2" s="294" t="s">
        <v>101</v>
      </c>
      <c r="B2" s="295"/>
      <c r="C2" s="295"/>
      <c r="D2" s="295"/>
      <c r="E2" s="295"/>
      <c r="F2" s="295"/>
      <c r="G2" s="295"/>
      <c r="H2" s="295"/>
      <c r="I2" s="296"/>
      <c r="J2" s="21"/>
      <c r="K2" s="294" t="s">
        <v>102</v>
      </c>
      <c r="L2" s="295"/>
      <c r="M2" s="295"/>
      <c r="N2" s="295"/>
      <c r="O2" s="295"/>
      <c r="P2" s="295"/>
      <c r="Q2" s="295"/>
      <c r="R2" s="295"/>
      <c r="S2" s="296"/>
    </row>
    <row r="3" spans="1:20" ht="15" customHeight="1" x14ac:dyDescent="0.25">
      <c r="A3" s="52" t="s">
        <v>0</v>
      </c>
      <c r="B3" s="58" t="s">
        <v>31</v>
      </c>
      <c r="C3" s="58" t="s">
        <v>32</v>
      </c>
      <c r="D3" s="58" t="s">
        <v>33</v>
      </c>
      <c r="E3" s="58" t="s">
        <v>34</v>
      </c>
      <c r="F3" s="58" t="s">
        <v>35</v>
      </c>
      <c r="G3" s="2" t="s">
        <v>85</v>
      </c>
      <c r="H3" s="136" t="s">
        <v>90</v>
      </c>
      <c r="I3" s="35" t="s">
        <v>181</v>
      </c>
      <c r="J3" s="21"/>
      <c r="K3" s="52" t="s">
        <v>0</v>
      </c>
      <c r="L3" s="58" t="s">
        <v>31</v>
      </c>
      <c r="M3" s="58" t="s">
        <v>32</v>
      </c>
      <c r="N3" s="58" t="s">
        <v>33</v>
      </c>
      <c r="O3" s="58" t="s">
        <v>34</v>
      </c>
      <c r="P3" s="58" t="s">
        <v>35</v>
      </c>
      <c r="Q3" s="3" t="s">
        <v>85</v>
      </c>
      <c r="R3" s="2" t="s">
        <v>90</v>
      </c>
      <c r="S3" s="152" t="s">
        <v>181</v>
      </c>
    </row>
    <row r="4" spans="1:20" ht="15" customHeight="1" x14ac:dyDescent="0.25">
      <c r="A4" s="36" t="s">
        <v>1</v>
      </c>
      <c r="B4" s="4"/>
      <c r="C4" s="5">
        <v>2965.5232860000001</v>
      </c>
      <c r="D4" s="5">
        <v>2985.2313610000001</v>
      </c>
      <c r="E4" s="5"/>
      <c r="F4" s="5"/>
      <c r="G4" s="5">
        <v>487.125</v>
      </c>
      <c r="H4" s="137">
        <v>2368.9409999999998</v>
      </c>
      <c r="I4" s="37">
        <v>1798.35</v>
      </c>
      <c r="J4" s="169"/>
      <c r="K4" s="38" t="s">
        <v>36</v>
      </c>
      <c r="L4" s="7"/>
      <c r="M4" s="7"/>
      <c r="N4" s="8">
        <v>317.43792999999999</v>
      </c>
      <c r="O4" s="8"/>
      <c r="P4" s="8"/>
      <c r="Q4" s="8">
        <v>1305.0930000000001</v>
      </c>
      <c r="R4" s="8">
        <v>1305.0930000000001</v>
      </c>
      <c r="S4" s="155">
        <v>1322.59</v>
      </c>
    </row>
    <row r="5" spans="1:20" ht="15" customHeight="1" x14ac:dyDescent="0.25">
      <c r="A5" s="40" t="s">
        <v>2</v>
      </c>
      <c r="B5" s="67"/>
      <c r="C5" s="61" t="e">
        <f>(#REF!/#REF!-1)</f>
        <v>#REF!</v>
      </c>
      <c r="D5" s="61">
        <f>(D4/C4-1)</f>
        <v>6.6457326749178591E-3</v>
      </c>
      <c r="E5" s="61">
        <f t="shared" ref="E5:H5" si="0">(E4/D4-1)</f>
        <v>-1</v>
      </c>
      <c r="F5" s="61" t="e">
        <f t="shared" si="0"/>
        <v>#DIV/0!</v>
      </c>
      <c r="G5" s="61" t="e">
        <f t="shared" si="0"/>
        <v>#DIV/0!</v>
      </c>
      <c r="H5" s="138">
        <f t="shared" si="0"/>
        <v>3.86310700538876</v>
      </c>
      <c r="I5" s="62">
        <f>I4/H4-1</f>
        <v>-0.24086332247193998</v>
      </c>
      <c r="K5" s="38" t="s">
        <v>37</v>
      </c>
      <c r="L5" s="7"/>
      <c r="M5" s="7"/>
      <c r="N5" s="8">
        <v>1776.7191660000001</v>
      </c>
      <c r="O5" s="8"/>
      <c r="P5" s="8"/>
      <c r="Q5" s="8">
        <v>2430.2469999999998</v>
      </c>
      <c r="R5" s="8">
        <v>3918.2759999999998</v>
      </c>
      <c r="S5" s="155">
        <v>5328.19</v>
      </c>
    </row>
    <row r="6" spans="1:20" ht="15" customHeight="1" x14ac:dyDescent="0.25">
      <c r="A6" s="40" t="s">
        <v>119</v>
      </c>
      <c r="B6" s="10"/>
      <c r="C6" s="12"/>
      <c r="D6" s="12"/>
      <c r="E6" s="12"/>
      <c r="F6" s="11"/>
      <c r="G6" s="1"/>
      <c r="H6" s="138" t="e">
        <f>+((H4/E4)^(1/3)-1)</f>
        <v>#DIV/0!</v>
      </c>
      <c r="I6" s="138" t="e">
        <f>+((I4/F4)^(1/3)-1)</f>
        <v>#DIV/0!</v>
      </c>
      <c r="K6" s="90" t="s">
        <v>38</v>
      </c>
      <c r="L6" s="77">
        <f t="shared" ref="L6:R6" si="1">(L4+L5)</f>
        <v>0</v>
      </c>
      <c r="M6" s="77">
        <f t="shared" si="1"/>
        <v>0</v>
      </c>
      <c r="N6" s="68">
        <f t="shared" si="1"/>
        <v>2094.1570959999999</v>
      </c>
      <c r="O6" s="68">
        <f t="shared" si="1"/>
        <v>0</v>
      </c>
      <c r="P6" s="68">
        <f t="shared" si="1"/>
        <v>0</v>
      </c>
      <c r="Q6" s="68">
        <f t="shared" si="1"/>
        <v>3735.34</v>
      </c>
      <c r="R6" s="68">
        <f t="shared" si="1"/>
        <v>5223.3689999999997</v>
      </c>
      <c r="S6" s="156">
        <f t="shared" ref="S6" si="2">(S4+S5)</f>
        <v>6650.78</v>
      </c>
    </row>
    <row r="7" spans="1:20" ht="15" customHeight="1" x14ac:dyDescent="0.25">
      <c r="A7" s="36" t="s">
        <v>3</v>
      </c>
      <c r="B7" s="77">
        <f t="shared" ref="B7:I7" si="3">SUM(B8:B12)</f>
        <v>0</v>
      </c>
      <c r="C7" s="68">
        <f t="shared" si="3"/>
        <v>2516.8966760000003</v>
      </c>
      <c r="D7" s="68">
        <f t="shared" si="3"/>
        <v>2519.6023679999998</v>
      </c>
      <c r="E7" s="68">
        <f t="shared" si="3"/>
        <v>0</v>
      </c>
      <c r="F7" s="68">
        <f t="shared" si="3"/>
        <v>0</v>
      </c>
      <c r="G7" s="68">
        <f t="shared" si="3"/>
        <v>174.53699999999998</v>
      </c>
      <c r="H7" s="139">
        <f t="shared" si="3"/>
        <v>629.07200000000012</v>
      </c>
      <c r="I7" s="69">
        <f t="shared" si="3"/>
        <v>576.85</v>
      </c>
      <c r="K7" s="38" t="s">
        <v>39</v>
      </c>
      <c r="L7" s="7">
        <v>0</v>
      </c>
      <c r="M7" s="7"/>
      <c r="N7" s="8"/>
      <c r="O7" s="8"/>
      <c r="P7" s="8"/>
      <c r="Q7" s="8"/>
      <c r="R7" s="8"/>
      <c r="S7" s="155"/>
    </row>
    <row r="8" spans="1:20" ht="15" customHeight="1" x14ac:dyDescent="0.25">
      <c r="A8" s="38" t="s">
        <v>153</v>
      </c>
      <c r="B8" s="13"/>
      <c r="C8" s="8">
        <v>1290.3108099999999</v>
      </c>
      <c r="D8" s="8">
        <v>1476.0810570000001</v>
      </c>
      <c r="E8" s="8"/>
      <c r="F8" s="8"/>
      <c r="G8" s="8">
        <v>111.584</v>
      </c>
      <c r="H8" s="140">
        <v>282.3</v>
      </c>
      <c r="I8" s="49">
        <v>259.95</v>
      </c>
      <c r="K8" s="38" t="s">
        <v>40</v>
      </c>
      <c r="L8" s="7"/>
      <c r="M8" s="7"/>
      <c r="N8" s="8">
        <v>165.77601200000001</v>
      </c>
      <c r="O8" s="8"/>
      <c r="P8" s="8"/>
      <c r="Q8" s="8">
        <v>0</v>
      </c>
      <c r="R8" s="8">
        <v>0</v>
      </c>
      <c r="S8" s="155">
        <v>0</v>
      </c>
    </row>
    <row r="9" spans="1:20" ht="15" customHeight="1" x14ac:dyDescent="0.25">
      <c r="A9" s="38" t="s">
        <v>154</v>
      </c>
      <c r="B9" s="13"/>
      <c r="C9" s="8">
        <v>17.202090999999999</v>
      </c>
      <c r="D9" s="8">
        <v>-108.61538899999999</v>
      </c>
      <c r="E9" s="8"/>
      <c r="F9" s="8"/>
      <c r="G9" s="8">
        <v>18.864000000000001</v>
      </c>
      <c r="H9" s="140">
        <v>196.863</v>
      </c>
      <c r="I9" s="49">
        <v>206.36</v>
      </c>
      <c r="K9" s="38" t="s">
        <v>41</v>
      </c>
      <c r="L9" s="7"/>
      <c r="M9" s="7"/>
      <c r="N9" s="8">
        <v>704.25010099999997</v>
      </c>
      <c r="O9" s="8"/>
      <c r="P9" s="8"/>
      <c r="Q9" s="8">
        <v>0</v>
      </c>
      <c r="R9" s="8">
        <v>0</v>
      </c>
      <c r="S9" s="155">
        <v>0</v>
      </c>
    </row>
    <row r="10" spans="1:20" ht="15" customHeight="1" x14ac:dyDescent="0.25">
      <c r="A10" s="38" t="s">
        <v>155</v>
      </c>
      <c r="B10" s="13"/>
      <c r="C10" s="8"/>
      <c r="D10" s="8"/>
      <c r="E10" s="8"/>
      <c r="F10" s="8"/>
      <c r="G10" s="8">
        <v>-45.472000000000001</v>
      </c>
      <c r="H10" s="140">
        <v>39.229999999999997</v>
      </c>
      <c r="I10" s="49">
        <v>-1.18</v>
      </c>
      <c r="K10" s="90" t="s">
        <v>42</v>
      </c>
      <c r="L10" s="77">
        <f t="shared" ref="L10:S10" si="4">(L8+L9)</f>
        <v>0</v>
      </c>
      <c r="M10" s="77">
        <f t="shared" si="4"/>
        <v>0</v>
      </c>
      <c r="N10" s="68">
        <f t="shared" si="4"/>
        <v>870.02611300000001</v>
      </c>
      <c r="O10" s="68">
        <f t="shared" si="4"/>
        <v>0</v>
      </c>
      <c r="P10" s="68">
        <f t="shared" si="4"/>
        <v>0</v>
      </c>
      <c r="Q10" s="68">
        <f t="shared" si="4"/>
        <v>0</v>
      </c>
      <c r="R10" s="68">
        <f t="shared" si="4"/>
        <v>0</v>
      </c>
      <c r="S10" s="156">
        <f t="shared" si="4"/>
        <v>0</v>
      </c>
    </row>
    <row r="11" spans="1:20" ht="15" customHeight="1" x14ac:dyDescent="0.25">
      <c r="A11" s="38" t="s">
        <v>67</v>
      </c>
      <c r="B11" s="13"/>
      <c r="C11" s="8">
        <v>254.66924700000001</v>
      </c>
      <c r="D11" s="8">
        <v>346.67805299999998</v>
      </c>
      <c r="E11" s="8"/>
      <c r="F11" s="8"/>
      <c r="G11" s="8">
        <v>55.793999999999997</v>
      </c>
      <c r="H11" s="140">
        <v>39.566000000000003</v>
      </c>
      <c r="I11" s="49">
        <v>51.75</v>
      </c>
      <c r="K11" s="90" t="s">
        <v>43</v>
      </c>
      <c r="L11" s="77">
        <f>(L6+L8+L7+L52)</f>
        <v>0</v>
      </c>
      <c r="M11" s="77">
        <f>(M6+M8+M7+M52)</f>
        <v>0</v>
      </c>
      <c r="N11" s="68">
        <f>(N6+N8+N7+N52+N49)</f>
        <v>2322.4877259999998</v>
      </c>
      <c r="O11" s="68">
        <f>(O6+O8+O7+O52+O49)</f>
        <v>0</v>
      </c>
      <c r="P11" s="68">
        <f>(P6+P8+P7+P52+P49)</f>
        <v>0</v>
      </c>
      <c r="Q11" s="68">
        <f>(Q6+Q8+Q7+Q50+Q51+Q52+Q53)</f>
        <v>4924.6859999999997</v>
      </c>
      <c r="R11" s="68">
        <f>(R6+R8+R7+R50+R51+R52+R53)</f>
        <v>6431.3559999999998</v>
      </c>
      <c r="S11" s="68">
        <f>(S6+S8+S7+S50+S51+S52+S53)</f>
        <v>7688.07</v>
      </c>
    </row>
    <row r="12" spans="1:20" ht="15" customHeight="1" x14ac:dyDescent="0.25">
      <c r="A12" s="38" t="s">
        <v>68</v>
      </c>
      <c r="B12" s="13"/>
      <c r="C12" s="8">
        <v>954.71452799999997</v>
      </c>
      <c r="D12" s="8">
        <v>805.45864700000004</v>
      </c>
      <c r="E12" s="8"/>
      <c r="F12" s="8"/>
      <c r="G12" s="8">
        <v>33.767000000000003</v>
      </c>
      <c r="H12" s="140">
        <v>71.113</v>
      </c>
      <c r="I12" s="49">
        <v>59.97</v>
      </c>
      <c r="K12" s="90" t="s">
        <v>43</v>
      </c>
      <c r="L12" s="78">
        <f t="shared" ref="L12:S12" si="5">L54-L41-L9</f>
        <v>0</v>
      </c>
      <c r="M12" s="78">
        <f t="shared" si="5"/>
        <v>0</v>
      </c>
      <c r="N12" s="68">
        <f t="shared" si="5"/>
        <v>2322.4877279999996</v>
      </c>
      <c r="O12" s="68">
        <f t="shared" si="5"/>
        <v>0</v>
      </c>
      <c r="P12" s="68">
        <f t="shared" si="5"/>
        <v>0</v>
      </c>
      <c r="Q12" s="68">
        <f t="shared" si="5"/>
        <v>4924.6859999999997</v>
      </c>
      <c r="R12" s="68">
        <f t="shared" si="5"/>
        <v>6431.3559999999998</v>
      </c>
      <c r="S12" s="68">
        <f t="shared" si="5"/>
        <v>7688.0399999999991</v>
      </c>
    </row>
    <row r="13" spans="1:20" ht="15" customHeight="1" x14ac:dyDescent="0.25">
      <c r="A13" s="36" t="s">
        <v>4</v>
      </c>
      <c r="B13" s="59">
        <f t="shared" ref="B13:I13" si="6">(B4-B7)</f>
        <v>0</v>
      </c>
      <c r="C13" s="59">
        <f t="shared" si="6"/>
        <v>448.6266099999998</v>
      </c>
      <c r="D13" s="59">
        <f t="shared" si="6"/>
        <v>465.62899300000026</v>
      </c>
      <c r="E13" s="59">
        <f t="shared" si="6"/>
        <v>0</v>
      </c>
      <c r="F13" s="59">
        <f t="shared" si="6"/>
        <v>0</v>
      </c>
      <c r="G13" s="59">
        <f t="shared" si="6"/>
        <v>312.58800000000002</v>
      </c>
      <c r="H13" s="141">
        <f t="shared" si="6"/>
        <v>1739.8689999999997</v>
      </c>
      <c r="I13" s="60">
        <f t="shared" si="6"/>
        <v>1221.5</v>
      </c>
      <c r="K13" s="38"/>
      <c r="L13" s="16"/>
      <c r="M13" s="16"/>
      <c r="N13" s="8"/>
      <c r="O13" s="8"/>
      <c r="P13" s="8"/>
      <c r="Q13" s="8"/>
      <c r="R13" s="8"/>
      <c r="S13" s="155"/>
      <c r="T13" s="14"/>
    </row>
    <row r="14" spans="1:20" ht="15" customHeight="1" x14ac:dyDescent="0.25">
      <c r="A14" s="40" t="s">
        <v>2</v>
      </c>
      <c r="B14" s="67"/>
      <c r="C14" s="61" t="e">
        <f>(C13/B13-1)</f>
        <v>#DIV/0!</v>
      </c>
      <c r="D14" s="61">
        <f t="shared" ref="D14:I14" si="7">(D13/C13-1)</f>
        <v>3.7898739443922969E-2</v>
      </c>
      <c r="E14" s="61">
        <f t="shared" si="7"/>
        <v>-1</v>
      </c>
      <c r="F14" s="61" t="e">
        <f t="shared" si="7"/>
        <v>#DIV/0!</v>
      </c>
      <c r="G14" s="61" t="e">
        <f t="shared" si="7"/>
        <v>#DIV/0!</v>
      </c>
      <c r="H14" s="138">
        <f t="shared" si="7"/>
        <v>4.566013410623567</v>
      </c>
      <c r="I14" s="138">
        <f t="shared" si="7"/>
        <v>-0.29793564917818516</v>
      </c>
      <c r="K14" s="92" t="s">
        <v>87</v>
      </c>
      <c r="L14" s="94"/>
      <c r="M14" s="94"/>
      <c r="N14" s="93">
        <v>1481.9677489999999</v>
      </c>
      <c r="O14" s="93"/>
      <c r="P14" s="93"/>
      <c r="Q14" s="93"/>
      <c r="R14" s="93"/>
      <c r="S14" s="154"/>
    </row>
    <row r="15" spans="1:20" ht="15" customHeight="1" x14ac:dyDescent="0.25">
      <c r="A15" s="40" t="s">
        <v>119</v>
      </c>
      <c r="B15" s="10"/>
      <c r="C15" s="11"/>
      <c r="D15" s="11"/>
      <c r="E15" s="11"/>
      <c r="F15" s="11"/>
      <c r="G15" s="11"/>
      <c r="H15" s="138" t="e">
        <f>+((H13/E13)^(1/3)-1)</f>
        <v>#DIV/0!</v>
      </c>
      <c r="I15" s="138" t="e">
        <f>+((I13/F13)^(1/3)-1)</f>
        <v>#DIV/0!</v>
      </c>
      <c r="K15" s="90" t="s">
        <v>104</v>
      </c>
      <c r="L15" s="91"/>
      <c r="M15" s="91"/>
      <c r="N15" s="68">
        <f t="shared" ref="N15:S15" si="8">SUM(N16:N27)</f>
        <v>1412.9237349999999</v>
      </c>
      <c r="O15" s="68">
        <f t="shared" si="8"/>
        <v>0</v>
      </c>
      <c r="P15" s="68">
        <f t="shared" si="8"/>
        <v>0</v>
      </c>
      <c r="Q15" s="68">
        <f t="shared" si="8"/>
        <v>3419.038</v>
      </c>
      <c r="R15" s="68">
        <f t="shared" si="8"/>
        <v>4636.05</v>
      </c>
      <c r="S15" s="156">
        <f t="shared" si="8"/>
        <v>5844.37</v>
      </c>
    </row>
    <row r="16" spans="1:20" ht="15" customHeight="1" x14ac:dyDescent="0.25">
      <c r="A16" s="36" t="s">
        <v>5</v>
      </c>
      <c r="B16" s="63" t="e">
        <f t="shared" ref="B16:I16" si="9">(B13/B4)</f>
        <v>#DIV/0!</v>
      </c>
      <c r="C16" s="63">
        <f t="shared" si="9"/>
        <v>0.15128075780687017</v>
      </c>
      <c r="D16" s="63">
        <f t="shared" si="9"/>
        <v>0.15597752290932074</v>
      </c>
      <c r="E16" s="63" t="e">
        <f t="shared" si="9"/>
        <v>#DIV/0!</v>
      </c>
      <c r="F16" s="63" t="e">
        <f t="shared" si="9"/>
        <v>#DIV/0!</v>
      </c>
      <c r="G16" s="63">
        <f t="shared" si="9"/>
        <v>0.64169976905311787</v>
      </c>
      <c r="H16" s="142">
        <f t="shared" si="9"/>
        <v>0.73445011927270454</v>
      </c>
      <c r="I16" s="150">
        <f t="shared" si="9"/>
        <v>0.6792337420413157</v>
      </c>
      <c r="K16" s="38" t="s">
        <v>91</v>
      </c>
      <c r="L16" s="7"/>
      <c r="M16" s="7"/>
      <c r="N16" s="8">
        <v>1059.7221179999999</v>
      </c>
      <c r="O16" s="8"/>
      <c r="P16" s="8"/>
      <c r="Q16" s="8"/>
      <c r="R16" s="8"/>
      <c r="S16" s="155"/>
    </row>
    <row r="17" spans="1:19" ht="15" customHeight="1" x14ac:dyDescent="0.25">
      <c r="A17" s="38" t="s">
        <v>6</v>
      </c>
      <c r="B17" s="7"/>
      <c r="C17" s="8">
        <v>101.894226</v>
      </c>
      <c r="D17" s="8">
        <v>114.51939900000001</v>
      </c>
      <c r="E17" s="8"/>
      <c r="F17" s="8"/>
      <c r="G17" s="8">
        <v>114.372</v>
      </c>
      <c r="H17" s="143">
        <v>100.63200000000001</v>
      </c>
      <c r="I17" s="39">
        <v>215.77</v>
      </c>
      <c r="K17" s="38" t="s">
        <v>163</v>
      </c>
      <c r="L17" s="7"/>
      <c r="M17" s="7"/>
      <c r="N17" s="8"/>
      <c r="O17" s="8"/>
      <c r="P17" s="8"/>
      <c r="Q17" s="8">
        <v>2629.3629999999998</v>
      </c>
      <c r="R17" s="8">
        <v>3255.2109999999998</v>
      </c>
      <c r="S17" s="155">
        <v>3050.35</v>
      </c>
    </row>
    <row r="18" spans="1:19" ht="15" customHeight="1" x14ac:dyDescent="0.25">
      <c r="A18" s="38" t="s">
        <v>7</v>
      </c>
      <c r="B18" s="7"/>
      <c r="C18" s="8">
        <v>67.671909999999997</v>
      </c>
      <c r="D18" s="8">
        <v>98.236097000000001</v>
      </c>
      <c r="E18" s="8"/>
      <c r="F18" s="8"/>
      <c r="G18" s="8">
        <v>83.468000000000004</v>
      </c>
      <c r="H18" s="140">
        <v>350.64299999999997</v>
      </c>
      <c r="I18" s="49">
        <v>239.23</v>
      </c>
      <c r="K18" s="38" t="s">
        <v>164</v>
      </c>
      <c r="L18" s="7"/>
      <c r="M18" s="7"/>
      <c r="N18" s="8"/>
      <c r="O18" s="8"/>
      <c r="P18" s="8"/>
      <c r="Q18" s="8">
        <v>66.021000000000001</v>
      </c>
      <c r="R18" s="8">
        <v>28.146999999999998</v>
      </c>
      <c r="S18" s="155">
        <v>28.57</v>
      </c>
    </row>
    <row r="19" spans="1:19" ht="15" customHeight="1" x14ac:dyDescent="0.25">
      <c r="A19" s="38" t="s">
        <v>8</v>
      </c>
      <c r="B19" s="7"/>
      <c r="C19" s="8">
        <v>125.86139799999999</v>
      </c>
      <c r="D19" s="8">
        <v>131.66483400000001</v>
      </c>
      <c r="E19" s="8"/>
      <c r="F19" s="8"/>
      <c r="G19" s="8">
        <v>9.9979999999999993</v>
      </c>
      <c r="H19" s="140">
        <v>13.983000000000001</v>
      </c>
      <c r="I19" s="49">
        <v>51.83</v>
      </c>
      <c r="K19" s="38" t="s">
        <v>92</v>
      </c>
      <c r="L19" s="7"/>
      <c r="M19" s="7"/>
      <c r="N19" s="8">
        <v>46.100937000000002</v>
      </c>
      <c r="O19" s="8"/>
      <c r="P19" s="27"/>
      <c r="Q19" s="8">
        <v>56.244999999999997</v>
      </c>
      <c r="R19" s="8">
        <v>21.274999999999999</v>
      </c>
      <c r="S19" s="155">
        <v>1392.48</v>
      </c>
    </row>
    <row r="20" spans="1:19" ht="15" customHeight="1" x14ac:dyDescent="0.25">
      <c r="A20" s="38" t="s">
        <v>9</v>
      </c>
      <c r="B20" s="7"/>
      <c r="C20" s="8"/>
      <c r="D20" s="8"/>
      <c r="E20" s="8"/>
      <c r="F20" s="8"/>
      <c r="G20" s="8">
        <v>44.866999999999997</v>
      </c>
      <c r="H20" s="140">
        <v>23.068999999999999</v>
      </c>
      <c r="I20" s="49">
        <v>262.14</v>
      </c>
      <c r="K20" s="38" t="s">
        <v>165</v>
      </c>
      <c r="L20" s="7"/>
      <c r="M20" s="7"/>
      <c r="N20" s="33">
        <v>0</v>
      </c>
      <c r="O20" s="33"/>
      <c r="P20" s="8"/>
      <c r="Q20" s="8">
        <v>8.3130000000000006</v>
      </c>
      <c r="R20" s="8">
        <v>43.576000000000001</v>
      </c>
      <c r="S20" s="155">
        <v>41.46</v>
      </c>
    </row>
    <row r="21" spans="1:19" ht="15" customHeight="1" x14ac:dyDescent="0.25">
      <c r="A21" s="36" t="s">
        <v>10</v>
      </c>
      <c r="B21" s="78">
        <f>(B13-B18-B19-B20)</f>
        <v>0</v>
      </c>
      <c r="C21" s="59">
        <f>(C13+C17-C18-C19-C20)</f>
        <v>356.98752799999977</v>
      </c>
      <c r="D21" s="59">
        <f t="shared" ref="D21:F21" si="10">(D13+D17-D18-D19-D20)</f>
        <v>350.24746100000027</v>
      </c>
      <c r="E21" s="59">
        <f t="shared" si="10"/>
        <v>0</v>
      </c>
      <c r="F21" s="59">
        <f t="shared" si="10"/>
        <v>0</v>
      </c>
      <c r="G21" s="59">
        <f>(G13+G17-G18-G19+G20)</f>
        <v>378.36100000000005</v>
      </c>
      <c r="H21" s="141">
        <f>(H13+H17-H18-H19+H20)</f>
        <v>1498.9439999999997</v>
      </c>
      <c r="I21" s="60">
        <f>(I13+I17-I18-I19+I20)</f>
        <v>1408.35</v>
      </c>
      <c r="K21" s="38" t="s">
        <v>166</v>
      </c>
      <c r="L21" s="7"/>
      <c r="M21" s="7"/>
      <c r="N21" s="33">
        <v>0</v>
      </c>
      <c r="O21" s="33"/>
      <c r="P21" s="33"/>
      <c r="Q21" s="33">
        <v>98.275000000000006</v>
      </c>
      <c r="R21" s="8">
        <v>102.699</v>
      </c>
      <c r="S21" s="155">
        <v>98.21</v>
      </c>
    </row>
    <row r="22" spans="1:19" ht="15" customHeight="1" x14ac:dyDescent="0.25">
      <c r="A22" s="38" t="s">
        <v>11</v>
      </c>
      <c r="B22" s="7"/>
      <c r="C22" s="8">
        <f>84.840864+12.218329-5.206064</f>
        <v>91.853128999999996</v>
      </c>
      <c r="D22" s="8">
        <f>(88004592+5040204)/1000000</f>
        <v>93.044796000000005</v>
      </c>
      <c r="E22" s="8"/>
      <c r="F22" s="8"/>
      <c r="G22" s="8">
        <v>0</v>
      </c>
      <c r="H22" s="140">
        <v>9.298</v>
      </c>
      <c r="I22" s="49">
        <v>0</v>
      </c>
      <c r="K22" s="38" t="s">
        <v>93</v>
      </c>
      <c r="L22" s="7"/>
      <c r="M22" s="7"/>
      <c r="N22" s="8"/>
      <c r="O22" s="8"/>
      <c r="P22" s="8"/>
      <c r="Q22" s="8"/>
      <c r="R22" s="8"/>
      <c r="S22" s="155"/>
    </row>
    <row r="23" spans="1:19" ht="15" customHeight="1" x14ac:dyDescent="0.25">
      <c r="A23" s="40" t="s">
        <v>12</v>
      </c>
      <c r="B23" s="61" t="e">
        <f t="shared" ref="B23:I23" si="11">(B22/B21)</f>
        <v>#DIV/0!</v>
      </c>
      <c r="C23" s="61">
        <f t="shared" si="11"/>
        <v>0.25730066681769359</v>
      </c>
      <c r="D23" s="74">
        <f t="shared" si="11"/>
        <v>0.26565444824166745</v>
      </c>
      <c r="E23" s="74" t="e">
        <f t="shared" si="11"/>
        <v>#DIV/0!</v>
      </c>
      <c r="F23" s="74" t="e">
        <f t="shared" si="11"/>
        <v>#DIV/0!</v>
      </c>
      <c r="G23" s="74">
        <f t="shared" si="11"/>
        <v>0</v>
      </c>
      <c r="H23" s="144">
        <f t="shared" si="11"/>
        <v>6.2030336023227032E-3</v>
      </c>
      <c r="I23" s="79">
        <f t="shared" si="11"/>
        <v>0</v>
      </c>
      <c r="K23" s="46" t="s">
        <v>172</v>
      </c>
      <c r="L23" s="7"/>
      <c r="M23" s="7"/>
      <c r="N23" s="8">
        <v>6.2710439999999998</v>
      </c>
      <c r="O23" s="8"/>
      <c r="P23" s="8"/>
      <c r="Q23" s="8">
        <v>5</v>
      </c>
      <c r="R23" s="8">
        <v>594.58299999999997</v>
      </c>
      <c r="S23" s="155">
        <v>594.58000000000004</v>
      </c>
    </row>
    <row r="24" spans="1:19" ht="15" customHeight="1" x14ac:dyDescent="0.25">
      <c r="A24" s="36" t="s">
        <v>13</v>
      </c>
      <c r="B24" s="78">
        <f t="shared" ref="B24:I24" si="12">(B21-B22)</f>
        <v>0</v>
      </c>
      <c r="C24" s="68">
        <f t="shared" si="12"/>
        <v>265.1343989999998</v>
      </c>
      <c r="D24" s="68">
        <f t="shared" si="12"/>
        <v>257.20266500000025</v>
      </c>
      <c r="E24" s="68"/>
      <c r="F24" s="68">
        <f t="shared" si="12"/>
        <v>0</v>
      </c>
      <c r="G24" s="68">
        <f t="shared" si="12"/>
        <v>378.36100000000005</v>
      </c>
      <c r="H24" s="139">
        <f t="shared" si="12"/>
        <v>1489.6459999999997</v>
      </c>
      <c r="I24" s="69">
        <f t="shared" si="12"/>
        <v>1408.35</v>
      </c>
      <c r="K24" s="46" t="s">
        <v>167</v>
      </c>
      <c r="L24" s="7"/>
      <c r="M24" s="7"/>
      <c r="N24" s="8">
        <v>102.48560000000001</v>
      </c>
      <c r="O24" s="8"/>
      <c r="P24" s="8"/>
      <c r="Q24" s="27">
        <v>551.33000000000004</v>
      </c>
      <c r="R24" s="27">
        <v>589.78800000000001</v>
      </c>
      <c r="S24" s="157">
        <v>624.13</v>
      </c>
    </row>
    <row r="25" spans="1:19" ht="15" customHeight="1" x14ac:dyDescent="0.25">
      <c r="A25" s="36" t="s">
        <v>80</v>
      </c>
      <c r="B25" s="64" t="e">
        <f t="shared" ref="B25:I25" si="13">B24/(B4)</f>
        <v>#DIV/0!</v>
      </c>
      <c r="C25" s="64">
        <f t="shared" si="13"/>
        <v>8.940560347365277E-2</v>
      </c>
      <c r="D25" s="64">
        <f t="shared" si="13"/>
        <v>8.615836894928032E-2</v>
      </c>
      <c r="E25" s="64" t="e">
        <f t="shared" si="13"/>
        <v>#DIV/0!</v>
      </c>
      <c r="F25" s="64" t="e">
        <f t="shared" si="13"/>
        <v>#DIV/0!</v>
      </c>
      <c r="G25" s="64">
        <f t="shared" si="13"/>
        <v>0.77672260713369268</v>
      </c>
      <c r="H25" s="145">
        <f t="shared" si="13"/>
        <v>0.62882359670418131</v>
      </c>
      <c r="I25" s="151">
        <f t="shared" si="13"/>
        <v>0.78313453999499538</v>
      </c>
      <c r="K25" s="46" t="s">
        <v>168</v>
      </c>
      <c r="L25" s="7"/>
      <c r="M25" s="7"/>
      <c r="N25" s="27">
        <v>0</v>
      </c>
      <c r="O25" s="8"/>
      <c r="P25" s="8"/>
      <c r="Q25" s="27">
        <v>0.52</v>
      </c>
      <c r="R25" s="27">
        <v>0</v>
      </c>
      <c r="S25" s="157">
        <v>0</v>
      </c>
    </row>
    <row r="26" spans="1:19" ht="15" customHeight="1" x14ac:dyDescent="0.25">
      <c r="A26" s="40" t="s">
        <v>119</v>
      </c>
      <c r="B26" s="18"/>
      <c r="C26" s="11"/>
      <c r="D26" s="11"/>
      <c r="E26" s="11"/>
      <c r="F26" s="11"/>
      <c r="G26" s="11"/>
      <c r="H26" s="138" t="e">
        <f>+((H24/E24)^(1/3)-1)</f>
        <v>#DIV/0!</v>
      </c>
      <c r="I26" s="138" t="e">
        <f>+((I24/F24)^(1/3)-1)</f>
        <v>#DIV/0!</v>
      </c>
      <c r="K26" s="46" t="s">
        <v>169</v>
      </c>
      <c r="L26" s="7"/>
      <c r="M26" s="7"/>
      <c r="N26" s="27"/>
      <c r="O26" s="8"/>
      <c r="P26" s="8"/>
      <c r="Q26" s="27">
        <v>3.9710000000000001</v>
      </c>
      <c r="R26" s="27">
        <v>0</v>
      </c>
      <c r="S26" s="157">
        <v>0</v>
      </c>
    </row>
    <row r="27" spans="1:19" ht="15" customHeight="1" x14ac:dyDescent="0.25">
      <c r="A27" s="38" t="s">
        <v>14</v>
      </c>
      <c r="B27" s="17"/>
      <c r="C27" s="17">
        <v>0</v>
      </c>
      <c r="D27" s="8"/>
      <c r="E27" s="8">
        <v>0</v>
      </c>
      <c r="F27" s="8"/>
      <c r="G27" s="8">
        <v>0</v>
      </c>
      <c r="H27" s="140">
        <v>0</v>
      </c>
      <c r="I27" s="49">
        <v>0</v>
      </c>
      <c r="K27" s="38" t="s">
        <v>94</v>
      </c>
      <c r="L27" s="7"/>
      <c r="M27" s="7"/>
      <c r="N27" s="8">
        <v>198.34403599999999</v>
      </c>
      <c r="O27" s="8"/>
      <c r="P27" s="8"/>
      <c r="Q27" s="8">
        <v>0</v>
      </c>
      <c r="R27" s="8">
        <v>0.77100000000000002</v>
      </c>
      <c r="S27" s="49">
        <v>14.59</v>
      </c>
    </row>
    <row r="28" spans="1:19" ht="15" customHeight="1" x14ac:dyDescent="0.25">
      <c r="A28" s="38" t="s">
        <v>69</v>
      </c>
      <c r="B28" s="17"/>
      <c r="C28" s="17">
        <v>0</v>
      </c>
      <c r="D28" s="8">
        <v>0</v>
      </c>
      <c r="E28" s="8">
        <v>0</v>
      </c>
      <c r="F28" s="8"/>
      <c r="G28" s="8">
        <v>-1.609</v>
      </c>
      <c r="H28" s="140">
        <v>-1.617</v>
      </c>
      <c r="I28" s="49">
        <v>1.57</v>
      </c>
      <c r="K28" s="38"/>
      <c r="L28" s="7"/>
      <c r="M28" s="7"/>
      <c r="N28" s="8"/>
      <c r="O28" s="8"/>
      <c r="P28" s="8"/>
      <c r="Q28" s="8"/>
      <c r="R28" s="8"/>
      <c r="S28" s="155"/>
    </row>
    <row r="29" spans="1:19" ht="15" customHeight="1" x14ac:dyDescent="0.25">
      <c r="A29" s="36" t="s">
        <v>15</v>
      </c>
      <c r="B29" s="80">
        <f t="shared" ref="B29:I29" si="14">(B24-B27+B28)</f>
        <v>0</v>
      </c>
      <c r="C29" s="68">
        <f t="shared" si="14"/>
        <v>265.1343989999998</v>
      </c>
      <c r="D29" s="68">
        <f t="shared" si="14"/>
        <v>257.20266500000025</v>
      </c>
      <c r="E29" s="68">
        <f t="shared" si="14"/>
        <v>0</v>
      </c>
      <c r="F29" s="68">
        <f t="shared" si="14"/>
        <v>0</v>
      </c>
      <c r="G29" s="68">
        <f t="shared" si="14"/>
        <v>376.75200000000007</v>
      </c>
      <c r="H29" s="139">
        <f t="shared" si="14"/>
        <v>1488.0289999999998</v>
      </c>
      <c r="I29" s="69">
        <f t="shared" si="14"/>
        <v>1409.9199999999998</v>
      </c>
      <c r="K29" s="36" t="s">
        <v>44</v>
      </c>
      <c r="L29" s="77">
        <f t="shared" ref="L29:S29" si="15">SUM(L30:L39)</f>
        <v>0</v>
      </c>
      <c r="M29" s="77">
        <f t="shared" si="15"/>
        <v>0</v>
      </c>
      <c r="N29" s="68">
        <f t="shared" si="15"/>
        <v>2305.0868780000001</v>
      </c>
      <c r="O29" s="68">
        <f t="shared" si="15"/>
        <v>0</v>
      </c>
      <c r="P29" s="68">
        <f t="shared" si="15"/>
        <v>0</v>
      </c>
      <c r="Q29" s="68">
        <f t="shared" si="15"/>
        <v>1921.7449999999999</v>
      </c>
      <c r="R29" s="68">
        <f t="shared" si="15"/>
        <v>2208.6149999999998</v>
      </c>
      <c r="S29" s="156">
        <f t="shared" si="15"/>
        <v>3168.45</v>
      </c>
    </row>
    <row r="30" spans="1:19" ht="15" customHeight="1" x14ac:dyDescent="0.25">
      <c r="A30" s="40" t="s">
        <v>2</v>
      </c>
      <c r="B30" s="81"/>
      <c r="C30" s="61" t="e">
        <f>(C29/B29-1)</f>
        <v>#DIV/0!</v>
      </c>
      <c r="D30" s="61">
        <f>-(D29/C29-1)</f>
        <v>2.9915899369962751E-2</v>
      </c>
      <c r="E30" s="61">
        <f>(E29/D29-1)</f>
        <v>-1</v>
      </c>
      <c r="F30" s="61" t="e">
        <f>(F29/E29-1)</f>
        <v>#DIV/0!</v>
      </c>
      <c r="G30" s="65" t="e">
        <f>(G29/F29-1)</f>
        <v>#DIV/0!</v>
      </c>
      <c r="H30" s="146">
        <f>(H29/G29-1)</f>
        <v>2.9496246867966183</v>
      </c>
      <c r="I30" s="146">
        <f>(I29/H29-1)</f>
        <v>-5.2491584505409472E-2</v>
      </c>
      <c r="K30" s="38" t="s">
        <v>45</v>
      </c>
      <c r="L30" s="7"/>
      <c r="M30" s="7"/>
      <c r="N30" s="8">
        <v>824.22204499999998</v>
      </c>
      <c r="O30" s="8"/>
      <c r="P30" s="8"/>
      <c r="Q30" s="8">
        <v>282.74700000000001</v>
      </c>
      <c r="R30" s="8">
        <v>227.143</v>
      </c>
      <c r="S30" s="155">
        <v>220.16</v>
      </c>
    </row>
    <row r="31" spans="1:19" ht="15" customHeight="1" x14ac:dyDescent="0.25">
      <c r="A31" s="40" t="s">
        <v>119</v>
      </c>
      <c r="B31" s="18"/>
      <c r="C31" s="11"/>
      <c r="D31" s="11"/>
      <c r="E31" s="11"/>
      <c r="F31" s="11"/>
      <c r="G31" s="11"/>
      <c r="H31" s="138" t="e">
        <f>+((H29/E29)^(1/3)-1)</f>
        <v>#DIV/0!</v>
      </c>
      <c r="I31" s="138" t="e">
        <f>+((I29/F29)^(1/3)-1)</f>
        <v>#DIV/0!</v>
      </c>
      <c r="K31" s="38" t="s">
        <v>93</v>
      </c>
      <c r="L31" s="7"/>
      <c r="M31" s="7"/>
      <c r="N31" s="8"/>
      <c r="O31" s="8"/>
      <c r="P31" s="8"/>
      <c r="Q31" s="8"/>
      <c r="R31" s="8"/>
      <c r="S31" s="155"/>
    </row>
    <row r="32" spans="1:19" ht="15" customHeight="1" x14ac:dyDescent="0.25">
      <c r="A32" s="36" t="s">
        <v>16</v>
      </c>
      <c r="B32" s="19"/>
      <c r="C32" s="5">
        <v>15.83</v>
      </c>
      <c r="D32" s="5">
        <v>13.99</v>
      </c>
      <c r="E32" s="5"/>
      <c r="F32" s="5"/>
      <c r="G32" s="5">
        <v>2.88</v>
      </c>
      <c r="H32" s="147">
        <v>11.32</v>
      </c>
      <c r="I32" s="48">
        <v>10.71</v>
      </c>
      <c r="K32" s="46" t="s">
        <v>95</v>
      </c>
      <c r="L32" s="7"/>
      <c r="M32" s="7"/>
      <c r="N32" s="8">
        <v>1165.493487</v>
      </c>
      <c r="O32" s="8"/>
      <c r="P32" s="8"/>
      <c r="Q32" s="8">
        <v>160.72999999999999</v>
      </c>
      <c r="R32" s="8">
        <v>390.88499999999999</v>
      </c>
      <c r="S32" s="155">
        <v>352.1</v>
      </c>
    </row>
    <row r="33" spans="1:19" ht="15" customHeight="1" x14ac:dyDescent="0.25">
      <c r="A33" s="38" t="s">
        <v>2</v>
      </c>
      <c r="B33" s="82"/>
      <c r="C33" s="66" t="e">
        <f>(C32/B32-1)</f>
        <v>#DIV/0!</v>
      </c>
      <c r="D33" s="66">
        <f>-(D32/C32-1)</f>
        <v>0.11623499684144034</v>
      </c>
      <c r="E33" s="66">
        <f>(E32/D32-1)</f>
        <v>-1</v>
      </c>
      <c r="F33" s="66" t="e">
        <f>(F32/E32-1)</f>
        <v>#DIV/0!</v>
      </c>
      <c r="G33" s="66" t="e">
        <f>(G32/F32-1)</f>
        <v>#DIV/0!</v>
      </c>
      <c r="H33" s="148">
        <f>(H32/G32-1)</f>
        <v>2.9305555555555558</v>
      </c>
      <c r="I33" s="148">
        <f>(I32/H32-1)</f>
        <v>-5.3886925795052942E-2</v>
      </c>
      <c r="K33" s="46" t="s">
        <v>157</v>
      </c>
      <c r="L33" s="7"/>
      <c r="M33" s="7"/>
      <c r="N33" s="8"/>
      <c r="O33" s="8"/>
      <c r="P33" s="8"/>
      <c r="Q33" s="8">
        <v>418.35</v>
      </c>
      <c r="R33" s="8">
        <v>1112.8789999999999</v>
      </c>
      <c r="S33" s="155">
        <v>918.87</v>
      </c>
    </row>
    <row r="34" spans="1:19" ht="15" customHeight="1" thickBot="1" x14ac:dyDescent="0.3">
      <c r="A34" s="41" t="s">
        <v>119</v>
      </c>
      <c r="B34" s="42"/>
      <c r="C34" s="43"/>
      <c r="D34" s="43"/>
      <c r="E34" s="44"/>
      <c r="F34" s="44"/>
      <c r="G34" s="45"/>
      <c r="H34" s="149" t="e">
        <f>+((H32/E32)^(1/3)-1)</f>
        <v>#DIV/0!</v>
      </c>
      <c r="I34" s="149" t="e">
        <f>+((I32/F32)^(1/3)-1)</f>
        <v>#DIV/0!</v>
      </c>
      <c r="K34" s="46" t="s">
        <v>158</v>
      </c>
      <c r="L34" s="7"/>
      <c r="M34" s="7"/>
      <c r="N34" s="8">
        <v>65.760679999999994</v>
      </c>
      <c r="O34" s="8"/>
      <c r="P34" s="8"/>
      <c r="Q34" s="8">
        <v>841.83600000000001</v>
      </c>
      <c r="R34" s="8">
        <v>174.03200000000001</v>
      </c>
      <c r="S34" s="155">
        <v>487.08</v>
      </c>
    </row>
    <row r="35" spans="1:19" ht="15" customHeight="1" x14ac:dyDescent="0.25">
      <c r="A35" s="170"/>
      <c r="J35" s="21"/>
      <c r="K35" s="46" t="s">
        <v>160</v>
      </c>
      <c r="L35" s="7"/>
      <c r="M35" s="7"/>
      <c r="N35" s="8"/>
      <c r="O35" s="8"/>
      <c r="P35" s="8"/>
      <c r="Q35" s="8">
        <v>73.296999999999997</v>
      </c>
      <c r="R35" s="8">
        <v>77.944999999999993</v>
      </c>
      <c r="S35" s="155">
        <v>152.47</v>
      </c>
    </row>
    <row r="36" spans="1:19" ht="15" customHeight="1" thickBot="1" x14ac:dyDescent="0.3">
      <c r="A36" s="170"/>
      <c r="J36" s="21"/>
      <c r="K36" s="46" t="s">
        <v>159</v>
      </c>
      <c r="L36" s="7"/>
      <c r="M36" s="7"/>
      <c r="N36" s="8">
        <v>249.61066600000001</v>
      </c>
      <c r="O36" s="8"/>
      <c r="P36" s="8"/>
      <c r="Q36" s="8">
        <v>0</v>
      </c>
      <c r="R36" s="27">
        <v>121.048</v>
      </c>
      <c r="S36" s="157">
        <v>659.62</v>
      </c>
    </row>
    <row r="37" spans="1:19" ht="15" customHeight="1" x14ac:dyDescent="0.25">
      <c r="A37" s="291" t="s">
        <v>105</v>
      </c>
      <c r="B37" s="292"/>
      <c r="C37" s="292"/>
      <c r="D37" s="292"/>
      <c r="E37" s="292"/>
      <c r="F37" s="292"/>
      <c r="G37" s="292"/>
      <c r="H37" s="293"/>
      <c r="I37" s="196"/>
      <c r="J37" s="21"/>
      <c r="K37" s="46" t="s">
        <v>96</v>
      </c>
      <c r="L37" s="7"/>
      <c r="M37" s="7"/>
      <c r="N37" s="27">
        <v>0</v>
      </c>
      <c r="O37" s="8"/>
      <c r="P37" s="8"/>
      <c r="Q37" s="8">
        <v>54.444000000000003</v>
      </c>
      <c r="R37" s="8">
        <v>52.186999999999998</v>
      </c>
      <c r="S37" s="155">
        <v>41.92</v>
      </c>
    </row>
    <row r="38" spans="1:19" ht="15" customHeight="1" x14ac:dyDescent="0.25">
      <c r="A38" s="34" t="s">
        <v>0</v>
      </c>
      <c r="B38" s="58" t="s">
        <v>31</v>
      </c>
      <c r="C38" s="58" t="s">
        <v>32</v>
      </c>
      <c r="D38" s="58" t="s">
        <v>33</v>
      </c>
      <c r="E38" s="58" t="s">
        <v>34</v>
      </c>
      <c r="F38" s="58" t="s">
        <v>35</v>
      </c>
      <c r="G38" s="58" t="s">
        <v>85</v>
      </c>
      <c r="H38" s="136" t="s">
        <v>90</v>
      </c>
      <c r="I38" s="2" t="s">
        <v>181</v>
      </c>
      <c r="J38" s="21"/>
      <c r="K38" s="38" t="s">
        <v>156</v>
      </c>
      <c r="L38" s="16"/>
      <c r="M38" s="16"/>
      <c r="N38" s="33">
        <v>0</v>
      </c>
      <c r="O38" s="33"/>
      <c r="P38" s="33"/>
      <c r="Q38" s="33">
        <v>83.427999999999997</v>
      </c>
      <c r="R38" s="9">
        <v>45.078000000000003</v>
      </c>
      <c r="S38" s="153">
        <v>43.51</v>
      </c>
    </row>
    <row r="39" spans="1:19" ht="15" customHeight="1" x14ac:dyDescent="0.25">
      <c r="A39" s="36" t="s">
        <v>17</v>
      </c>
      <c r="B39" s="5"/>
      <c r="C39" s="5"/>
      <c r="D39" s="5">
        <v>19.427174999999998</v>
      </c>
      <c r="E39" s="5"/>
      <c r="F39" s="5"/>
      <c r="G39" s="5">
        <v>1852.68</v>
      </c>
      <c r="H39" s="48">
        <v>1181.3499999999999</v>
      </c>
      <c r="I39" s="198">
        <v>1286.9100000000001</v>
      </c>
      <c r="K39" s="38" t="s">
        <v>99</v>
      </c>
      <c r="L39" s="16"/>
      <c r="M39" s="16"/>
      <c r="N39" s="33">
        <v>0</v>
      </c>
      <c r="O39" s="9"/>
      <c r="P39" s="9"/>
      <c r="Q39" s="9">
        <v>6.9130000000000003</v>
      </c>
      <c r="R39" s="8">
        <v>7.4180000000000001</v>
      </c>
      <c r="S39" s="155">
        <v>292.72000000000003</v>
      </c>
    </row>
    <row r="40" spans="1:19" ht="15" customHeight="1" x14ac:dyDescent="0.25">
      <c r="A40" s="38" t="s">
        <v>18</v>
      </c>
      <c r="B40" s="8"/>
      <c r="C40" s="8"/>
      <c r="D40" s="8">
        <v>-43.106437</v>
      </c>
      <c r="E40" s="8"/>
      <c r="F40" s="8"/>
      <c r="G40" s="8">
        <v>-77.61</v>
      </c>
      <c r="H40" s="49">
        <v>1563</v>
      </c>
      <c r="I40" s="199">
        <v>1915.15</v>
      </c>
      <c r="K40" s="38"/>
      <c r="L40" s="16"/>
      <c r="M40" s="16"/>
      <c r="N40" s="8"/>
      <c r="O40" s="8"/>
      <c r="P40" s="8"/>
      <c r="Q40" s="8"/>
      <c r="R40" s="8"/>
      <c r="S40" s="155"/>
    </row>
    <row r="41" spans="1:19" ht="15" customHeight="1" x14ac:dyDescent="0.25">
      <c r="A41" s="38" t="s">
        <v>79</v>
      </c>
      <c r="B41" s="8"/>
      <c r="C41" s="8"/>
      <c r="D41" s="8">
        <v>-255.557501</v>
      </c>
      <c r="E41" s="8"/>
      <c r="F41" s="8"/>
      <c r="G41" s="8">
        <v>-603.05999999999995</v>
      </c>
      <c r="H41" s="49">
        <v>-1486.5</v>
      </c>
      <c r="I41" s="199">
        <v>-1815.17</v>
      </c>
      <c r="K41" s="36" t="s">
        <v>46</v>
      </c>
      <c r="L41" s="77">
        <f t="shared" ref="L41:R41" si="16">SUM(L42:L47)</f>
        <v>0</v>
      </c>
      <c r="M41" s="77">
        <f t="shared" si="16"/>
        <v>0</v>
      </c>
      <c r="N41" s="68">
        <f t="shared" si="16"/>
        <v>691.272784</v>
      </c>
      <c r="O41" s="68">
        <f t="shared" si="16"/>
        <v>0</v>
      </c>
      <c r="P41" s="68">
        <f t="shared" si="16"/>
        <v>0</v>
      </c>
      <c r="Q41" s="68">
        <f t="shared" si="16"/>
        <v>416.09700000000004</v>
      </c>
      <c r="R41" s="68">
        <f t="shared" si="16"/>
        <v>413.30900000000003</v>
      </c>
      <c r="S41" s="156">
        <f t="shared" ref="S41" si="17">SUM(S42:S47)</f>
        <v>1324.7800000000002</v>
      </c>
    </row>
    <row r="42" spans="1:19" ht="15" customHeight="1" x14ac:dyDescent="0.25">
      <c r="A42" s="38" t="s">
        <v>19</v>
      </c>
      <c r="B42" s="8"/>
      <c r="C42" s="8"/>
      <c r="D42" s="8">
        <v>284.52159899999998</v>
      </c>
      <c r="E42" s="8"/>
      <c r="F42" s="8"/>
      <c r="G42" s="8">
        <v>0</v>
      </c>
      <c r="H42" s="49">
        <v>0</v>
      </c>
      <c r="I42" s="199">
        <v>-17.5</v>
      </c>
      <c r="K42" s="38" t="s">
        <v>82</v>
      </c>
      <c r="L42" s="7"/>
      <c r="M42" s="7"/>
      <c r="N42" s="8">
        <v>265.41445299999998</v>
      </c>
      <c r="O42" s="8"/>
      <c r="P42" s="8"/>
      <c r="Q42" s="8">
        <v>178.886</v>
      </c>
      <c r="R42" s="8">
        <v>107.56399999999999</v>
      </c>
      <c r="S42" s="155">
        <v>126.9</v>
      </c>
    </row>
    <row r="43" spans="1:19" ht="15" customHeight="1" x14ac:dyDescent="0.25">
      <c r="A43" s="36" t="s">
        <v>20</v>
      </c>
      <c r="B43" s="68">
        <f t="shared" ref="B43:D43" si="18">+B40+B41+B42</f>
        <v>0</v>
      </c>
      <c r="C43" s="68">
        <f t="shared" si="18"/>
        <v>0</v>
      </c>
      <c r="D43" s="68">
        <f t="shared" si="18"/>
        <v>-14.14233900000005</v>
      </c>
      <c r="E43" s="68"/>
      <c r="F43" s="68"/>
      <c r="G43" s="68">
        <v>-671.33</v>
      </c>
      <c r="H43" s="69">
        <v>105.55</v>
      </c>
      <c r="I43" s="197">
        <v>119.04</v>
      </c>
      <c r="K43" s="38" t="s">
        <v>83</v>
      </c>
      <c r="L43" s="16"/>
      <c r="M43" s="16"/>
      <c r="N43" s="8">
        <v>0</v>
      </c>
      <c r="O43" s="8"/>
      <c r="P43" s="8"/>
      <c r="Q43" s="8">
        <v>222.363</v>
      </c>
      <c r="R43" s="8">
        <v>277.565</v>
      </c>
      <c r="S43" s="155">
        <v>1173.8599999999999</v>
      </c>
    </row>
    <row r="44" spans="1:19" ht="15" customHeight="1" thickBot="1" x14ac:dyDescent="0.3">
      <c r="A44" s="47" t="s">
        <v>72</v>
      </c>
      <c r="B44" s="70">
        <f t="shared" ref="B44:G44" si="19">+B39+B43</f>
        <v>0</v>
      </c>
      <c r="C44" s="70">
        <f t="shared" si="19"/>
        <v>0</v>
      </c>
      <c r="D44" s="70">
        <f t="shared" si="19"/>
        <v>5.2848359999999488</v>
      </c>
      <c r="E44" s="70"/>
      <c r="F44" s="70"/>
      <c r="G44" s="70">
        <f t="shared" si="19"/>
        <v>1181.3499999999999</v>
      </c>
      <c r="H44" s="71">
        <f t="shared" ref="H44:I44" si="20">+H39+H43</f>
        <v>1286.8999999999999</v>
      </c>
      <c r="I44" s="166">
        <f t="shared" si="20"/>
        <v>1405.95</v>
      </c>
      <c r="K44" s="38" t="s">
        <v>70</v>
      </c>
      <c r="L44" s="16"/>
      <c r="M44" s="16"/>
      <c r="N44" s="8">
        <v>187.46950000000001</v>
      </c>
      <c r="O44" s="27"/>
      <c r="P44" s="8"/>
      <c r="Q44" s="8">
        <v>1.7130000000000001</v>
      </c>
      <c r="R44" s="8">
        <v>0.96699999999999997</v>
      </c>
      <c r="S44" s="155">
        <v>1.39</v>
      </c>
    </row>
    <row r="45" spans="1:19" ht="15" customHeight="1" x14ac:dyDescent="0.25">
      <c r="A45" s="170"/>
      <c r="K45" s="38" t="s">
        <v>78</v>
      </c>
      <c r="L45" s="7"/>
      <c r="M45" s="7"/>
      <c r="N45" s="8">
        <v>238.38883100000001</v>
      </c>
      <c r="O45" s="8"/>
      <c r="P45" s="8"/>
      <c r="Q45" s="8">
        <v>13.135</v>
      </c>
      <c r="R45" s="8">
        <v>27.213000000000001</v>
      </c>
      <c r="S45" s="155">
        <v>22.63</v>
      </c>
    </row>
    <row r="46" spans="1:19" ht="15" customHeight="1" thickBot="1" x14ac:dyDescent="0.3">
      <c r="A46" s="170"/>
      <c r="K46" s="38" t="s">
        <v>97</v>
      </c>
      <c r="L46" s="7"/>
      <c r="M46" s="7"/>
      <c r="N46" s="8"/>
      <c r="O46" s="27"/>
      <c r="P46" s="8"/>
      <c r="Q46" s="8">
        <v>0</v>
      </c>
      <c r="R46" s="27">
        <v>0</v>
      </c>
      <c r="S46" s="157">
        <v>0</v>
      </c>
    </row>
    <row r="47" spans="1:19" ht="15" customHeight="1" x14ac:dyDescent="0.25">
      <c r="A47" s="50" t="s">
        <v>21</v>
      </c>
      <c r="B47" s="168" t="s">
        <v>31</v>
      </c>
      <c r="C47" s="168" t="s">
        <v>32</v>
      </c>
      <c r="D47" s="168" t="s">
        <v>33</v>
      </c>
      <c r="E47" s="168" t="s">
        <v>34</v>
      </c>
      <c r="F47" s="168" t="s">
        <v>35</v>
      </c>
      <c r="G47" s="51" t="s">
        <v>85</v>
      </c>
      <c r="H47" s="164" t="s">
        <v>90</v>
      </c>
      <c r="I47" s="2" t="s">
        <v>181</v>
      </c>
      <c r="K47" s="38"/>
      <c r="L47" s="7"/>
      <c r="M47" s="7"/>
      <c r="N47" s="8"/>
      <c r="O47" s="8"/>
      <c r="P47" s="8"/>
      <c r="Q47" s="8"/>
      <c r="R47" s="8"/>
      <c r="S47" s="155"/>
    </row>
    <row r="48" spans="1:19" ht="15" customHeight="1" x14ac:dyDescent="0.25">
      <c r="A48" s="36" t="s">
        <v>22</v>
      </c>
      <c r="B48" s="68">
        <f t="shared" ref="B48:H48" si="21">B21</f>
        <v>0</v>
      </c>
      <c r="C48" s="68">
        <f t="shared" si="21"/>
        <v>356.98752799999977</v>
      </c>
      <c r="D48" s="68">
        <f t="shared" si="21"/>
        <v>350.24746100000027</v>
      </c>
      <c r="E48" s="68"/>
      <c r="F48" s="68"/>
      <c r="G48" s="68">
        <v>378.36</v>
      </c>
      <c r="H48" s="139">
        <f t="shared" si="21"/>
        <v>1498.9439999999997</v>
      </c>
      <c r="I48" s="68">
        <f>I21</f>
        <v>1408.35</v>
      </c>
      <c r="K48" s="36" t="s">
        <v>47</v>
      </c>
      <c r="L48" s="77">
        <f t="shared" ref="L48:S48" si="22">(L29-L41-L9)</f>
        <v>0</v>
      </c>
      <c r="M48" s="77">
        <f t="shared" si="22"/>
        <v>0</v>
      </c>
      <c r="N48" s="68">
        <f t="shared" si="22"/>
        <v>909.5639930000001</v>
      </c>
      <c r="O48" s="68">
        <f t="shared" si="22"/>
        <v>0</v>
      </c>
      <c r="P48" s="68">
        <f t="shared" si="22"/>
        <v>0</v>
      </c>
      <c r="Q48" s="68">
        <f t="shared" si="22"/>
        <v>1505.6479999999999</v>
      </c>
      <c r="R48" s="68">
        <f t="shared" si="22"/>
        <v>1795.3059999999998</v>
      </c>
      <c r="S48" s="156">
        <f t="shared" si="22"/>
        <v>1843.6699999999996</v>
      </c>
    </row>
    <row r="49" spans="1:19" ht="15" customHeight="1" x14ac:dyDescent="0.25">
      <c r="A49" s="38" t="s">
        <v>23</v>
      </c>
      <c r="B49" s="72">
        <f t="shared" ref="B49:H49" si="23">B18</f>
        <v>0</v>
      </c>
      <c r="C49" s="72">
        <f t="shared" si="23"/>
        <v>67.671909999999997</v>
      </c>
      <c r="D49" s="72">
        <f t="shared" si="23"/>
        <v>98.236097000000001</v>
      </c>
      <c r="E49" s="72"/>
      <c r="F49" s="72"/>
      <c r="G49" s="72">
        <v>83.47</v>
      </c>
      <c r="H49" s="160">
        <f t="shared" si="23"/>
        <v>350.64299999999997</v>
      </c>
      <c r="I49" s="72">
        <f>I18</f>
        <v>239.23</v>
      </c>
      <c r="K49" s="38" t="s">
        <v>48</v>
      </c>
      <c r="L49" s="7"/>
      <c r="M49" s="7"/>
      <c r="N49" s="8">
        <v>62.554617999999998</v>
      </c>
      <c r="O49" s="8"/>
      <c r="P49" s="8"/>
      <c r="Q49" s="8">
        <v>0</v>
      </c>
      <c r="R49" s="8">
        <v>0</v>
      </c>
      <c r="S49" s="155">
        <v>0</v>
      </c>
    </row>
    <row r="50" spans="1:19" ht="15" customHeight="1" x14ac:dyDescent="0.25">
      <c r="A50" s="38" t="s">
        <v>24</v>
      </c>
      <c r="B50" s="72">
        <f t="shared" ref="B50:D50" si="24">B20</f>
        <v>0</v>
      </c>
      <c r="C50" s="72">
        <f t="shared" si="24"/>
        <v>0</v>
      </c>
      <c r="D50" s="72">
        <f t="shared" si="24"/>
        <v>0</v>
      </c>
      <c r="E50" s="72"/>
      <c r="F50" s="72"/>
      <c r="G50" s="72">
        <f>45.02+10+1-0.13-51.1-62.18</f>
        <v>-57.39</v>
      </c>
      <c r="H50" s="160">
        <f>13.98+1.31-1+3.3-52.94-39.74-3.63</f>
        <v>-78.72</v>
      </c>
      <c r="I50" s="72">
        <f>51.83+0.06-221.1-39.82-57.73-106.02-7.98-0.008</f>
        <v>-380.76799999999997</v>
      </c>
      <c r="K50" s="38" t="s">
        <v>84</v>
      </c>
      <c r="L50" s="7"/>
      <c r="M50" s="7"/>
      <c r="N50" s="27">
        <v>0</v>
      </c>
      <c r="O50" s="27"/>
      <c r="P50" s="27"/>
      <c r="Q50" s="27">
        <v>0</v>
      </c>
      <c r="R50" s="27">
        <v>3.05</v>
      </c>
      <c r="S50" s="157">
        <v>3.05</v>
      </c>
    </row>
    <row r="51" spans="1:19" ht="15" customHeight="1" x14ac:dyDescent="0.25">
      <c r="A51" s="38" t="s">
        <v>25</v>
      </c>
      <c r="B51" s="72"/>
      <c r="C51" s="72">
        <f>-((M48-L48)-(M34-L34))</f>
        <v>0</v>
      </c>
      <c r="D51" s="72">
        <f>-((N48-M48)-(N34-M34))</f>
        <v>-843.80331300000012</v>
      </c>
      <c r="E51" s="72"/>
      <c r="F51" s="72"/>
      <c r="G51" s="72">
        <f>-113.35-35.78-99.94-232.88</f>
        <v>-481.95</v>
      </c>
      <c r="H51" s="160">
        <f>-230.15+55.6-33.24-0.16</f>
        <v>-207.95000000000002</v>
      </c>
      <c r="I51" s="72">
        <f>38.77+6.98-309+911.59</f>
        <v>648.34</v>
      </c>
      <c r="K51" s="38" t="s">
        <v>171</v>
      </c>
      <c r="L51" s="7"/>
      <c r="M51" s="7"/>
      <c r="N51" s="27"/>
      <c r="O51" s="27"/>
      <c r="P51" s="27"/>
      <c r="Q51" s="27">
        <v>221.107</v>
      </c>
      <c r="R51" s="27">
        <v>221.107</v>
      </c>
      <c r="S51" s="157">
        <v>0</v>
      </c>
    </row>
    <row r="52" spans="1:19" ht="15" customHeight="1" x14ac:dyDescent="0.25">
      <c r="A52" s="38" t="s">
        <v>26</v>
      </c>
      <c r="B52" s="72">
        <f t="shared" ref="B52:D52" si="25">-B22</f>
        <v>0</v>
      </c>
      <c r="C52" s="72">
        <f t="shared" si="25"/>
        <v>-91.853128999999996</v>
      </c>
      <c r="D52" s="72">
        <f t="shared" si="25"/>
        <v>-93.044796000000005</v>
      </c>
      <c r="E52" s="72"/>
      <c r="F52" s="72"/>
      <c r="G52" s="72">
        <v>0</v>
      </c>
      <c r="H52" s="160">
        <v>0</v>
      </c>
      <c r="I52" s="72">
        <v>-9.3000000000000007</v>
      </c>
      <c r="K52" s="38" t="s">
        <v>71</v>
      </c>
      <c r="L52" s="7"/>
      <c r="M52" s="7"/>
      <c r="N52" s="27">
        <v>0</v>
      </c>
      <c r="O52" s="8"/>
      <c r="P52" s="8"/>
      <c r="Q52" s="8">
        <v>967.94500000000005</v>
      </c>
      <c r="R52" s="8">
        <v>982.78200000000004</v>
      </c>
      <c r="S52" s="155">
        <v>1034.24</v>
      </c>
    </row>
    <row r="53" spans="1:19" ht="15" customHeight="1" x14ac:dyDescent="0.25">
      <c r="A53" s="36" t="s">
        <v>27</v>
      </c>
      <c r="B53" s="68">
        <f t="shared" ref="B53:H53" si="26">SUM(B48:B52)</f>
        <v>0</v>
      </c>
      <c r="C53" s="68">
        <f t="shared" si="26"/>
        <v>332.80630899999983</v>
      </c>
      <c r="D53" s="68">
        <f t="shared" si="26"/>
        <v>-488.36455099999989</v>
      </c>
      <c r="E53" s="68"/>
      <c r="F53" s="68"/>
      <c r="G53" s="68">
        <f t="shared" si="26"/>
        <v>-77.509999999999934</v>
      </c>
      <c r="H53" s="139">
        <f t="shared" si="26"/>
        <v>1562.9169999999997</v>
      </c>
      <c r="I53" s="68">
        <f>SUM(I48:I52)</f>
        <v>1905.8520000000001</v>
      </c>
      <c r="J53" s="21"/>
      <c r="K53" s="38" t="s">
        <v>170</v>
      </c>
      <c r="L53" s="4"/>
      <c r="M53" s="4"/>
      <c r="N53" s="8"/>
      <c r="O53" s="8"/>
      <c r="P53" s="8"/>
      <c r="Q53" s="8">
        <v>0.29399999999999998</v>
      </c>
      <c r="R53" s="8">
        <v>1.048</v>
      </c>
      <c r="S53" s="155">
        <v>0</v>
      </c>
    </row>
    <row r="54" spans="1:19" ht="15" customHeight="1" x14ac:dyDescent="0.25">
      <c r="A54" s="38" t="s">
        <v>28</v>
      </c>
      <c r="B54" s="72"/>
      <c r="C54" s="72">
        <f t="shared" ref="C54" si="27">-(M16-L16)</f>
        <v>0</v>
      </c>
      <c r="D54" s="83">
        <f t="shared" ref="D54" si="28">-(N14-M14)</f>
        <v>-1481.9677489999999</v>
      </c>
      <c r="E54" s="72"/>
      <c r="F54" s="72"/>
      <c r="G54" s="72">
        <v>482.23</v>
      </c>
      <c r="H54" s="160">
        <f>934.42+589.58</f>
        <v>1524</v>
      </c>
      <c r="I54" s="72">
        <v>1399.41</v>
      </c>
      <c r="K54" s="36" t="s">
        <v>88</v>
      </c>
      <c r="L54" s="78">
        <f>SUM(L16:L27)+L29</f>
        <v>0</v>
      </c>
      <c r="M54" s="78">
        <f>SUM(M16:M27)+M29</f>
        <v>0</v>
      </c>
      <c r="N54" s="68">
        <f t="shared" ref="N54:S54" si="29">N15+N29</f>
        <v>3718.0106129999999</v>
      </c>
      <c r="O54" s="68">
        <f t="shared" si="29"/>
        <v>0</v>
      </c>
      <c r="P54" s="68">
        <f t="shared" si="29"/>
        <v>0</v>
      </c>
      <c r="Q54" s="68">
        <f t="shared" si="29"/>
        <v>5340.7829999999994</v>
      </c>
      <c r="R54" s="68">
        <f t="shared" si="29"/>
        <v>6844.665</v>
      </c>
      <c r="S54" s="156">
        <f t="shared" si="29"/>
        <v>9012.82</v>
      </c>
    </row>
    <row r="55" spans="1:19" ht="15" customHeight="1" thickBot="1" x14ac:dyDescent="0.3">
      <c r="A55" s="47" t="s">
        <v>29</v>
      </c>
      <c r="B55" s="70">
        <f t="shared" ref="B55:D55" si="30">SUM(B53:B54)</f>
        <v>0</v>
      </c>
      <c r="C55" s="70">
        <f t="shared" si="30"/>
        <v>332.80630899999983</v>
      </c>
      <c r="D55" s="70">
        <f t="shared" si="30"/>
        <v>-1970.3322999999998</v>
      </c>
      <c r="E55" s="70"/>
      <c r="F55" s="70"/>
      <c r="G55" s="70">
        <f>G53-G54</f>
        <v>-559.74</v>
      </c>
      <c r="H55" s="165">
        <f>H53-H54</f>
        <v>38.916999999999689</v>
      </c>
      <c r="I55" s="68">
        <f>I53-I54</f>
        <v>506.44200000000001</v>
      </c>
      <c r="K55" s="47" t="s">
        <v>89</v>
      </c>
      <c r="L55" s="89">
        <f>L52+L41+L10+L6+L49+L50+L53</f>
        <v>0</v>
      </c>
      <c r="M55" s="89">
        <f>M52+M41+M10+M6+M49+M50+M53</f>
        <v>0</v>
      </c>
      <c r="N55" s="70">
        <f>N52+N41+N10+N6+N49+N50+N53</f>
        <v>3718.0106110000002</v>
      </c>
      <c r="O55" s="70">
        <f>O52+O41+O10+O6+O49+O50+O53</f>
        <v>0</v>
      </c>
      <c r="P55" s="70">
        <f>P52+P41+P10+P6+P49+P50+P53</f>
        <v>0</v>
      </c>
      <c r="Q55" s="70">
        <f>Q52+Q41+Q10+Q6+Q49+Q50+Q51+Q53</f>
        <v>5340.7830000000004</v>
      </c>
      <c r="R55" s="70">
        <f>R52+R41+R10+R6+R49+R50+R51+R53</f>
        <v>6844.665</v>
      </c>
      <c r="S55" s="158">
        <f>S52+S41+S10+S6+S49+S50+S53</f>
        <v>9012.8499999999985</v>
      </c>
    </row>
    <row r="56" spans="1:19" ht="15" customHeight="1" x14ac:dyDescent="0.25">
      <c r="A56" s="170" t="s">
        <v>30</v>
      </c>
      <c r="K56" s="21"/>
      <c r="L56" s="22"/>
      <c r="M56" s="22"/>
      <c r="N56" s="23"/>
      <c r="O56" s="23"/>
      <c r="P56" s="23"/>
      <c r="Q56" s="23"/>
      <c r="R56" s="22"/>
      <c r="S56" s="171"/>
    </row>
    <row r="57" spans="1:19" ht="15" customHeight="1" thickBot="1" x14ac:dyDescent="0.3">
      <c r="A57" s="170"/>
      <c r="K57" s="21"/>
      <c r="L57" s="22"/>
      <c r="M57" s="22"/>
      <c r="N57" s="23"/>
      <c r="O57" s="23"/>
      <c r="P57" s="23"/>
      <c r="Q57" s="23"/>
      <c r="R57" s="22"/>
      <c r="S57" s="171"/>
    </row>
    <row r="58" spans="1:19" ht="15" customHeight="1" x14ac:dyDescent="0.25">
      <c r="A58" s="50" t="s">
        <v>21</v>
      </c>
      <c r="B58" s="168" t="s">
        <v>31</v>
      </c>
      <c r="C58" s="168" t="s">
        <v>32</v>
      </c>
      <c r="D58" s="168" t="s">
        <v>33</v>
      </c>
      <c r="E58" s="168" t="s">
        <v>34</v>
      </c>
      <c r="F58" s="168" t="s">
        <v>35</v>
      </c>
      <c r="G58" s="51" t="s">
        <v>85</v>
      </c>
      <c r="H58" s="164" t="s">
        <v>90</v>
      </c>
      <c r="I58" s="2" t="s">
        <v>181</v>
      </c>
      <c r="K58" s="291" t="s">
        <v>103</v>
      </c>
      <c r="L58" s="292"/>
      <c r="M58" s="292"/>
      <c r="N58" s="292"/>
      <c r="O58" s="292"/>
      <c r="P58" s="292"/>
      <c r="Q58" s="292"/>
      <c r="R58" s="293"/>
      <c r="S58" s="171"/>
    </row>
    <row r="59" spans="1:19" ht="15" customHeight="1" x14ac:dyDescent="0.25">
      <c r="A59" s="38" t="s">
        <v>73</v>
      </c>
      <c r="B59" s="28"/>
      <c r="C59" s="28"/>
      <c r="D59" s="28">
        <v>16743793</v>
      </c>
      <c r="E59" s="28"/>
      <c r="F59" s="28"/>
      <c r="G59" s="167">
        <v>130493289</v>
      </c>
      <c r="H59" s="167">
        <v>130493289</v>
      </c>
      <c r="I59" s="172">
        <v>132243289</v>
      </c>
      <c r="K59" s="53" t="s">
        <v>50</v>
      </c>
      <c r="L59" s="24" t="s">
        <v>31</v>
      </c>
      <c r="M59" s="24" t="s">
        <v>32</v>
      </c>
      <c r="N59" s="25" t="s">
        <v>33</v>
      </c>
      <c r="O59" s="25" t="s">
        <v>34</v>
      </c>
      <c r="P59" s="25" t="s">
        <v>35</v>
      </c>
      <c r="Q59" s="26" t="s">
        <v>85</v>
      </c>
      <c r="R59" s="159" t="s">
        <v>90</v>
      </c>
      <c r="S59" s="173" t="s">
        <v>181</v>
      </c>
    </row>
    <row r="60" spans="1:19" ht="15" customHeight="1" x14ac:dyDescent="0.25">
      <c r="A60" s="36" t="s">
        <v>74</v>
      </c>
      <c r="B60" s="68">
        <f t="shared" ref="B60:G60" si="31">B59*L60/1000000</f>
        <v>0</v>
      </c>
      <c r="C60" s="68">
        <f t="shared" si="31"/>
        <v>0</v>
      </c>
      <c r="D60" s="68">
        <f t="shared" si="31"/>
        <v>3414.0593927000004</v>
      </c>
      <c r="E60" s="68"/>
      <c r="F60" s="68"/>
      <c r="G60" s="68">
        <f t="shared" si="31"/>
        <v>14406.459105600001</v>
      </c>
      <c r="H60" s="139">
        <f>H59*R60/1000000</f>
        <v>16911.930254399998</v>
      </c>
      <c r="I60" s="68">
        <f>I59*S60/1000000</f>
        <v>4529.3326482499997</v>
      </c>
      <c r="K60" s="54" t="s">
        <v>51</v>
      </c>
      <c r="L60" s="19">
        <v>43.35</v>
      </c>
      <c r="M60" s="19">
        <v>76.599999999999994</v>
      </c>
      <c r="N60" s="5">
        <v>203.9</v>
      </c>
      <c r="O60" s="5">
        <v>31.55</v>
      </c>
      <c r="P60" s="5">
        <v>78.400000000000006</v>
      </c>
      <c r="Q60" s="5">
        <v>110.4</v>
      </c>
      <c r="R60" s="147">
        <v>129.6</v>
      </c>
      <c r="S60" s="174">
        <v>34.25</v>
      </c>
    </row>
    <row r="61" spans="1:19" ht="15" customHeight="1" x14ac:dyDescent="0.25">
      <c r="A61" s="38" t="s">
        <v>77</v>
      </c>
      <c r="B61" s="72">
        <f t="shared" ref="B61:G61" si="32">L10</f>
        <v>0</v>
      </c>
      <c r="C61" s="72">
        <f t="shared" si="32"/>
        <v>0</v>
      </c>
      <c r="D61" s="72">
        <f t="shared" si="32"/>
        <v>870.02611300000001</v>
      </c>
      <c r="E61" s="72"/>
      <c r="F61" s="72"/>
      <c r="G61" s="72">
        <f t="shared" si="32"/>
        <v>0</v>
      </c>
      <c r="H61" s="160">
        <v>0</v>
      </c>
      <c r="I61" s="72">
        <v>0</v>
      </c>
      <c r="K61" s="54" t="s">
        <v>52</v>
      </c>
      <c r="L61" s="84">
        <f t="shared" ref="L61:R61" si="33">B32</f>
        <v>0</v>
      </c>
      <c r="M61" s="84">
        <f t="shared" si="33"/>
        <v>15.83</v>
      </c>
      <c r="N61" s="68">
        <f t="shared" si="33"/>
        <v>13.99</v>
      </c>
      <c r="O61" s="68">
        <f t="shared" si="33"/>
        <v>0</v>
      </c>
      <c r="P61" s="68">
        <f t="shared" si="33"/>
        <v>0</v>
      </c>
      <c r="Q61" s="68">
        <f t="shared" si="33"/>
        <v>2.88</v>
      </c>
      <c r="R61" s="139">
        <f t="shared" si="33"/>
        <v>11.32</v>
      </c>
      <c r="S61" s="175">
        <f>I32</f>
        <v>10.71</v>
      </c>
    </row>
    <row r="62" spans="1:19" ht="15" customHeight="1" x14ac:dyDescent="0.25">
      <c r="A62" s="38" t="s">
        <v>75</v>
      </c>
      <c r="B62" s="72">
        <f t="shared" ref="B62:D62" si="34">L34</f>
        <v>0</v>
      </c>
      <c r="C62" s="72">
        <f t="shared" si="34"/>
        <v>0</v>
      </c>
      <c r="D62" s="72">
        <f t="shared" si="34"/>
        <v>65.760679999999994</v>
      </c>
      <c r="E62" s="72"/>
      <c r="F62" s="72"/>
      <c r="G62" s="72">
        <v>1181.3499999999999</v>
      </c>
      <c r="H62" s="160">
        <v>1286.9100000000001</v>
      </c>
      <c r="I62" s="72">
        <v>1405.95</v>
      </c>
      <c r="K62" s="55" t="s">
        <v>53</v>
      </c>
      <c r="L62" s="85" t="e">
        <f t="shared" ref="L62:S62" si="35">(L6*1000000)/B59</f>
        <v>#DIV/0!</v>
      </c>
      <c r="M62" s="85" t="e">
        <f t="shared" si="35"/>
        <v>#DIV/0!</v>
      </c>
      <c r="N62" s="72">
        <f t="shared" si="35"/>
        <v>125.07065131538594</v>
      </c>
      <c r="O62" s="72" t="e">
        <f t="shared" si="35"/>
        <v>#DIV/0!</v>
      </c>
      <c r="P62" s="72" t="e">
        <f t="shared" si="35"/>
        <v>#DIV/0!</v>
      </c>
      <c r="Q62" s="72">
        <f t="shared" si="35"/>
        <v>28.624767056028453</v>
      </c>
      <c r="R62" s="160">
        <f t="shared" si="35"/>
        <v>40.027874536904349</v>
      </c>
      <c r="S62" s="176">
        <f t="shared" si="35"/>
        <v>50.292003853594416</v>
      </c>
    </row>
    <row r="63" spans="1:19" ht="15" customHeight="1" thickBot="1" x14ac:dyDescent="0.3">
      <c r="A63" s="47" t="s">
        <v>76</v>
      </c>
      <c r="B63" s="70">
        <f t="shared" ref="B63:H63" si="36">B60+B61-B62</f>
        <v>0</v>
      </c>
      <c r="C63" s="70">
        <f t="shared" si="36"/>
        <v>0</v>
      </c>
      <c r="D63" s="70">
        <f t="shared" si="36"/>
        <v>4218.3248257000005</v>
      </c>
      <c r="E63" s="70"/>
      <c r="F63" s="70"/>
      <c r="G63" s="70">
        <f t="shared" si="36"/>
        <v>13225.1091056</v>
      </c>
      <c r="H63" s="165">
        <f t="shared" si="36"/>
        <v>15625.020254399999</v>
      </c>
      <c r="I63" s="68">
        <f>I60+I61-I62</f>
        <v>3123.3826482499999</v>
      </c>
      <c r="K63" s="55" t="s">
        <v>54</v>
      </c>
      <c r="L63" s="85"/>
      <c r="M63" s="85"/>
      <c r="N63" s="72">
        <v>2</v>
      </c>
      <c r="O63" s="72">
        <v>1.5</v>
      </c>
      <c r="P63" s="72">
        <v>2</v>
      </c>
      <c r="Q63" s="72">
        <v>0</v>
      </c>
      <c r="R63" s="160">
        <v>0</v>
      </c>
      <c r="S63" s="177">
        <v>0</v>
      </c>
    </row>
    <row r="64" spans="1:19" ht="15" customHeight="1" x14ac:dyDescent="0.25">
      <c r="A64" s="170"/>
      <c r="B64" s="1"/>
      <c r="C64" s="1"/>
      <c r="D64" s="1"/>
      <c r="E64" s="1"/>
      <c r="G64" s="1"/>
      <c r="H64" s="1"/>
      <c r="I64" s="1"/>
      <c r="K64" s="55" t="s">
        <v>55</v>
      </c>
      <c r="L64" s="85" t="e">
        <f t="shared" ref="L64:R64" si="37">(L60/L61)</f>
        <v>#DIV/0!</v>
      </c>
      <c r="M64" s="85">
        <f t="shared" si="37"/>
        <v>4.8389134554643078</v>
      </c>
      <c r="N64" s="72">
        <f t="shared" si="37"/>
        <v>14.574696211579701</v>
      </c>
      <c r="O64" s="72" t="e">
        <f t="shared" si="37"/>
        <v>#DIV/0!</v>
      </c>
      <c r="P64" s="72" t="e">
        <f t="shared" si="37"/>
        <v>#DIV/0!</v>
      </c>
      <c r="Q64" s="72">
        <f t="shared" si="37"/>
        <v>38.333333333333336</v>
      </c>
      <c r="R64" s="160">
        <f t="shared" si="37"/>
        <v>11.448763250883392</v>
      </c>
      <c r="S64" s="176">
        <f t="shared" ref="S64" si="38">(S60/S61)</f>
        <v>3.1979458450046683</v>
      </c>
    </row>
    <row r="65" spans="1:19" ht="15" customHeight="1" x14ac:dyDescent="0.25">
      <c r="A65" s="170"/>
      <c r="B65" s="1"/>
      <c r="C65" s="1"/>
      <c r="D65" s="1"/>
      <c r="E65" s="1"/>
      <c r="G65" s="1"/>
      <c r="H65" s="1"/>
      <c r="I65" s="1"/>
      <c r="K65" s="55" t="s">
        <v>56</v>
      </c>
      <c r="L65" s="85" t="e">
        <f t="shared" ref="L65:R65" si="39">(L60/L62)</f>
        <v>#DIV/0!</v>
      </c>
      <c r="M65" s="85" t="e">
        <f t="shared" si="39"/>
        <v>#DIV/0!</v>
      </c>
      <c r="N65" s="72">
        <f t="shared" si="39"/>
        <v>1.6302785494083105</v>
      </c>
      <c r="O65" s="72" t="e">
        <f t="shared" si="39"/>
        <v>#DIV/0!</v>
      </c>
      <c r="P65" s="72" t="e">
        <f t="shared" si="39"/>
        <v>#DIV/0!</v>
      </c>
      <c r="Q65" s="72">
        <f t="shared" si="39"/>
        <v>3.8567999447439858</v>
      </c>
      <c r="R65" s="160">
        <f t="shared" si="39"/>
        <v>3.2377437348194236</v>
      </c>
      <c r="S65" s="176">
        <f t="shared" ref="S65" si="40">(S60/S62)</f>
        <v>0.68102277450915527</v>
      </c>
    </row>
    <row r="66" spans="1:19" ht="15" customHeight="1" x14ac:dyDescent="0.25">
      <c r="A66" s="170"/>
      <c r="B66" s="1"/>
      <c r="C66" s="1"/>
      <c r="D66" s="1"/>
      <c r="E66" s="1"/>
      <c r="G66" s="1"/>
      <c r="H66" s="1"/>
      <c r="I66" s="1"/>
      <c r="K66" s="55" t="s">
        <v>57</v>
      </c>
      <c r="L66" s="85" t="e">
        <f t="shared" ref="L66:S66" si="41">B63/B13</f>
        <v>#DIV/0!</v>
      </c>
      <c r="M66" s="85">
        <f t="shared" si="41"/>
        <v>0</v>
      </c>
      <c r="N66" s="72">
        <f t="shared" si="41"/>
        <v>9.0594118689254337</v>
      </c>
      <c r="O66" s="72" t="e">
        <f t="shared" si="41"/>
        <v>#DIV/0!</v>
      </c>
      <c r="P66" s="72" t="e">
        <f t="shared" si="41"/>
        <v>#DIV/0!</v>
      </c>
      <c r="Q66" s="72">
        <f t="shared" si="41"/>
        <v>42.308435082600738</v>
      </c>
      <c r="R66" s="160">
        <f t="shared" si="41"/>
        <v>8.9805728215170237</v>
      </c>
      <c r="S66" s="176">
        <f t="shared" si="41"/>
        <v>2.5570058520261973</v>
      </c>
    </row>
    <row r="67" spans="1:19" ht="15" customHeight="1" x14ac:dyDescent="0.25">
      <c r="A67" s="170"/>
      <c r="B67" s="1"/>
      <c r="C67" s="1"/>
      <c r="D67" s="1"/>
      <c r="E67" s="1"/>
      <c r="G67" s="1"/>
      <c r="H67" s="1"/>
      <c r="I67" s="1"/>
      <c r="K67" s="56" t="s">
        <v>58</v>
      </c>
      <c r="L67" s="66" t="e">
        <f t="shared" ref="L67:S67" si="42">(B24/L6)</f>
        <v>#DIV/0!</v>
      </c>
      <c r="M67" s="66" t="e">
        <f t="shared" si="42"/>
        <v>#DIV/0!</v>
      </c>
      <c r="N67" s="66">
        <f t="shared" si="42"/>
        <v>0.12281918366643887</v>
      </c>
      <c r="O67" s="66" t="e">
        <f t="shared" si="42"/>
        <v>#DIV/0!</v>
      </c>
      <c r="P67" s="66" t="e">
        <f t="shared" si="42"/>
        <v>#DIV/0!</v>
      </c>
      <c r="Q67" s="66">
        <f t="shared" si="42"/>
        <v>0.10129225184320571</v>
      </c>
      <c r="R67" s="148">
        <f t="shared" si="42"/>
        <v>0.28518873546938761</v>
      </c>
      <c r="S67" s="178">
        <f t="shared" si="42"/>
        <v>0.21175711721031218</v>
      </c>
    </row>
    <row r="68" spans="1:19" ht="15" customHeight="1" x14ac:dyDescent="0.25">
      <c r="A68" s="170"/>
      <c r="B68" s="1"/>
      <c r="C68" s="1"/>
      <c r="D68" s="1"/>
      <c r="E68" s="1"/>
      <c r="G68" s="1"/>
      <c r="H68" s="1"/>
      <c r="I68" s="1"/>
      <c r="K68" s="56" t="s">
        <v>59</v>
      </c>
      <c r="L68" s="66" t="e">
        <f>(B21+B19)/L11</f>
        <v>#DIV/0!</v>
      </c>
      <c r="M68" s="66" t="e">
        <f>(C21+C19)/M11</f>
        <v>#DIV/0!</v>
      </c>
      <c r="N68" s="66">
        <f t="shared" ref="N68:S68" si="43">(D13-D18)/N11</f>
        <v>0.15818938110504371</v>
      </c>
      <c r="O68" s="66" t="e">
        <f t="shared" si="43"/>
        <v>#DIV/0!</v>
      </c>
      <c r="P68" s="66" t="e">
        <f t="shared" si="43"/>
        <v>#DIV/0!</v>
      </c>
      <c r="Q68" s="73">
        <f t="shared" si="43"/>
        <v>4.6524793661971549E-2</v>
      </c>
      <c r="R68" s="161">
        <f t="shared" si="43"/>
        <v>0.21600825704563698</v>
      </c>
      <c r="S68" s="179">
        <f t="shared" si="43"/>
        <v>0.12776548600624085</v>
      </c>
    </row>
    <row r="69" spans="1:19" ht="15" customHeight="1" x14ac:dyDescent="0.25">
      <c r="A69" s="170"/>
      <c r="K69" s="55" t="s">
        <v>60</v>
      </c>
      <c r="L69" s="86" t="e">
        <f t="shared" ref="L69:R69" si="44">(L10/L6)</f>
        <v>#DIV/0!</v>
      </c>
      <c r="M69" s="86" t="e">
        <f t="shared" si="44"/>
        <v>#DIV/0!</v>
      </c>
      <c r="N69" s="72">
        <f t="shared" si="44"/>
        <v>0.41545408157860569</v>
      </c>
      <c r="O69" s="72" t="e">
        <f t="shared" si="44"/>
        <v>#DIV/0!</v>
      </c>
      <c r="P69" s="72" t="e">
        <f t="shared" si="44"/>
        <v>#DIV/0!</v>
      </c>
      <c r="Q69" s="72">
        <f t="shared" si="44"/>
        <v>0</v>
      </c>
      <c r="R69" s="160">
        <f t="shared" si="44"/>
        <v>0</v>
      </c>
      <c r="S69" s="176">
        <f t="shared" ref="S69" si="45">(S10/S6)</f>
        <v>0</v>
      </c>
    </row>
    <row r="70" spans="1:19" ht="15" customHeight="1" x14ac:dyDescent="0.25">
      <c r="A70" s="170"/>
      <c r="K70" s="55" t="s">
        <v>61</v>
      </c>
      <c r="L70" s="86" t="e">
        <f t="shared" ref="L70:R70" si="46">(L10-L34)/L6</f>
        <v>#DIV/0!</v>
      </c>
      <c r="M70" s="86" t="e">
        <f t="shared" si="46"/>
        <v>#DIV/0!</v>
      </c>
      <c r="N70" s="72">
        <f t="shared" si="46"/>
        <v>0.38405210121829375</v>
      </c>
      <c r="O70" s="72" t="e">
        <f t="shared" si="46"/>
        <v>#DIV/0!</v>
      </c>
      <c r="P70" s="72" t="e">
        <f t="shared" si="46"/>
        <v>#DIV/0!</v>
      </c>
      <c r="Q70" s="72">
        <f t="shared" si="46"/>
        <v>-0.22537064899045334</v>
      </c>
      <c r="R70" s="160">
        <f t="shared" si="46"/>
        <v>-3.3317960113482314E-2</v>
      </c>
      <c r="S70" s="176">
        <f t="shared" ref="S70" si="47">(S10-S34)/S6</f>
        <v>-7.3236522633435483E-2</v>
      </c>
    </row>
    <row r="71" spans="1:19" ht="15" customHeight="1" x14ac:dyDescent="0.25">
      <c r="A71" s="170"/>
      <c r="K71" s="55" t="s">
        <v>62</v>
      </c>
      <c r="L71" s="74">
        <f t="shared" ref="L71:R71" si="48">(L63/L60)</f>
        <v>0</v>
      </c>
      <c r="M71" s="74">
        <f t="shared" si="48"/>
        <v>0</v>
      </c>
      <c r="N71" s="74">
        <f t="shared" si="48"/>
        <v>9.8087297694948502E-3</v>
      </c>
      <c r="O71" s="74">
        <f t="shared" si="48"/>
        <v>4.7543581616481777E-2</v>
      </c>
      <c r="P71" s="74">
        <f t="shared" si="48"/>
        <v>2.551020408163265E-2</v>
      </c>
      <c r="Q71" s="75">
        <f t="shared" si="48"/>
        <v>0</v>
      </c>
      <c r="R71" s="162">
        <f t="shared" si="48"/>
        <v>0</v>
      </c>
      <c r="S71" s="180">
        <f t="shared" ref="S71" si="49">(S63/S60)</f>
        <v>0</v>
      </c>
    </row>
    <row r="72" spans="1:19" ht="15" customHeight="1" x14ac:dyDescent="0.25">
      <c r="A72" s="170"/>
      <c r="K72" s="55" t="s">
        <v>63</v>
      </c>
      <c r="L72" s="87"/>
      <c r="M72" s="88" t="e">
        <f>(AVERAGE(L32:M32)/#REF!*365)</f>
        <v>#DIV/0!</v>
      </c>
      <c r="N72" s="76">
        <f t="shared" ref="N72:S72" si="50">(AVERAGE(M32:N32)/D4*365)</f>
        <v>142.5032338573908</v>
      </c>
      <c r="O72" s="76" t="e">
        <f t="shared" si="50"/>
        <v>#DIV/0!</v>
      </c>
      <c r="P72" s="76" t="e">
        <f t="shared" si="50"/>
        <v>#DIV/0!</v>
      </c>
      <c r="Q72" s="76">
        <f t="shared" si="50"/>
        <v>120.43407749550936</v>
      </c>
      <c r="R72" s="163">
        <f t="shared" si="50"/>
        <v>42.495671061457422</v>
      </c>
      <c r="S72" s="181">
        <f t="shared" si="50"/>
        <v>75.3995398559791</v>
      </c>
    </row>
    <row r="73" spans="1:19" ht="15" customHeight="1" x14ac:dyDescent="0.25">
      <c r="A73" s="170"/>
      <c r="K73" s="55" t="s">
        <v>64</v>
      </c>
      <c r="L73" s="87"/>
      <c r="M73" s="88" t="e">
        <f>AVERAGE(L42:M42)/(C8+C9)*365</f>
        <v>#DIV/0!</v>
      </c>
      <c r="N73" s="76">
        <f>AVERAGE(M42:N42)/(D8+D9)*365</f>
        <v>70.843661827859492</v>
      </c>
      <c r="O73" s="76" t="e">
        <f>AVERAGE(N42:O42)/(E8+E9)*365</f>
        <v>#DIV/0!</v>
      </c>
      <c r="P73" s="76" t="e">
        <f>AVERAGE(O42:P42)/(F8+F9)*365</f>
        <v>#DIV/0!</v>
      </c>
      <c r="Q73" s="76">
        <f>AVERAGE(P42:Q42)/(G8+G9)*365</f>
        <v>500.53193609714214</v>
      </c>
      <c r="R73" s="163">
        <f>AVERAGE(Q42:R42)/(H7)*365</f>
        <v>83.101974018872227</v>
      </c>
      <c r="S73" s="181">
        <f>AVERAGE(R42:S42)/(I7)*365</f>
        <v>74.178174568778715</v>
      </c>
    </row>
    <row r="74" spans="1:19" ht="15" customHeight="1" x14ac:dyDescent="0.25">
      <c r="A74" s="170"/>
      <c r="K74" s="55" t="s">
        <v>65</v>
      </c>
      <c r="L74" s="195"/>
      <c r="M74" s="183" t="e">
        <f>(AVERAGE(L30:M30)/(C8+C9)*365)</f>
        <v>#DIV/0!</v>
      </c>
      <c r="N74" s="28">
        <f>(AVERAGE(M30:N30)/(D8+D9)*365)</f>
        <v>219.998975817066</v>
      </c>
      <c r="O74" s="28" t="e">
        <f>(AVERAGE(N30:O30)/(E8+E9)*365)</f>
        <v>#DIV/0!</v>
      </c>
      <c r="P74" s="28" t="e">
        <f>(AVERAGE(O30:P30)/(F8+F9)*365)</f>
        <v>#DIV/0!</v>
      </c>
      <c r="Q74" s="28">
        <f>(AVERAGE(P30:Q30)/(G8+G9)*365)</f>
        <v>791.1401861278058</v>
      </c>
      <c r="R74" s="184">
        <f>(AVERAGE(Q30:R30)/(H7)*365)</f>
        <v>147.92412474247777</v>
      </c>
      <c r="S74" s="185">
        <f>(AVERAGE(R30:S30)/(I7)*365)</f>
        <v>141.51477420473259</v>
      </c>
    </row>
    <row r="75" spans="1:19" ht="15" customHeight="1" x14ac:dyDescent="0.25">
      <c r="A75" s="170"/>
      <c r="K75" s="55" t="s">
        <v>81</v>
      </c>
      <c r="L75" s="183"/>
      <c r="M75" s="183" t="e">
        <f t="shared" ref="M75:Q75" si="51">(M74+M72-M73)</f>
        <v>#DIV/0!</v>
      </c>
      <c r="N75" s="28">
        <f t="shared" si="51"/>
        <v>291.65854784659734</v>
      </c>
      <c r="O75" s="28" t="e">
        <f t="shared" si="51"/>
        <v>#DIV/0!</v>
      </c>
      <c r="P75" s="28" t="e">
        <f t="shared" si="51"/>
        <v>#DIV/0!</v>
      </c>
      <c r="Q75" s="28">
        <f t="shared" si="51"/>
        <v>411.04232752617298</v>
      </c>
      <c r="R75" s="184">
        <f t="shared" ref="R75:S75" si="52">(R74+R72-R73)</f>
        <v>107.31782178506296</v>
      </c>
      <c r="S75" s="185">
        <f t="shared" si="52"/>
        <v>142.73613949193299</v>
      </c>
    </row>
    <row r="76" spans="1:19" ht="15" customHeight="1" x14ac:dyDescent="0.25">
      <c r="A76" s="170"/>
      <c r="K76" s="55" t="s">
        <v>66</v>
      </c>
      <c r="L76" s="183"/>
      <c r="M76" s="183" t="e">
        <f>AVERAGE(L48:M48)/#REF!*365</f>
        <v>#REF!</v>
      </c>
      <c r="N76" s="28">
        <f t="shared" ref="N76:S76" si="53">AVERAGE(M48:N48)/D4*365</f>
        <v>55.60554900069603</v>
      </c>
      <c r="O76" s="28" t="e">
        <f t="shared" si="53"/>
        <v>#DIV/0!</v>
      </c>
      <c r="P76" s="28" t="e">
        <f t="shared" si="53"/>
        <v>#DIV/0!</v>
      </c>
      <c r="Q76" s="28">
        <f t="shared" si="53"/>
        <v>564.08675391326665</v>
      </c>
      <c r="R76" s="184">
        <f t="shared" si="53"/>
        <v>254.3010167834488</v>
      </c>
      <c r="S76" s="185">
        <f t="shared" si="53"/>
        <v>369.29024939527898</v>
      </c>
    </row>
    <row r="77" spans="1:19" ht="15" customHeight="1" x14ac:dyDescent="0.25">
      <c r="A77" s="170"/>
      <c r="K77" s="57" t="s">
        <v>86</v>
      </c>
      <c r="L77" s="186"/>
      <c r="M77" s="187" t="e">
        <f t="shared" ref="M77:P77" si="54">C19/M10</f>
        <v>#DIV/0!</v>
      </c>
      <c r="N77" s="187">
        <f t="shared" si="54"/>
        <v>0.15133434736343368</v>
      </c>
      <c r="O77" s="187" t="e">
        <f t="shared" si="54"/>
        <v>#DIV/0!</v>
      </c>
      <c r="P77" s="187" t="e">
        <f t="shared" si="54"/>
        <v>#DIV/0!</v>
      </c>
      <c r="Q77" s="187">
        <v>0</v>
      </c>
      <c r="R77" s="188">
        <v>0</v>
      </c>
      <c r="S77" s="189">
        <v>0</v>
      </c>
    </row>
    <row r="78" spans="1:19" ht="15" customHeight="1" thickBot="1" x14ac:dyDescent="0.3">
      <c r="A78" s="190"/>
      <c r="B78" s="182"/>
      <c r="C78" s="182"/>
      <c r="D78" s="182"/>
      <c r="E78" s="182"/>
      <c r="F78" s="191"/>
      <c r="G78" s="182"/>
      <c r="H78" s="182"/>
      <c r="I78" s="182"/>
      <c r="J78" s="191"/>
      <c r="K78" s="41" t="s">
        <v>108</v>
      </c>
      <c r="L78" s="42"/>
      <c r="M78" s="42"/>
      <c r="N78" s="192">
        <f t="shared" ref="N78:S78" si="55">(D13-D18)/D19</f>
        <v>2.7903646314550494</v>
      </c>
      <c r="O78" s="192" t="e">
        <f t="shared" si="55"/>
        <v>#DIV/0!</v>
      </c>
      <c r="P78" s="192" t="e">
        <f t="shared" si="55"/>
        <v>#DIV/0!</v>
      </c>
      <c r="Q78" s="192">
        <f t="shared" si="55"/>
        <v>22.916583316663335</v>
      </c>
      <c r="R78" s="193">
        <f t="shared" si="55"/>
        <v>99.351069155402968</v>
      </c>
      <c r="S78" s="194">
        <f t="shared" si="55"/>
        <v>18.951765386841597</v>
      </c>
    </row>
    <row r="80" spans="1:19" ht="15" customHeight="1" x14ac:dyDescent="0.25">
      <c r="L80" s="30"/>
      <c r="M80" s="30"/>
      <c r="N80" s="30"/>
      <c r="O80" s="30"/>
    </row>
    <row r="92" spans="12:12" ht="15" customHeight="1" x14ac:dyDescent="0.25">
      <c r="L92" s="1"/>
    </row>
    <row r="93" spans="12:12" ht="15" customHeight="1" x14ac:dyDescent="0.25">
      <c r="L93" s="1"/>
    </row>
    <row r="94" spans="12:12" ht="15" customHeight="1" x14ac:dyDescent="0.25">
      <c r="L94" s="1"/>
    </row>
    <row r="95" spans="12:12" ht="15" customHeight="1" x14ac:dyDescent="0.25">
      <c r="L95" s="31"/>
    </row>
  </sheetData>
  <mergeCells count="5">
    <mergeCell ref="K58:R58"/>
    <mergeCell ref="A37:H37"/>
    <mergeCell ref="A2:I2"/>
    <mergeCell ref="A1:S1"/>
    <mergeCell ref="K2:S2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47" orientation="landscape" horizontalDpi="1200" verticalDpi="1200" r:id="rId1"/>
  <ignoredErrors>
    <ignoredError sqref="K77:P77 K72:M74 J7:R7 J9:N9 K10:R10 L15:M15 K56:R59 K54:M54 K41:R41 D35:H36 K19:N19 K31:M31 K29:N29 K30:N30 K22:M22 R22 L23:N23 R31 K32:N32 L53:O53 K50:N50 K11:P12 D4 E30:H30 D64:H69 K61:R62 K60 K75:Q75 K71:Q71 K64:R67 B27:C28 D45:H47 K47:R48 K42:N42 K63:M63 D38:H38 L38:M39 D29:H29 D56:H58 D52:D53 D14:H14 D27 D22 E33:H33 K37:N37 L36:N36 K46:N46 K43:N43 L52:N52 D48:D50 D55 D7:H7 D6:G6 D15:G15 E31:G31 D34:G34 D23:H23 B14:C15 B22:C24 B21 K76:M76 K69:R70 K68:N68 P68:R68 B11:D12 D44 B5:C9 B20:F20 D8:D9 J14:J69 L34:N34 K16:N16 L20:N20 L24:N24 L25:N25 K55:P55 J8:N8 K44:N44 K45:N45 K49:N49 J12:J13 J11 B18:D19 D39 D40 D41 D42 D43 G53 G44 D60:D63 G61 D24 F24:H24 G63:H63 G60" evalError="1"/>
    <ignoredError sqref="N73:Q74" evalError="1" formulaRange="1"/>
    <ignoredError sqref="R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80"/>
  <sheetViews>
    <sheetView showGridLines="0" tabSelected="1" zoomScale="52" zoomScaleNormal="85" zoomScaleSheetLayoutView="85" workbookViewId="0">
      <selection activeCell="M51" sqref="M51"/>
    </sheetView>
  </sheetViews>
  <sheetFormatPr defaultColWidth="9.109375" defaultRowHeight="15" customHeight="1" x14ac:dyDescent="0.25"/>
  <cols>
    <col min="1" max="1" width="50.6640625" style="1" customWidth="1"/>
    <col min="2" max="5" width="12.6640625" style="20" hidden="1" customWidth="1"/>
    <col min="6" max="6" width="12.6640625" style="1" hidden="1" customWidth="1"/>
    <col min="7" max="8" width="12.6640625" style="20" hidden="1" customWidth="1"/>
    <col min="9" max="12" width="12.6640625" style="20" customWidth="1"/>
    <col min="13" max="13" width="12.44140625" style="20" customWidth="1"/>
    <col min="14" max="14" width="3.6640625" style="1" customWidth="1"/>
    <col min="15" max="15" width="43.6640625" style="1" customWidth="1"/>
    <col min="16" max="21" width="12.6640625" style="20" hidden="1" customWidth="1"/>
    <col min="22" max="22" width="12.6640625" style="1" hidden="1" customWidth="1"/>
    <col min="23" max="23" width="12.6640625" style="29" hidden="1" customWidth="1"/>
    <col min="24" max="24" width="0.33203125" style="1" hidden="1" customWidth="1"/>
    <col min="25" max="29" width="12.6640625" style="1" customWidth="1"/>
    <col min="30" max="30" width="21.44140625" style="1" bestFit="1" customWidth="1"/>
    <col min="31" max="16384" width="9.109375" style="1"/>
  </cols>
  <sheetData>
    <row r="1" spans="1:30" ht="15" customHeight="1" x14ac:dyDescent="0.25">
      <c r="A1" s="302" t="s">
        <v>152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221"/>
    </row>
    <row r="2" spans="1:30" ht="15" customHeight="1" x14ac:dyDescent="0.25">
      <c r="A2" s="300" t="s">
        <v>106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57"/>
      <c r="N2" s="21"/>
      <c r="O2" s="300" t="s">
        <v>107</v>
      </c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222"/>
    </row>
    <row r="3" spans="1:30" ht="15" customHeight="1" x14ac:dyDescent="0.25">
      <c r="A3" s="258" t="s">
        <v>0</v>
      </c>
      <c r="B3" s="228" t="s">
        <v>31</v>
      </c>
      <c r="C3" s="228" t="s">
        <v>32</v>
      </c>
      <c r="D3" s="228" t="s">
        <v>33</v>
      </c>
      <c r="E3" s="228" t="s">
        <v>34</v>
      </c>
      <c r="F3" s="228" t="s">
        <v>35</v>
      </c>
      <c r="G3" s="229" t="s">
        <v>85</v>
      </c>
      <c r="H3" s="229" t="s">
        <v>90</v>
      </c>
      <c r="I3" s="229" t="s">
        <v>181</v>
      </c>
      <c r="J3" s="229" t="s">
        <v>192</v>
      </c>
      <c r="K3" s="229" t="s">
        <v>194</v>
      </c>
      <c r="L3" s="229" t="s">
        <v>196</v>
      </c>
      <c r="M3" s="229" t="s">
        <v>201</v>
      </c>
      <c r="N3" s="21"/>
      <c r="O3" s="258" t="s">
        <v>0</v>
      </c>
      <c r="P3" s="237" t="s">
        <v>31</v>
      </c>
      <c r="Q3" s="237" t="s">
        <v>32</v>
      </c>
      <c r="R3" s="228" t="s">
        <v>33</v>
      </c>
      <c r="S3" s="228" t="s">
        <v>34</v>
      </c>
      <c r="T3" s="228"/>
      <c r="U3" s="228"/>
      <c r="V3" s="228" t="s">
        <v>35</v>
      </c>
      <c r="W3" s="238" t="s">
        <v>85</v>
      </c>
      <c r="X3" s="229" t="s">
        <v>90</v>
      </c>
      <c r="Y3" s="229" t="s">
        <v>181</v>
      </c>
      <c r="Z3" s="228" t="s">
        <v>192</v>
      </c>
      <c r="AA3" s="229" t="s">
        <v>194</v>
      </c>
      <c r="AB3" s="229" t="s">
        <v>196</v>
      </c>
      <c r="AC3" s="229" t="s">
        <v>201</v>
      </c>
      <c r="AD3" s="223"/>
    </row>
    <row r="4" spans="1:30" ht="15" customHeight="1" x14ac:dyDescent="0.25">
      <c r="A4" s="266" t="s">
        <v>1</v>
      </c>
      <c r="B4" s="6"/>
      <c r="C4" s="6">
        <v>2920.9041130000001</v>
      </c>
      <c r="D4" s="6">
        <v>2966.155182</v>
      </c>
      <c r="E4" s="6">
        <v>516.46199999999999</v>
      </c>
      <c r="F4" s="6">
        <v>255.67</v>
      </c>
      <c r="G4" s="6">
        <v>487.125</v>
      </c>
      <c r="H4" s="6">
        <v>2651.4070000000002</v>
      </c>
      <c r="I4" s="6">
        <v>2020.54</v>
      </c>
      <c r="J4" s="6">
        <v>1138.6500000000001</v>
      </c>
      <c r="K4" s="6">
        <v>1557.25</v>
      </c>
      <c r="L4" s="209">
        <v>5589.1530000000002</v>
      </c>
      <c r="M4" s="209">
        <v>7491.3130000000001</v>
      </c>
      <c r="N4" s="256"/>
      <c r="O4" s="15" t="s">
        <v>36</v>
      </c>
      <c r="P4" s="9"/>
      <c r="Q4" s="9"/>
      <c r="R4" s="9">
        <v>317.43792999999999</v>
      </c>
      <c r="S4" s="9"/>
      <c r="T4" s="9"/>
      <c r="U4" s="9"/>
      <c r="V4" s="9">
        <v>1305.0930000000001</v>
      </c>
      <c r="W4" s="9">
        <v>1305.0930000000001</v>
      </c>
      <c r="X4" s="9">
        <v>1305.0930000000001</v>
      </c>
      <c r="Y4" s="9">
        <v>1322.59</v>
      </c>
      <c r="Z4" s="9">
        <v>1322.5930000000001</v>
      </c>
      <c r="AA4" s="9">
        <v>1322.5930000000001</v>
      </c>
      <c r="AB4" s="207">
        <v>1322.5930000000001</v>
      </c>
      <c r="AC4" s="207">
        <v>1322.5930000000001</v>
      </c>
      <c r="AD4" s="204"/>
    </row>
    <row r="5" spans="1:30" ht="15" customHeight="1" x14ac:dyDescent="0.25">
      <c r="A5" s="267" t="s">
        <v>2</v>
      </c>
      <c r="B5" s="67"/>
      <c r="C5" s="61" t="e">
        <f>(#REF!/#REF!-1)</f>
        <v>#REF!</v>
      </c>
      <c r="D5" s="61">
        <f t="shared" ref="D5:H5" si="0">(D4/C4-1)</f>
        <v>1.5492144640627536E-2</v>
      </c>
      <c r="E5" s="61">
        <f t="shared" si="0"/>
        <v>-0.82588166555339715</v>
      </c>
      <c r="F5" s="61">
        <f t="shared" si="0"/>
        <v>-0.50495873849382922</v>
      </c>
      <c r="G5" s="61">
        <f t="shared" si="0"/>
        <v>0.90528806664841399</v>
      </c>
      <c r="H5" s="61">
        <f t="shared" si="0"/>
        <v>4.4429704901206062</v>
      </c>
      <c r="I5" s="227">
        <f>(I4/H4-1)</f>
        <v>-0.23793668795473499</v>
      </c>
      <c r="J5" s="227">
        <f>(J4/I4-1)</f>
        <v>-0.43646252981876121</v>
      </c>
      <c r="K5" s="227">
        <f>(K4/J4-1)</f>
        <v>0.36762833179642551</v>
      </c>
      <c r="L5" s="271">
        <f>(L4/K4-1)</f>
        <v>2.5891173543104835</v>
      </c>
      <c r="M5" s="271">
        <f>(M4/L4-1)</f>
        <v>0.34033063686036136</v>
      </c>
      <c r="O5" s="15" t="s">
        <v>197</v>
      </c>
      <c r="P5" s="9"/>
      <c r="Q5" s="9"/>
      <c r="R5" s="9">
        <v>1754.3154099999999</v>
      </c>
      <c r="S5" s="9"/>
      <c r="T5" s="9"/>
      <c r="U5" s="9"/>
      <c r="V5" s="9">
        <v>2108.3589999999999</v>
      </c>
      <c r="W5" s="9">
        <v>2526.9810000000002</v>
      </c>
      <c r="X5" s="9">
        <v>4097.28</v>
      </c>
      <c r="Y5" s="9">
        <v>5474.48</v>
      </c>
      <c r="Z5" s="9">
        <v>6009.1</v>
      </c>
      <c r="AA5" s="9">
        <v>6208.6329999999998</v>
      </c>
      <c r="AB5" s="282">
        <v>8149.4319999999998</v>
      </c>
      <c r="AC5" s="282">
        <v>10421.57</v>
      </c>
      <c r="AD5" s="211"/>
    </row>
    <row r="6" spans="1:30" ht="13.2" x14ac:dyDescent="0.25">
      <c r="A6" s="267" t="s">
        <v>119</v>
      </c>
      <c r="B6" s="10"/>
      <c r="C6" s="12"/>
      <c r="D6" s="12"/>
      <c r="E6" s="12"/>
      <c r="F6" s="11"/>
      <c r="G6" s="61">
        <f t="shared" ref="G6:K6" si="1">+((G4/D4)^(1/3)-1)</f>
        <v>-0.4523763653046049</v>
      </c>
      <c r="H6" s="61">
        <f t="shared" si="1"/>
        <v>0.72509364491014749</v>
      </c>
      <c r="I6" s="227">
        <f t="shared" si="1"/>
        <v>0.99187719930363949</v>
      </c>
      <c r="J6" s="227">
        <f t="shared" si="1"/>
        <v>0.32713960748745552</v>
      </c>
      <c r="K6" s="227">
        <f t="shared" si="1"/>
        <v>-0.16254660599493786</v>
      </c>
      <c r="L6" s="271">
        <f>+((L4/I4)^(1/3)-1)</f>
        <v>0.40375995331635428</v>
      </c>
      <c r="M6" s="271">
        <f>+((M4/J4)^(1/3)-1)</f>
        <v>0.87379710736267002</v>
      </c>
      <c r="O6" s="253" t="s">
        <v>38</v>
      </c>
      <c r="P6" s="226">
        <f t="shared" ref="P6:X6" si="2">(P4+P5)</f>
        <v>0</v>
      </c>
      <c r="Q6" s="226">
        <f t="shared" si="2"/>
        <v>0</v>
      </c>
      <c r="R6" s="226">
        <f t="shared" si="2"/>
        <v>2071.7533399999998</v>
      </c>
      <c r="S6" s="226">
        <f t="shared" si="2"/>
        <v>0</v>
      </c>
      <c r="T6" s="226"/>
      <c r="U6" s="226"/>
      <c r="V6" s="226">
        <f t="shared" si="2"/>
        <v>3413.4520000000002</v>
      </c>
      <c r="W6" s="226">
        <f t="shared" si="2"/>
        <v>3832.0740000000005</v>
      </c>
      <c r="X6" s="226">
        <f t="shared" si="2"/>
        <v>5402.3729999999996</v>
      </c>
      <c r="Y6" s="226">
        <f>(Y4+Y5)</f>
        <v>6797.07</v>
      </c>
      <c r="Z6" s="226">
        <f>(Z4+Z5)</f>
        <v>7331.6930000000002</v>
      </c>
      <c r="AA6" s="226">
        <f>(AA4+AA5)</f>
        <v>7531.2259999999997</v>
      </c>
      <c r="AB6" s="283">
        <f>(AB4+AB5)</f>
        <v>9472.0249999999996</v>
      </c>
      <c r="AC6" s="283">
        <f>(AC4+AC5)</f>
        <v>11744.163</v>
      </c>
      <c r="AD6" s="23"/>
    </row>
    <row r="7" spans="1:30" ht="15" customHeight="1" x14ac:dyDescent="0.25">
      <c r="A7" s="266" t="s">
        <v>3</v>
      </c>
      <c r="B7" s="59">
        <f t="shared" ref="B7:J7" si="3">SUM(B8:B13)</f>
        <v>0</v>
      </c>
      <c r="C7" s="59">
        <f t="shared" si="3"/>
        <v>2487.450343</v>
      </c>
      <c r="D7" s="59">
        <f t="shared" si="3"/>
        <v>2494.5570240000002</v>
      </c>
      <c r="E7" s="59">
        <f t="shared" si="3"/>
        <v>433.18499999999995</v>
      </c>
      <c r="F7" s="59">
        <f t="shared" si="3"/>
        <v>242.24299999999999</v>
      </c>
      <c r="G7" s="59">
        <f t="shared" si="3"/>
        <v>180.21899999999999</v>
      </c>
      <c r="H7" s="59">
        <f t="shared" si="3"/>
        <v>780.25199999999995</v>
      </c>
      <c r="I7" s="226">
        <f t="shared" si="3"/>
        <v>774.58</v>
      </c>
      <c r="J7" s="226">
        <f t="shared" si="3"/>
        <v>597.29999999999995</v>
      </c>
      <c r="K7" s="226">
        <f>SUM(K8:K13)</f>
        <v>768.11199999999985</v>
      </c>
      <c r="L7" s="209">
        <f>SUM(L8:L13)</f>
        <v>2467.2860000000005</v>
      </c>
      <c r="M7" s="209">
        <f>SUM(M8:M13)</f>
        <v>4410.0239999999994</v>
      </c>
      <c r="O7" s="15" t="s">
        <v>39</v>
      </c>
      <c r="P7" s="9"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05"/>
      <c r="AC7" s="205"/>
      <c r="AD7" s="211"/>
    </row>
    <row r="8" spans="1:30" ht="15" customHeight="1" x14ac:dyDescent="0.25">
      <c r="A8" s="15" t="s">
        <v>173</v>
      </c>
      <c r="B8" s="9"/>
      <c r="C8" s="9">
        <v>1300.33491</v>
      </c>
      <c r="D8" s="9">
        <v>1491.6484210000001</v>
      </c>
      <c r="E8" s="9">
        <v>125.035</v>
      </c>
      <c r="F8" s="9">
        <v>113.30200000000001</v>
      </c>
      <c r="G8" s="9">
        <v>111.584</v>
      </c>
      <c r="H8" s="9">
        <v>372.084</v>
      </c>
      <c r="I8" s="9">
        <v>353.36</v>
      </c>
      <c r="J8" s="9">
        <v>295.39</v>
      </c>
      <c r="K8" s="9">
        <v>282.28899999999999</v>
      </c>
      <c r="L8" s="207">
        <v>1764.94</v>
      </c>
      <c r="M8" s="207">
        <v>2782.6619999999998</v>
      </c>
      <c r="O8" s="15" t="s">
        <v>40</v>
      </c>
      <c r="P8" s="9"/>
      <c r="Q8" s="9"/>
      <c r="R8" s="9">
        <v>165.77601200000001</v>
      </c>
      <c r="S8" s="9"/>
      <c r="T8" s="9"/>
      <c r="U8" s="9"/>
      <c r="V8" s="9">
        <v>0</v>
      </c>
      <c r="W8" s="9">
        <v>2.4860000000000002</v>
      </c>
      <c r="X8" s="9">
        <v>1.776</v>
      </c>
      <c r="Y8" s="9">
        <v>319.69</v>
      </c>
      <c r="Z8" s="9">
        <v>1591.69</v>
      </c>
      <c r="AA8" s="9">
        <v>2046.145</v>
      </c>
      <c r="AB8" s="282">
        <v>933.53300000000002</v>
      </c>
      <c r="AC8" s="282">
        <v>821.24699999999996</v>
      </c>
      <c r="AD8" s="211"/>
    </row>
    <row r="9" spans="1:30" ht="15" customHeight="1" x14ac:dyDescent="0.25">
      <c r="A9" s="15" t="s">
        <v>154</v>
      </c>
      <c r="B9" s="9"/>
      <c r="C9" s="9">
        <v>-44.474930999999998</v>
      </c>
      <c r="D9" s="9">
        <v>-193.86621099999999</v>
      </c>
      <c r="E9" s="9">
        <f>83.901+29.286+28.127</f>
        <v>141.31399999999999</v>
      </c>
      <c r="F9" s="9">
        <f>1.014+2.852</f>
        <v>3.8659999999999997</v>
      </c>
      <c r="G9" s="9">
        <v>18.864000000000001</v>
      </c>
      <c r="H9" s="9">
        <v>208.37799999999999</v>
      </c>
      <c r="I9" s="9">
        <v>218.15</v>
      </c>
      <c r="J9" s="9">
        <v>244.53</v>
      </c>
      <c r="K9" s="9">
        <v>323.45600000000002</v>
      </c>
      <c r="L9" s="207">
        <v>677.96900000000005</v>
      </c>
      <c r="M9" s="207">
        <v>635.53399999999999</v>
      </c>
      <c r="O9" s="15" t="s">
        <v>41</v>
      </c>
      <c r="P9" s="9"/>
      <c r="Q9" s="9"/>
      <c r="R9" s="9">
        <v>704.25010099999997</v>
      </c>
      <c r="S9" s="9"/>
      <c r="T9" s="9"/>
      <c r="U9" s="9"/>
      <c r="V9" s="9">
        <v>0</v>
      </c>
      <c r="W9" s="9">
        <v>0</v>
      </c>
      <c r="X9" s="9">
        <v>117.589</v>
      </c>
      <c r="Y9" s="9">
        <v>128.15</v>
      </c>
      <c r="Z9" s="9">
        <v>945.2</v>
      </c>
      <c r="AA9" s="9">
        <v>1527.289</v>
      </c>
      <c r="AB9" s="282">
        <v>2708.4470000000001</v>
      </c>
      <c r="AC9" s="282">
        <v>919.548</v>
      </c>
      <c r="AD9" s="211"/>
    </row>
    <row r="10" spans="1:30" ht="15" customHeight="1" x14ac:dyDescent="0.25">
      <c r="A10" s="15" t="s">
        <v>195</v>
      </c>
      <c r="B10" s="9"/>
      <c r="C10" s="9"/>
      <c r="D10" s="9"/>
      <c r="E10" s="9"/>
      <c r="F10" s="9"/>
      <c r="G10" s="203" t="s">
        <v>193</v>
      </c>
      <c r="H10" s="203" t="s">
        <v>193</v>
      </c>
      <c r="I10" s="203" t="s">
        <v>193</v>
      </c>
      <c r="J10" s="203" t="s">
        <v>193</v>
      </c>
      <c r="K10" s="9">
        <v>26.675000000000001</v>
      </c>
      <c r="L10" s="207">
        <v>264.69499999999999</v>
      </c>
      <c r="M10" s="207">
        <v>449.798</v>
      </c>
      <c r="O10" s="253" t="s">
        <v>42</v>
      </c>
      <c r="P10" s="226">
        <f t="shared" ref="P10:W10" si="4">(P8+P9)</f>
        <v>0</v>
      </c>
      <c r="Q10" s="226">
        <f t="shared" si="4"/>
        <v>0</v>
      </c>
      <c r="R10" s="226">
        <f t="shared" si="4"/>
        <v>870.02611300000001</v>
      </c>
      <c r="S10" s="226">
        <f t="shared" si="4"/>
        <v>0</v>
      </c>
      <c r="T10" s="226"/>
      <c r="U10" s="226"/>
      <c r="V10" s="226">
        <f t="shared" si="4"/>
        <v>0</v>
      </c>
      <c r="W10" s="226">
        <f t="shared" si="4"/>
        <v>2.4860000000000002</v>
      </c>
      <c r="X10" s="226">
        <f t="shared" ref="X10:AB10" si="5">(X8+X9)</f>
        <v>119.36499999999999</v>
      </c>
      <c r="Y10" s="226">
        <f t="shared" si="5"/>
        <v>447.84000000000003</v>
      </c>
      <c r="Z10" s="226">
        <f t="shared" si="5"/>
        <v>2536.8900000000003</v>
      </c>
      <c r="AA10" s="226">
        <f t="shared" si="5"/>
        <v>3573.4340000000002</v>
      </c>
      <c r="AB10" s="283">
        <f t="shared" si="5"/>
        <v>3641.98</v>
      </c>
      <c r="AC10" s="283">
        <f>(AC8+AC9)</f>
        <v>1740.7950000000001</v>
      </c>
      <c r="AD10" s="23"/>
    </row>
    <row r="11" spans="1:30" ht="15" customHeight="1" x14ac:dyDescent="0.25">
      <c r="A11" s="15" t="s">
        <v>174</v>
      </c>
      <c r="B11" s="9"/>
      <c r="C11" s="9"/>
      <c r="D11" s="9"/>
      <c r="E11" s="9">
        <v>31.558</v>
      </c>
      <c r="F11" s="9">
        <v>-3.0779999999999998</v>
      </c>
      <c r="G11" s="9">
        <v>-45.472000000000001</v>
      </c>
      <c r="H11" s="9">
        <v>41.814</v>
      </c>
      <c r="I11" s="9">
        <v>4.33</v>
      </c>
      <c r="J11" s="9">
        <v>-32.950000000000003</v>
      </c>
      <c r="K11" s="9">
        <v>37.909999999999997</v>
      </c>
      <c r="L11" s="207">
        <v>-594.9</v>
      </c>
      <c r="M11" s="207">
        <v>320.54599999999999</v>
      </c>
      <c r="O11" s="253" t="s">
        <v>43</v>
      </c>
      <c r="P11" s="226">
        <f t="shared" ref="P11:S11" si="6">(P6+P8+P7+P52+P51+P49)</f>
        <v>0</v>
      </c>
      <c r="Q11" s="226">
        <f t="shared" si="6"/>
        <v>0</v>
      </c>
      <c r="R11" s="226">
        <f t="shared" si="6"/>
        <v>2300.0839699999997</v>
      </c>
      <c r="S11" s="226">
        <f t="shared" si="6"/>
        <v>0</v>
      </c>
      <c r="T11" s="226"/>
      <c r="U11" s="226"/>
      <c r="V11" s="226">
        <f>(V6+V8+V7+V50+V52+V51+V49+V53)</f>
        <v>4573.0430000000006</v>
      </c>
      <c r="W11" s="226">
        <f>(W6+W8+W7+W50+W52+W51+W49+W53)</f>
        <v>5023.9059999999999</v>
      </c>
      <c r="X11" s="226">
        <f>(X6+X8+X7+X50+X52+X51+X49+X53)</f>
        <v>6683.4819999999991</v>
      </c>
      <c r="Y11" s="226">
        <f>(Y6+Y8+Y7+Y52+Y51+Y49)</f>
        <v>8217.7799999999988</v>
      </c>
      <c r="Z11" s="226">
        <f>(Z6+Z8+Z7+Z52+Z51+Z49)</f>
        <v>10063.983</v>
      </c>
      <c r="AA11" s="226">
        <f>(AA6+AA8+AA7+AA52+AA51+AA49)</f>
        <v>11921.971</v>
      </c>
      <c r="AB11" s="283">
        <f>(AB6+AB8+AB7+AB52+AB51+AB49)</f>
        <v>13041.057999999999</v>
      </c>
      <c r="AC11" s="283">
        <f>(AC6+AC8+AC7+AC52+AC51+AC49)</f>
        <v>15156.344000000001</v>
      </c>
      <c r="AD11" s="23"/>
    </row>
    <row r="12" spans="1:30" ht="15" customHeight="1" x14ac:dyDescent="0.25">
      <c r="A12" s="15" t="s">
        <v>67</v>
      </c>
      <c r="B12" s="9"/>
      <c r="C12" s="9">
        <v>256.98030299999999</v>
      </c>
      <c r="D12" s="9">
        <v>350.77166899999997</v>
      </c>
      <c r="E12" s="9">
        <v>45.796999999999997</v>
      </c>
      <c r="F12" s="9">
        <v>14.282999999999999</v>
      </c>
      <c r="G12" s="9">
        <v>55.793999999999997</v>
      </c>
      <c r="H12" s="9">
        <v>53.195</v>
      </c>
      <c r="I12" s="9">
        <v>55.63</v>
      </c>
      <c r="J12" s="9">
        <v>6.91</v>
      </c>
      <c r="K12" s="9">
        <v>9.3279999999999994</v>
      </c>
      <c r="L12" s="207">
        <v>9.3469999999999995</v>
      </c>
      <c r="M12" s="207">
        <v>17.324000000000002</v>
      </c>
      <c r="O12" s="253" t="s">
        <v>43</v>
      </c>
      <c r="P12" s="226">
        <f t="shared" ref="P12:X12" si="7">P54-P41-P9</f>
        <v>0</v>
      </c>
      <c r="Q12" s="226">
        <f t="shared" si="7"/>
        <v>0</v>
      </c>
      <c r="R12" s="226">
        <f t="shared" si="7"/>
        <v>2300.0839689999998</v>
      </c>
      <c r="S12" s="226">
        <f t="shared" si="7"/>
        <v>0</v>
      </c>
      <c r="T12" s="226"/>
      <c r="U12" s="226"/>
      <c r="V12" s="226">
        <f t="shared" si="7"/>
        <v>4573.0430000000006</v>
      </c>
      <c r="W12" s="226">
        <f t="shared" si="7"/>
        <v>5024.9529999999995</v>
      </c>
      <c r="X12" s="226">
        <f t="shared" si="7"/>
        <v>6683.4920000000002</v>
      </c>
      <c r="Y12" s="226">
        <f>Y54-Y41-Y9</f>
        <v>8217.75</v>
      </c>
      <c r="Z12" s="226">
        <f>Z54-Z41-Z9</f>
        <v>10063.981</v>
      </c>
      <c r="AA12" s="226">
        <f>AA54-AA41-AA9</f>
        <v>11921.902000000002</v>
      </c>
      <c r="AB12" s="283">
        <f>AB54-AB41-AB9</f>
        <v>13041.079000000002</v>
      </c>
      <c r="AC12" s="283">
        <f>AC54-AC41-AC9</f>
        <v>15156.343999999999</v>
      </c>
      <c r="AD12" s="23"/>
    </row>
    <row r="13" spans="1:30" ht="15" customHeight="1" x14ac:dyDescent="0.25">
      <c r="A13" s="15" t="s">
        <v>68</v>
      </c>
      <c r="B13" s="9"/>
      <c r="C13" s="9">
        <v>974.61006099999997</v>
      </c>
      <c r="D13" s="9">
        <v>846.00314500000002</v>
      </c>
      <c r="E13" s="9">
        <v>89.480999999999995</v>
      </c>
      <c r="F13" s="9">
        <v>113.87</v>
      </c>
      <c r="G13" s="9">
        <v>39.448999999999998</v>
      </c>
      <c r="H13" s="9">
        <v>104.78100000000001</v>
      </c>
      <c r="I13" s="9">
        <v>143.11000000000001</v>
      </c>
      <c r="J13" s="9">
        <v>83.42</v>
      </c>
      <c r="K13" s="9">
        <v>88.453999999999994</v>
      </c>
      <c r="L13" s="207">
        <v>345.23500000000001</v>
      </c>
      <c r="M13" s="207">
        <v>204.16</v>
      </c>
      <c r="O13" s="15"/>
      <c r="P13" s="9">
        <f>P11-P12</f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205"/>
      <c r="AC13" s="205"/>
      <c r="AD13" s="211"/>
    </row>
    <row r="14" spans="1:30" ht="15" customHeight="1" x14ac:dyDescent="0.25">
      <c r="A14" s="266" t="s">
        <v>4</v>
      </c>
      <c r="B14" s="59">
        <v>0</v>
      </c>
      <c r="C14" s="59">
        <f t="shared" ref="C14:K14" si="8">(C4-C7)</f>
        <v>433.45377000000008</v>
      </c>
      <c r="D14" s="59">
        <f t="shared" si="8"/>
        <v>471.59815799999978</v>
      </c>
      <c r="E14" s="59">
        <f t="shared" si="8"/>
        <v>83.277000000000044</v>
      </c>
      <c r="F14" s="59">
        <f t="shared" si="8"/>
        <v>13.426999999999992</v>
      </c>
      <c r="G14" s="59">
        <f t="shared" si="8"/>
        <v>306.90600000000001</v>
      </c>
      <c r="H14" s="59">
        <f t="shared" si="8"/>
        <v>1871.1550000000002</v>
      </c>
      <c r="I14" s="226">
        <f t="shared" si="8"/>
        <v>1245.96</v>
      </c>
      <c r="J14" s="226">
        <f t="shared" si="8"/>
        <v>541.35000000000014</v>
      </c>
      <c r="K14" s="226">
        <f t="shared" si="8"/>
        <v>789.13800000000015</v>
      </c>
      <c r="L14" s="209">
        <f>(L4-L7)</f>
        <v>3121.8669999999997</v>
      </c>
      <c r="M14" s="209">
        <f>(M4-M7)</f>
        <v>3081.2890000000007</v>
      </c>
      <c r="O14" s="259"/>
      <c r="P14" s="93"/>
      <c r="Q14" s="93"/>
      <c r="R14" s="93">
        <v>1481.9677489999999</v>
      </c>
      <c r="S14" s="93">
        <v>1643.694</v>
      </c>
      <c r="T14" s="93"/>
      <c r="U14" s="93"/>
      <c r="V14" s="93">
        <v>1878.067</v>
      </c>
      <c r="W14" s="93"/>
      <c r="X14" s="93"/>
      <c r="Y14" s="93"/>
      <c r="Z14" s="93"/>
      <c r="AA14" s="93"/>
      <c r="AB14" s="206"/>
      <c r="AC14" s="206"/>
      <c r="AD14" s="224"/>
    </row>
    <row r="15" spans="1:30" ht="15" customHeight="1" x14ac:dyDescent="0.25">
      <c r="A15" s="267" t="s">
        <v>2</v>
      </c>
      <c r="B15" s="61"/>
      <c r="C15" s="61" t="e">
        <f>(C14/B14-1)</f>
        <v>#DIV/0!</v>
      </c>
      <c r="D15" s="61">
        <f t="shared" ref="D15:H15" si="9">(D14/C14-1)</f>
        <v>8.8001052568996485E-2</v>
      </c>
      <c r="E15" s="61">
        <f t="shared" si="9"/>
        <v>-0.82341534082073309</v>
      </c>
      <c r="F15" s="61">
        <f t="shared" si="9"/>
        <v>-0.83876700649639169</v>
      </c>
      <c r="G15" s="61">
        <f t="shared" si="9"/>
        <v>21.857376927087227</v>
      </c>
      <c r="H15" s="61">
        <f t="shared" si="9"/>
        <v>5.0968342098232036</v>
      </c>
      <c r="I15" s="227">
        <f>(I14/H14-1)</f>
        <v>-0.33412250722147552</v>
      </c>
      <c r="J15" s="227">
        <f>(J14/I14-1)</f>
        <v>-0.56551574689396111</v>
      </c>
      <c r="K15" s="227">
        <f>(K14/J14-1)</f>
        <v>0.4577223607647547</v>
      </c>
      <c r="L15" s="271">
        <f>(L14/K14-1)</f>
        <v>2.9560469778416438</v>
      </c>
      <c r="M15" s="271">
        <f>(M14/L14-1)</f>
        <v>-1.2997991266123443E-2</v>
      </c>
      <c r="O15" s="253" t="s">
        <v>104</v>
      </c>
      <c r="P15" s="226">
        <f t="shared" ref="P15:S15" si="10">SUM(P16:P28)</f>
        <v>0</v>
      </c>
      <c r="Q15" s="226">
        <f t="shared" si="10"/>
        <v>0</v>
      </c>
      <c r="R15" s="226">
        <f t="shared" si="10"/>
        <v>1406.6554199999998</v>
      </c>
      <c r="S15" s="226">
        <f t="shared" si="10"/>
        <v>0</v>
      </c>
      <c r="T15" s="226"/>
      <c r="U15" s="226"/>
      <c r="V15" s="226">
        <f>SUM(V16:V29)</f>
        <v>2895.3140000000003</v>
      </c>
      <c r="W15" s="226">
        <f>SUM(W16:W29)</f>
        <v>3419.0289999999995</v>
      </c>
      <c r="X15" s="226">
        <f>SUM(X16:X28)</f>
        <v>4890.0150000000003</v>
      </c>
      <c r="Y15" s="226">
        <f>SUM(Y16:Y28)</f>
        <v>7691.2800000000007</v>
      </c>
      <c r="Z15" s="226">
        <f>SUM(Z16:Z28)</f>
        <v>9584.1610000000001</v>
      </c>
      <c r="AA15" s="226">
        <f>SUM(AA16:AA29)</f>
        <v>13874.431000000002</v>
      </c>
      <c r="AB15" s="283">
        <f>SUM(AB16:AB29)</f>
        <v>13815.132000000003</v>
      </c>
      <c r="AC15" s="283">
        <f>SUM(AC16:AC29)</f>
        <v>13783.727999999999</v>
      </c>
      <c r="AD15" s="23"/>
    </row>
    <row r="16" spans="1:30" ht="15" customHeight="1" x14ac:dyDescent="0.25">
      <c r="A16" s="267" t="s">
        <v>119</v>
      </c>
      <c r="B16" s="10"/>
      <c r="C16" s="11"/>
      <c r="D16" s="11"/>
      <c r="E16" s="11"/>
      <c r="F16" s="11"/>
      <c r="G16" s="61">
        <f t="shared" ref="G16:K16" si="11">+((G14/D14)^(1/3)-1)</f>
        <v>-0.13341514861259818</v>
      </c>
      <c r="H16" s="61">
        <f t="shared" si="11"/>
        <v>1.821813006692059</v>
      </c>
      <c r="I16" s="227">
        <f t="shared" si="11"/>
        <v>3.5273253304371437</v>
      </c>
      <c r="J16" s="227">
        <f t="shared" si="11"/>
        <v>0.20825217998744083</v>
      </c>
      <c r="K16" s="227">
        <f t="shared" si="11"/>
        <v>-0.2500809302311976</v>
      </c>
      <c r="L16" s="271">
        <f>+((L14/I14)^(1/3)-1)</f>
        <v>0.35821993040700573</v>
      </c>
      <c r="M16" s="271">
        <f>+((M14/J14)^(1/3)-1)</f>
        <v>0.78546536818133328</v>
      </c>
      <c r="O16" s="15" t="s">
        <v>98</v>
      </c>
      <c r="P16" s="9"/>
      <c r="Q16" s="9"/>
      <c r="R16" s="9">
        <v>1059.722117</v>
      </c>
      <c r="S16" s="9"/>
      <c r="T16" s="9"/>
      <c r="U16" s="9"/>
      <c r="V16" s="9"/>
      <c r="W16" s="9"/>
      <c r="X16" s="9"/>
      <c r="Y16" s="9"/>
      <c r="Z16" s="9"/>
      <c r="AA16" s="9"/>
      <c r="AB16" s="205"/>
      <c r="AC16" s="205"/>
      <c r="AD16" s="211"/>
    </row>
    <row r="17" spans="1:30" ht="15" customHeight="1" x14ac:dyDescent="0.25">
      <c r="A17" s="267" t="s">
        <v>5</v>
      </c>
      <c r="B17" s="63" t="e">
        <f>(B14/#REF!)</f>
        <v>#REF!</v>
      </c>
      <c r="C17" s="63">
        <f t="shared" ref="C17:L17" si="12">(C14/C4)</f>
        <v>0.14839712405170627</v>
      </c>
      <c r="D17" s="63">
        <f t="shared" si="12"/>
        <v>0.15899308332277262</v>
      </c>
      <c r="E17" s="63">
        <f t="shared" si="12"/>
        <v>0.1612451642134369</v>
      </c>
      <c r="F17" s="63">
        <f t="shared" si="12"/>
        <v>5.2516916337466239E-2</v>
      </c>
      <c r="G17" s="63">
        <f t="shared" si="12"/>
        <v>0.63003541185527334</v>
      </c>
      <c r="H17" s="63">
        <f t="shared" si="12"/>
        <v>0.70572152823010581</v>
      </c>
      <c r="I17" s="227">
        <f t="shared" si="12"/>
        <v>0.61664703495105266</v>
      </c>
      <c r="J17" s="227">
        <f t="shared" si="12"/>
        <v>0.47543143195889875</v>
      </c>
      <c r="K17" s="227">
        <f t="shared" si="12"/>
        <v>0.50675100337132772</v>
      </c>
      <c r="L17" s="271">
        <f t="shared" si="12"/>
        <v>0.55855815720199453</v>
      </c>
      <c r="M17" s="271">
        <f>(M14/M4)</f>
        <v>0.41131494572446786</v>
      </c>
      <c r="O17" s="15" t="s">
        <v>161</v>
      </c>
      <c r="P17" s="9"/>
      <c r="Q17" s="9"/>
      <c r="R17" s="9"/>
      <c r="S17" s="9"/>
      <c r="T17" s="9"/>
      <c r="U17" s="9"/>
      <c r="V17" s="9">
        <v>2219.8420000000001</v>
      </c>
      <c r="W17" s="9">
        <v>2629.3629999999998</v>
      </c>
      <c r="X17" s="9">
        <v>3557.163</v>
      </c>
      <c r="Y17" s="9">
        <v>3317.76</v>
      </c>
      <c r="Z17" s="9">
        <v>3121.44</v>
      </c>
      <c r="AA17" s="9">
        <v>2965.4749999999999</v>
      </c>
      <c r="AB17" s="282">
        <v>7996.1279999999997</v>
      </c>
      <c r="AC17" s="282">
        <v>8411.1749999999993</v>
      </c>
      <c r="AD17" s="211"/>
    </row>
    <row r="18" spans="1:30" ht="15" customHeight="1" x14ac:dyDescent="0.25">
      <c r="A18" s="15" t="s">
        <v>6</v>
      </c>
      <c r="B18" s="9"/>
      <c r="C18" s="9">
        <v>101.894226</v>
      </c>
      <c r="D18" s="9">
        <v>114.769054</v>
      </c>
      <c r="E18" s="9">
        <v>90.507000000000005</v>
      </c>
      <c r="F18" s="9">
        <v>193.286</v>
      </c>
      <c r="G18" s="9">
        <v>118.372</v>
      </c>
      <c r="H18" s="9">
        <v>111.855</v>
      </c>
      <c r="I18" s="9">
        <v>217.59</v>
      </c>
      <c r="J18" s="9">
        <v>113.22</v>
      </c>
      <c r="K18" s="9">
        <v>114.639</v>
      </c>
      <c r="L18" s="207">
        <v>87.954999999999998</v>
      </c>
      <c r="M18" s="207">
        <v>186.81399999999999</v>
      </c>
      <c r="O18" s="15" t="s">
        <v>162</v>
      </c>
      <c r="P18" s="9"/>
      <c r="Q18" s="9"/>
      <c r="R18" s="9"/>
      <c r="S18" s="9"/>
      <c r="T18" s="9"/>
      <c r="U18" s="9"/>
      <c r="V18" s="9">
        <v>69.804000000000002</v>
      </c>
      <c r="W18" s="9">
        <v>69.915000000000006</v>
      </c>
      <c r="X18" s="9">
        <v>135.28399999999999</v>
      </c>
      <c r="Y18" s="9">
        <v>115.66</v>
      </c>
      <c r="Z18" s="9">
        <v>99.41</v>
      </c>
      <c r="AA18" s="9">
        <v>2011.348</v>
      </c>
      <c r="AB18" s="282">
        <v>4340.5540000000001</v>
      </c>
      <c r="AC18" s="282">
        <v>3925.9169999999999</v>
      </c>
      <c r="AD18" s="211"/>
    </row>
    <row r="19" spans="1:30" ht="15" customHeight="1" x14ac:dyDescent="0.25">
      <c r="A19" s="15" t="s">
        <v>7</v>
      </c>
      <c r="B19" s="9"/>
      <c r="C19" s="9">
        <v>67.671909999999997</v>
      </c>
      <c r="D19" s="9">
        <v>98.236097000000001</v>
      </c>
      <c r="E19" s="9">
        <v>121.69499999999999</v>
      </c>
      <c r="F19" s="9">
        <v>96.034000000000006</v>
      </c>
      <c r="G19" s="9">
        <v>84.686999999999998</v>
      </c>
      <c r="H19" s="9">
        <v>438.07799999999997</v>
      </c>
      <c r="I19" s="9">
        <v>293.86</v>
      </c>
      <c r="J19" s="9">
        <v>233.65</v>
      </c>
      <c r="K19" s="9">
        <v>262.14600000000002</v>
      </c>
      <c r="L19" s="207">
        <v>737.00800000000004</v>
      </c>
      <c r="M19" s="207">
        <v>800.23400000000004</v>
      </c>
      <c r="O19" s="15" t="s">
        <v>92</v>
      </c>
      <c r="P19" s="9"/>
      <c r="Q19" s="9"/>
      <c r="R19" s="9">
        <v>46.100937000000002</v>
      </c>
      <c r="S19" s="9"/>
      <c r="T19" s="9"/>
      <c r="U19" s="9"/>
      <c r="V19" s="201">
        <v>61.265999999999998</v>
      </c>
      <c r="W19" s="9">
        <v>56.244999999999997</v>
      </c>
      <c r="X19" s="9">
        <v>261.79000000000002</v>
      </c>
      <c r="Y19" s="9">
        <v>3273.66</v>
      </c>
      <c r="Z19" s="9">
        <v>5345.94</v>
      </c>
      <c r="AA19" s="9">
        <v>7820.1</v>
      </c>
      <c r="AB19" s="282">
        <v>315.37400000000002</v>
      </c>
      <c r="AC19" s="282">
        <v>381.15300000000002</v>
      </c>
      <c r="AD19" s="211"/>
    </row>
    <row r="20" spans="1:30" ht="15" customHeight="1" x14ac:dyDescent="0.25">
      <c r="A20" s="15" t="s">
        <v>8</v>
      </c>
      <c r="B20" s="9"/>
      <c r="C20" s="9">
        <v>126.03988699999999</v>
      </c>
      <c r="D20" s="9">
        <v>132.27441400000001</v>
      </c>
      <c r="E20" s="9">
        <v>49.343000000000004</v>
      </c>
      <c r="F20" s="9">
        <v>0</v>
      </c>
      <c r="G20" s="9">
        <f>9.998+0.25</f>
        <v>10.247999999999999</v>
      </c>
      <c r="H20" s="9">
        <f>15.716+0.991</f>
        <v>16.707000000000001</v>
      </c>
      <c r="I20" s="9">
        <f>53.55+10.396</f>
        <v>63.945999999999998</v>
      </c>
      <c r="J20" s="9">
        <v>57.93</v>
      </c>
      <c r="K20" s="9">
        <f>62.058+30.104</f>
        <v>92.162000000000006</v>
      </c>
      <c r="L20" s="207">
        <v>378.80799999999999</v>
      </c>
      <c r="M20" s="207">
        <v>311.38400000000001</v>
      </c>
      <c r="O20" s="15" t="s">
        <v>165</v>
      </c>
      <c r="P20" s="9"/>
      <c r="Q20" s="9"/>
      <c r="R20" s="33">
        <v>0</v>
      </c>
      <c r="S20" s="33"/>
      <c r="T20" s="33"/>
      <c r="U20" s="33"/>
      <c r="V20" s="9">
        <v>8.7330000000000005</v>
      </c>
      <c r="W20" s="9">
        <v>8.3130000000000006</v>
      </c>
      <c r="X20" s="9">
        <v>43.576000000000001</v>
      </c>
      <c r="Y20" s="9">
        <v>41.46</v>
      </c>
      <c r="Z20" s="9">
        <v>39.450000000000003</v>
      </c>
      <c r="AA20" s="9">
        <v>30.715</v>
      </c>
      <c r="AB20" s="282">
        <v>29.222999999999999</v>
      </c>
      <c r="AC20" s="282">
        <v>27.805</v>
      </c>
      <c r="AD20" s="211"/>
    </row>
    <row r="21" spans="1:30" ht="15" customHeight="1" x14ac:dyDescent="0.25">
      <c r="A21" s="15" t="s">
        <v>9</v>
      </c>
      <c r="B21" s="9"/>
      <c r="C21" s="9"/>
      <c r="D21" s="9"/>
      <c r="E21" s="9">
        <v>51.481999999999999</v>
      </c>
      <c r="F21" s="9">
        <v>289.464</v>
      </c>
      <c r="G21" s="9">
        <v>44.866999999999997</v>
      </c>
      <c r="H21" s="9">
        <v>26.216000000000001</v>
      </c>
      <c r="I21" s="9">
        <v>262.14999999999998</v>
      </c>
      <c r="J21" s="9">
        <v>139.88999999999999</v>
      </c>
      <c r="K21" s="9">
        <v>-343.65300000000002</v>
      </c>
      <c r="L21" s="207">
        <v>-122.199</v>
      </c>
      <c r="M21" s="272">
        <v>328.66399999999999</v>
      </c>
      <c r="O21" s="15" t="s">
        <v>176</v>
      </c>
      <c r="P21" s="9"/>
      <c r="Q21" s="9"/>
      <c r="R21" s="33">
        <v>0</v>
      </c>
      <c r="S21" s="33"/>
      <c r="T21" s="33"/>
      <c r="U21" s="33"/>
      <c r="V21" s="33">
        <v>19.850000000000001</v>
      </c>
      <c r="W21" s="33">
        <v>98.275000000000006</v>
      </c>
      <c r="X21" s="9">
        <v>102.699</v>
      </c>
      <c r="Y21" s="9">
        <v>98.21</v>
      </c>
      <c r="Z21" s="9">
        <v>93.74</v>
      </c>
      <c r="AA21" s="9">
        <v>97.1</v>
      </c>
      <c r="AB21" s="282">
        <v>98.6</v>
      </c>
      <c r="AC21" s="282">
        <v>101.24</v>
      </c>
      <c r="AD21" s="211"/>
    </row>
    <row r="22" spans="1:30" ht="15" customHeight="1" x14ac:dyDescent="0.25">
      <c r="A22" s="15" t="s">
        <v>175</v>
      </c>
      <c r="B22" s="9"/>
      <c r="C22" s="9"/>
      <c r="D22" s="9"/>
      <c r="E22" s="9">
        <v>0</v>
      </c>
      <c r="F22" s="9">
        <v>0</v>
      </c>
      <c r="G22" s="9">
        <v>0</v>
      </c>
      <c r="H22" s="9">
        <v>14.239000000000001</v>
      </c>
      <c r="I22" s="9">
        <v>5.17</v>
      </c>
      <c r="J22" s="9">
        <v>15.37</v>
      </c>
      <c r="K22" s="9">
        <v>-8.9710000000000001</v>
      </c>
      <c r="L22" s="207">
        <v>1.111</v>
      </c>
      <c r="M22" s="207">
        <v>-2.4380000000000002</v>
      </c>
      <c r="O22" s="15" t="s">
        <v>93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27"/>
      <c r="AC22" s="27"/>
      <c r="AD22" s="211"/>
    </row>
    <row r="23" spans="1:30" ht="15" customHeight="1" x14ac:dyDescent="0.25">
      <c r="A23" s="266" t="s">
        <v>10</v>
      </c>
      <c r="B23" s="59">
        <f>(B14-B19-B20-B21)</f>
        <v>0</v>
      </c>
      <c r="C23" s="59">
        <f>(C14+C18-C19-C20-C21)</f>
        <v>341.63619900000003</v>
      </c>
      <c r="D23" s="59">
        <f>(D14+D18-D19-D20-D21)</f>
        <v>355.85670099999982</v>
      </c>
      <c r="E23" s="59">
        <f t="shared" ref="E23:K23" si="13">(E14+E18-E19-E20+E21+E22)</f>
        <v>54.228000000000051</v>
      </c>
      <c r="F23" s="59">
        <f t="shared" si="13"/>
        <v>400.14299999999997</v>
      </c>
      <c r="G23" s="59">
        <f t="shared" si="13"/>
        <v>375.21000000000004</v>
      </c>
      <c r="H23" s="59">
        <f t="shared" si="13"/>
        <v>1568.68</v>
      </c>
      <c r="I23" s="226">
        <f t="shared" si="13"/>
        <v>1373.0640000000003</v>
      </c>
      <c r="J23" s="226">
        <f t="shared" si="13"/>
        <v>518.25000000000011</v>
      </c>
      <c r="K23" s="226">
        <f t="shared" si="13"/>
        <v>196.84500000000003</v>
      </c>
      <c r="L23" s="209">
        <f>(L14+L18-L19-L20+L21+L22)</f>
        <v>1972.9179999999994</v>
      </c>
      <c r="M23" s="209">
        <f>(M14+M18-M19-M20+M21+M22)</f>
        <v>2482.7110000000002</v>
      </c>
      <c r="O23" s="260" t="s">
        <v>177</v>
      </c>
      <c r="P23" s="9"/>
      <c r="Q23" s="9"/>
      <c r="R23" s="9">
        <v>2E-3</v>
      </c>
      <c r="S23" s="9"/>
      <c r="T23" s="9"/>
      <c r="U23" s="9"/>
      <c r="V23" s="9">
        <v>0</v>
      </c>
      <c r="W23" s="9">
        <v>2E-3</v>
      </c>
      <c r="X23" s="9">
        <v>172.21299999999999</v>
      </c>
      <c r="Y23" s="9">
        <v>177.39</v>
      </c>
      <c r="Z23" s="9">
        <v>192.75</v>
      </c>
      <c r="AA23" s="9">
        <v>183.8</v>
      </c>
      <c r="AB23" s="282">
        <v>184.93</v>
      </c>
      <c r="AC23" s="282">
        <v>0</v>
      </c>
      <c r="AD23" s="211"/>
    </row>
    <row r="24" spans="1:30" ht="15" customHeight="1" x14ac:dyDescent="0.25">
      <c r="A24" s="15" t="s">
        <v>11</v>
      </c>
      <c r="B24" s="207"/>
      <c r="C24" s="207">
        <f>84.840864+12.218329-5.206064</f>
        <v>91.853128999999996</v>
      </c>
      <c r="D24" s="207">
        <f>88.004592+5.040204</f>
        <v>93.044796000000005</v>
      </c>
      <c r="E24" s="207">
        <v>6.3209999999999997</v>
      </c>
      <c r="F24" s="207">
        <v>39.491</v>
      </c>
      <c r="G24" s="210">
        <v>0</v>
      </c>
      <c r="H24" s="210">
        <v>1.2490000000000001</v>
      </c>
      <c r="I24" s="210">
        <v>-2.57</v>
      </c>
      <c r="J24" s="210">
        <v>-15.95</v>
      </c>
      <c r="K24" s="210">
        <v>-3.09</v>
      </c>
      <c r="L24" s="207">
        <v>32.436</v>
      </c>
      <c r="M24" s="207">
        <v>218.55699999999999</v>
      </c>
      <c r="O24" s="260" t="s">
        <v>167</v>
      </c>
      <c r="P24" s="207"/>
      <c r="Q24" s="207"/>
      <c r="R24" s="207">
        <v>102.48560000000001</v>
      </c>
      <c r="S24" s="207"/>
      <c r="T24" s="207"/>
      <c r="U24" s="207"/>
      <c r="V24" s="207">
        <v>514.37</v>
      </c>
      <c r="W24" s="9">
        <v>551.33000000000004</v>
      </c>
      <c r="X24" s="9">
        <v>615.96600000000001</v>
      </c>
      <c r="Y24" s="9">
        <v>651.84</v>
      </c>
      <c r="Z24" s="9">
        <v>685.32</v>
      </c>
      <c r="AA24" s="9">
        <v>725.6</v>
      </c>
      <c r="AB24" s="207">
        <v>777.49099999999999</v>
      </c>
      <c r="AC24" s="207">
        <v>845.28599999999994</v>
      </c>
      <c r="AD24" s="211"/>
    </row>
    <row r="25" spans="1:30" ht="15" customHeight="1" x14ac:dyDescent="0.25">
      <c r="A25" s="267" t="s">
        <v>12</v>
      </c>
      <c r="B25" s="61" t="e">
        <f t="shared" ref="B25:K25" si="14">(B24/B23)</f>
        <v>#DIV/0!</v>
      </c>
      <c r="C25" s="61">
        <f t="shared" si="14"/>
        <v>0.26886240178547349</v>
      </c>
      <c r="D25" s="61">
        <f t="shared" si="14"/>
        <v>0.26146703360800294</v>
      </c>
      <c r="E25" s="61">
        <f t="shared" si="14"/>
        <v>0.11656339898207556</v>
      </c>
      <c r="F25" s="61">
        <f t="shared" si="14"/>
        <v>9.8692217532232229E-2</v>
      </c>
      <c r="G25" s="61">
        <f t="shared" si="14"/>
        <v>0</v>
      </c>
      <c r="H25" s="61">
        <f t="shared" si="14"/>
        <v>7.962108269372976E-4</v>
      </c>
      <c r="I25" s="227">
        <f t="shared" si="14"/>
        <v>-1.8717262997209156E-3</v>
      </c>
      <c r="J25" s="227">
        <f t="shared" si="14"/>
        <v>-3.0776652194886629E-2</v>
      </c>
      <c r="K25" s="227">
        <f t="shared" si="14"/>
        <v>-1.5697630115065149E-2</v>
      </c>
      <c r="L25" s="271">
        <f>(L24/L23)</f>
        <v>1.6440622468850714E-2</v>
      </c>
      <c r="M25" s="271">
        <f>(M24/M23)</f>
        <v>8.8031591272604806E-2</v>
      </c>
      <c r="O25" s="260" t="s">
        <v>168</v>
      </c>
      <c r="P25" s="9"/>
      <c r="Q25" s="9"/>
      <c r="R25" s="33">
        <v>0</v>
      </c>
      <c r="S25" s="9"/>
      <c r="T25" s="9"/>
      <c r="U25" s="9"/>
      <c r="V25" s="9">
        <v>0</v>
      </c>
      <c r="W25" s="33">
        <v>0.52</v>
      </c>
      <c r="X25" s="33">
        <v>0</v>
      </c>
      <c r="Y25" s="33">
        <v>0</v>
      </c>
      <c r="Z25" s="33">
        <v>0</v>
      </c>
      <c r="AA25" s="261" t="s">
        <v>193</v>
      </c>
      <c r="AB25" s="282">
        <v>10.897</v>
      </c>
      <c r="AC25" s="282">
        <v>11.6</v>
      </c>
      <c r="AD25" s="211"/>
    </row>
    <row r="26" spans="1:30" ht="15" customHeight="1" x14ac:dyDescent="0.25">
      <c r="A26" s="266" t="s">
        <v>13</v>
      </c>
      <c r="B26" s="209">
        <v>0</v>
      </c>
      <c r="C26" s="209">
        <f t="shared" ref="C26:I26" si="15">(C23-C24)</f>
        <v>249.78307000000004</v>
      </c>
      <c r="D26" s="209">
        <f t="shared" si="15"/>
        <v>262.8119049999998</v>
      </c>
      <c r="E26" s="209">
        <f t="shared" si="15"/>
        <v>47.907000000000053</v>
      </c>
      <c r="F26" s="209">
        <f t="shared" si="15"/>
        <v>360.65199999999999</v>
      </c>
      <c r="G26" s="59">
        <f t="shared" si="15"/>
        <v>375.21000000000004</v>
      </c>
      <c r="H26" s="59">
        <f t="shared" si="15"/>
        <v>1567.431</v>
      </c>
      <c r="I26" s="226">
        <f t="shared" si="15"/>
        <v>1375.6340000000002</v>
      </c>
      <c r="J26" s="226">
        <f>(J23-J24)</f>
        <v>534.20000000000016</v>
      </c>
      <c r="K26" s="226">
        <f>(K23-K24)</f>
        <v>199.93500000000003</v>
      </c>
      <c r="L26" s="209">
        <f>(L23-L24)</f>
        <v>1940.4819999999995</v>
      </c>
      <c r="M26" s="209">
        <f>(M23-M24)</f>
        <v>2264.1540000000005</v>
      </c>
      <c r="O26" s="260" t="s">
        <v>169</v>
      </c>
      <c r="P26" s="207"/>
      <c r="Q26" s="207"/>
      <c r="R26" s="208"/>
      <c r="S26" s="207"/>
      <c r="T26" s="207"/>
      <c r="U26" s="207"/>
      <c r="V26" s="207">
        <v>0.35299999999999998</v>
      </c>
      <c r="W26" s="9">
        <v>3.97</v>
      </c>
      <c r="X26" s="9">
        <v>0.55400000000000005</v>
      </c>
      <c r="Y26" s="9">
        <v>0.71</v>
      </c>
      <c r="Z26" s="9">
        <v>0.61099999999999999</v>
      </c>
      <c r="AA26" s="9">
        <v>0.59299999999999997</v>
      </c>
      <c r="AB26" s="207">
        <v>0.59299999999999997</v>
      </c>
      <c r="AC26" s="207">
        <v>4.9889999999999999</v>
      </c>
      <c r="AD26" s="211"/>
    </row>
    <row r="27" spans="1:30" ht="15" customHeight="1" x14ac:dyDescent="0.25">
      <c r="A27" s="267" t="s">
        <v>80</v>
      </c>
      <c r="B27" s="64" t="e">
        <f t="shared" ref="B27:L27" si="16">B26/(B4)</f>
        <v>#DIV/0!</v>
      </c>
      <c r="C27" s="64">
        <f t="shared" si="16"/>
        <v>8.5515669236897005E-2</v>
      </c>
      <c r="D27" s="64">
        <f t="shared" si="16"/>
        <v>8.8603558773615032E-2</v>
      </c>
      <c r="E27" s="64">
        <f t="shared" si="16"/>
        <v>9.2759970723886864E-2</v>
      </c>
      <c r="F27" s="64">
        <f t="shared" si="16"/>
        <v>1.410615246215825</v>
      </c>
      <c r="G27" s="64">
        <f t="shared" si="16"/>
        <v>0.77025404157043886</v>
      </c>
      <c r="H27" s="64">
        <f t="shared" si="16"/>
        <v>0.59116951867442458</v>
      </c>
      <c r="I27" s="230">
        <f t="shared" si="16"/>
        <v>0.68082492798954752</v>
      </c>
      <c r="J27" s="230">
        <f t="shared" si="16"/>
        <v>0.46915206604312132</v>
      </c>
      <c r="K27" s="230">
        <f t="shared" si="16"/>
        <v>0.12838978969336975</v>
      </c>
      <c r="L27" s="273">
        <f t="shared" si="16"/>
        <v>0.34718713193215489</v>
      </c>
      <c r="M27" s="273">
        <f>M26/(M4)</f>
        <v>0.30223727135683698</v>
      </c>
      <c r="O27" s="15" t="s">
        <v>191</v>
      </c>
      <c r="P27" s="9"/>
      <c r="Q27" s="9"/>
      <c r="R27" s="33">
        <v>0</v>
      </c>
      <c r="S27" s="9"/>
      <c r="T27" s="9"/>
      <c r="U27" s="9"/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282">
        <v>0</v>
      </c>
      <c r="AC27" s="282">
        <v>0</v>
      </c>
      <c r="AD27" s="211"/>
    </row>
    <row r="28" spans="1:30" ht="15" customHeight="1" x14ac:dyDescent="0.25">
      <c r="A28" s="267" t="s">
        <v>119</v>
      </c>
      <c r="B28" s="18"/>
      <c r="C28" s="11"/>
      <c r="D28" s="11"/>
      <c r="E28" s="11"/>
      <c r="F28" s="11"/>
      <c r="G28" s="61">
        <f t="shared" ref="G28:K28" si="17">+((G26/D26)^(1/3)-1)</f>
        <v>0.12601227117102187</v>
      </c>
      <c r="H28" s="61">
        <f t="shared" si="17"/>
        <v>2.1983782153246665</v>
      </c>
      <c r="I28" s="227">
        <f t="shared" si="17"/>
        <v>0.56244540844207402</v>
      </c>
      <c r="J28" s="227">
        <f t="shared" si="17"/>
        <v>0.12497574694060032</v>
      </c>
      <c r="K28" s="227">
        <f t="shared" si="17"/>
        <v>-0.49661516047361687</v>
      </c>
      <c r="L28" s="271">
        <f>+((L26/I26)^(1/3)-1)</f>
        <v>0.12150764683615223</v>
      </c>
      <c r="M28" s="271">
        <f>+((M26/J26)^(1/3)-1)</f>
        <v>0.61833102360096537</v>
      </c>
      <c r="O28" s="15" t="s">
        <v>94</v>
      </c>
      <c r="P28" s="9"/>
      <c r="Q28" s="9"/>
      <c r="R28" s="9">
        <v>198.34476599999999</v>
      </c>
      <c r="S28" s="9"/>
      <c r="T28" s="9"/>
      <c r="U28" s="9"/>
      <c r="V28" s="9">
        <v>0</v>
      </c>
      <c r="W28" s="9">
        <v>0</v>
      </c>
      <c r="X28" s="9">
        <v>0.77</v>
      </c>
      <c r="Y28" s="9">
        <v>14.59</v>
      </c>
      <c r="Z28" s="9">
        <v>5.5</v>
      </c>
      <c r="AA28" s="9">
        <v>2.1</v>
      </c>
      <c r="AB28" s="282">
        <v>0.77800000000000002</v>
      </c>
      <c r="AC28" s="282">
        <v>1.363</v>
      </c>
      <c r="AD28" s="211"/>
    </row>
    <row r="29" spans="1:30" ht="15" customHeight="1" x14ac:dyDescent="0.25">
      <c r="A29" s="15" t="s">
        <v>14</v>
      </c>
      <c r="B29" s="9"/>
      <c r="C29" s="9"/>
      <c r="D29" s="9"/>
      <c r="E29" s="9"/>
      <c r="F29" s="9"/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O29" s="15" t="s">
        <v>156</v>
      </c>
      <c r="P29" s="9"/>
      <c r="Q29" s="9"/>
      <c r="R29" s="9"/>
      <c r="S29" s="9"/>
      <c r="T29" s="9"/>
      <c r="U29" s="9"/>
      <c r="V29" s="9">
        <v>1.0960000000000001</v>
      </c>
      <c r="W29" s="9">
        <v>1.0960000000000001</v>
      </c>
      <c r="X29" s="9">
        <v>0</v>
      </c>
      <c r="Y29" s="9">
        <v>0</v>
      </c>
      <c r="Z29" s="9">
        <v>0</v>
      </c>
      <c r="AA29" s="9">
        <v>37.6</v>
      </c>
      <c r="AB29" s="282">
        <v>60.564</v>
      </c>
      <c r="AC29" s="282">
        <v>73.2</v>
      </c>
      <c r="AD29" s="211"/>
    </row>
    <row r="30" spans="1:30" ht="15" customHeight="1" x14ac:dyDescent="0.25">
      <c r="A30" s="15" t="s">
        <v>69</v>
      </c>
      <c r="B30" s="9"/>
      <c r="C30" s="9">
        <v>0</v>
      </c>
      <c r="D30" s="9">
        <v>0</v>
      </c>
      <c r="E30" s="9">
        <v>-0.16400000000000001</v>
      </c>
      <c r="F30" s="9">
        <v>-0.42299999999999999</v>
      </c>
      <c r="G30" s="9">
        <v>-1.609</v>
      </c>
      <c r="H30" s="9">
        <v>-1.617</v>
      </c>
      <c r="I30" s="9">
        <v>1.57</v>
      </c>
      <c r="J30" s="9">
        <v>0.42</v>
      </c>
      <c r="K30" s="9">
        <v>-0.40600000000000003</v>
      </c>
      <c r="L30" s="207">
        <v>0.317</v>
      </c>
      <c r="M30" s="207">
        <v>-3.28</v>
      </c>
      <c r="O30" s="253" t="s">
        <v>44</v>
      </c>
      <c r="P30" s="226">
        <f t="shared" ref="P30:X30" si="18">SUM(P31:P39)</f>
        <v>0</v>
      </c>
      <c r="Q30" s="226">
        <f t="shared" si="18"/>
        <v>0</v>
      </c>
      <c r="R30" s="226">
        <f t="shared" si="18"/>
        <v>2304.2947150000005</v>
      </c>
      <c r="S30" s="226">
        <f t="shared" si="18"/>
        <v>0</v>
      </c>
      <c r="T30" s="226"/>
      <c r="U30" s="226"/>
      <c r="V30" s="226">
        <f t="shared" si="18"/>
        <v>2352.2500000000005</v>
      </c>
      <c r="W30" s="226">
        <f t="shared" si="18"/>
        <v>2017.2469999999998</v>
      </c>
      <c r="X30" s="226">
        <f t="shared" si="18"/>
        <v>2451.4590000000003</v>
      </c>
      <c r="Y30" s="226">
        <f>SUM(Y31:Y39)</f>
        <v>2667.0600000000004</v>
      </c>
      <c r="Z30" s="226">
        <f>SUM(Z31:Z39)</f>
        <v>2267.34</v>
      </c>
      <c r="AA30" s="226">
        <f>SUM(AA31:AA39)</f>
        <v>1397.96</v>
      </c>
      <c r="AB30" s="283">
        <f>SUM(AB31:AB39)</f>
        <v>4687.8040000000001</v>
      </c>
      <c r="AC30" s="283">
        <f>SUM(AC31:AC39)</f>
        <v>5730.7920000000004</v>
      </c>
      <c r="AD30" s="23"/>
    </row>
    <row r="31" spans="1:30" ht="15" customHeight="1" x14ac:dyDescent="0.25">
      <c r="A31" s="266" t="s">
        <v>15</v>
      </c>
      <c r="B31" s="59">
        <f t="shared" ref="B31:K31" si="19">(B26-B29+B30)</f>
        <v>0</v>
      </c>
      <c r="C31" s="59">
        <f t="shared" si="19"/>
        <v>249.78307000000004</v>
      </c>
      <c r="D31" s="59">
        <f t="shared" si="19"/>
        <v>262.8119049999998</v>
      </c>
      <c r="E31" s="59">
        <f t="shared" si="19"/>
        <v>47.743000000000052</v>
      </c>
      <c r="F31" s="59">
        <f t="shared" si="19"/>
        <v>360.22899999999998</v>
      </c>
      <c r="G31" s="59">
        <f t="shared" si="19"/>
        <v>373.60100000000006</v>
      </c>
      <c r="H31" s="59">
        <f t="shared" si="19"/>
        <v>1565.8140000000001</v>
      </c>
      <c r="I31" s="226">
        <f t="shared" si="19"/>
        <v>1377.2040000000002</v>
      </c>
      <c r="J31" s="226">
        <f t="shared" si="19"/>
        <v>534.62000000000012</v>
      </c>
      <c r="K31" s="226">
        <f t="shared" si="19"/>
        <v>199.52900000000002</v>
      </c>
      <c r="L31" s="209">
        <f>(L26-L29+L30)</f>
        <v>1940.7989999999995</v>
      </c>
      <c r="M31" s="209">
        <f>(M26-M29+M30)</f>
        <v>2260.8740000000003</v>
      </c>
      <c r="O31" s="15" t="s">
        <v>45</v>
      </c>
      <c r="P31" s="9"/>
      <c r="Q31" s="9"/>
      <c r="R31" s="9">
        <v>971.14988800000003</v>
      </c>
      <c r="S31" s="9"/>
      <c r="T31" s="9"/>
      <c r="U31" s="9"/>
      <c r="V31" s="9">
        <v>246.96899999999999</v>
      </c>
      <c r="W31" s="9">
        <v>282.74700000000001</v>
      </c>
      <c r="X31" s="9">
        <v>278.286</v>
      </c>
      <c r="Y31" s="9">
        <v>265.87</v>
      </c>
      <c r="Z31" s="9">
        <v>360.96</v>
      </c>
      <c r="AA31" s="9">
        <v>76.5</v>
      </c>
      <c r="AB31" s="282">
        <v>809.37599999999998</v>
      </c>
      <c r="AC31" s="282">
        <v>423.29500000000002</v>
      </c>
      <c r="AD31" s="211"/>
    </row>
    <row r="32" spans="1:30" ht="15" customHeight="1" x14ac:dyDescent="0.25">
      <c r="A32" s="267" t="s">
        <v>2</v>
      </c>
      <c r="B32" s="61"/>
      <c r="C32" s="61" t="e">
        <f>(C31/B31-1)</f>
        <v>#DIV/0!</v>
      </c>
      <c r="D32" s="61">
        <f>-(D31/C31-1)</f>
        <v>-5.2160600796522294E-2</v>
      </c>
      <c r="E32" s="61">
        <f t="shared" ref="E32:J32" si="20">(E31/D31-1)</f>
        <v>-0.81833775756847815</v>
      </c>
      <c r="F32" s="61">
        <f t="shared" si="20"/>
        <v>6.5451689252874683</v>
      </c>
      <c r="G32" s="65">
        <f t="shared" si="20"/>
        <v>3.7120831471092242E-2</v>
      </c>
      <c r="H32" s="65">
        <f t="shared" si="20"/>
        <v>3.1911397453432935</v>
      </c>
      <c r="I32" s="231">
        <f t="shared" si="20"/>
        <v>-0.12045491993301882</v>
      </c>
      <c r="J32" s="231">
        <f t="shared" si="20"/>
        <v>-0.61180769152572889</v>
      </c>
      <c r="K32" s="231">
        <f>(K31/J31-1)</f>
        <v>-0.62678350978264941</v>
      </c>
      <c r="L32" s="274">
        <f>(L31/K31-1)</f>
        <v>8.7269018538658507</v>
      </c>
      <c r="M32" s="274">
        <f>(M31/L31-1)</f>
        <v>0.16491919049834669</v>
      </c>
      <c r="O32" s="15" t="s">
        <v>93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282"/>
      <c r="AC32" s="282"/>
      <c r="AD32" s="211"/>
    </row>
    <row r="33" spans="1:30" ht="15" customHeight="1" x14ac:dyDescent="0.25">
      <c r="A33" s="267" t="s">
        <v>119</v>
      </c>
      <c r="B33" s="18"/>
      <c r="C33" s="11"/>
      <c r="D33" s="11"/>
      <c r="E33" s="11"/>
      <c r="F33" s="11"/>
      <c r="G33" s="61">
        <f t="shared" ref="G33:K33" si="21">+((G31/D31)^(1/3)-1)</f>
        <v>0.12440041852674733</v>
      </c>
      <c r="H33" s="61">
        <f t="shared" si="21"/>
        <v>2.2009347570989699</v>
      </c>
      <c r="I33" s="227">
        <f t="shared" si="21"/>
        <v>0.56365114659154081</v>
      </c>
      <c r="J33" s="227">
        <f t="shared" si="21"/>
        <v>0.12688359666789872</v>
      </c>
      <c r="K33" s="227">
        <f t="shared" si="21"/>
        <v>-0.49678302268295127</v>
      </c>
      <c r="L33" s="271">
        <f>+((L31/I31)^(1/3)-1)</f>
        <v>0.12114235913542681</v>
      </c>
      <c r="M33" s="271">
        <f>+((M31/J31)^(1/3)-1)</f>
        <v>0.61712547718649224</v>
      </c>
      <c r="O33" s="15" t="s">
        <v>178</v>
      </c>
      <c r="P33" s="9"/>
      <c r="Q33" s="9"/>
      <c r="R33" s="9"/>
      <c r="S33" s="9"/>
      <c r="T33" s="9"/>
      <c r="U33" s="9"/>
      <c r="V33" s="9">
        <v>1602.1289999999999</v>
      </c>
      <c r="W33" s="9">
        <v>506.46499999999997</v>
      </c>
      <c r="X33" s="9">
        <v>1197.4369999999999</v>
      </c>
      <c r="Y33" s="9">
        <v>1004.78</v>
      </c>
      <c r="Z33" s="9">
        <v>453.77</v>
      </c>
      <c r="AA33" s="9">
        <v>3.4</v>
      </c>
      <c r="AB33" s="282">
        <v>1147.0899999999999</v>
      </c>
      <c r="AC33" s="282">
        <v>4.2350000000000003</v>
      </c>
      <c r="AD33" s="211"/>
    </row>
    <row r="34" spans="1:30" ht="15" customHeight="1" x14ac:dyDescent="0.25">
      <c r="A34" s="266" t="s">
        <v>16</v>
      </c>
      <c r="B34" s="6">
        <v>5.75</v>
      </c>
      <c r="C34" s="6">
        <v>14.92</v>
      </c>
      <c r="D34" s="6">
        <v>14.3</v>
      </c>
      <c r="E34" s="6">
        <v>0.38</v>
      </c>
      <c r="F34" s="6">
        <v>2.76</v>
      </c>
      <c r="G34" s="6">
        <v>2.85</v>
      </c>
      <c r="H34" s="6">
        <v>11.91</v>
      </c>
      <c r="I34" s="226">
        <v>10.46</v>
      </c>
      <c r="J34" s="226">
        <v>4.04</v>
      </c>
      <c r="K34" s="226">
        <v>1.51</v>
      </c>
      <c r="L34" s="209">
        <v>14.67</v>
      </c>
      <c r="M34" s="209">
        <v>17.12</v>
      </c>
      <c r="O34" s="260" t="s">
        <v>179</v>
      </c>
      <c r="P34" s="9"/>
      <c r="Q34" s="9"/>
      <c r="R34" s="9">
        <v>1011.664012</v>
      </c>
      <c r="S34" s="9"/>
      <c r="T34" s="9"/>
      <c r="U34" s="9"/>
      <c r="V34" s="9">
        <v>51.557000000000002</v>
      </c>
      <c r="W34" s="9">
        <v>164.857</v>
      </c>
      <c r="X34" s="9">
        <v>409.33300000000003</v>
      </c>
      <c r="Y34" s="9">
        <v>363.61</v>
      </c>
      <c r="Z34" s="9">
        <v>310.72000000000003</v>
      </c>
      <c r="AA34" s="9">
        <v>161.99600000000001</v>
      </c>
      <c r="AB34" s="282">
        <v>1169.4090000000001</v>
      </c>
      <c r="AC34" s="282">
        <v>3144.7640000000001</v>
      </c>
      <c r="AD34" s="211"/>
    </row>
    <row r="35" spans="1:30" ht="15" customHeight="1" x14ac:dyDescent="0.25">
      <c r="A35" s="15" t="s">
        <v>2</v>
      </c>
      <c r="B35" s="66"/>
      <c r="C35" s="66">
        <f>(C34/B34-1)</f>
        <v>1.594782608695652</v>
      </c>
      <c r="D35" s="66">
        <f>-(D34/C34-1)</f>
        <v>4.1554959785522705E-2</v>
      </c>
      <c r="E35" s="66">
        <f t="shared" ref="E35:J35" si="22">(E34/D34-1)</f>
        <v>-0.97342657342657346</v>
      </c>
      <c r="F35" s="66">
        <f t="shared" si="22"/>
        <v>6.2631578947368416</v>
      </c>
      <c r="G35" s="66">
        <f t="shared" si="22"/>
        <v>3.2608695652174058E-2</v>
      </c>
      <c r="H35" s="66">
        <f t="shared" si="22"/>
        <v>3.1789473684210527</v>
      </c>
      <c r="I35" s="232">
        <f t="shared" si="22"/>
        <v>-0.12174643157010911</v>
      </c>
      <c r="J35" s="232">
        <f t="shared" si="22"/>
        <v>-0.61376673040152974</v>
      </c>
      <c r="K35" s="232">
        <f>(K34/J34-1)</f>
        <v>-0.62623762376237624</v>
      </c>
      <c r="L35" s="275">
        <f>(L34/K34-1)</f>
        <v>8.7152317880794694</v>
      </c>
      <c r="M35" s="275">
        <f>(M34/L34-1)</f>
        <v>0.16700749829584183</v>
      </c>
      <c r="N35" s="21"/>
      <c r="O35" s="260" t="s">
        <v>158</v>
      </c>
      <c r="P35" s="9"/>
      <c r="Q35" s="9"/>
      <c r="R35" s="9">
        <v>71.801948999999993</v>
      </c>
      <c r="S35" s="9"/>
      <c r="T35" s="9"/>
      <c r="U35" s="9"/>
      <c r="V35" s="9">
        <v>284.995</v>
      </c>
      <c r="W35" s="9">
        <v>843.03099999999995</v>
      </c>
      <c r="X35" s="9">
        <v>276.44799999999998</v>
      </c>
      <c r="Y35" s="9">
        <v>706.02</v>
      </c>
      <c r="Z35" s="9">
        <v>468.9</v>
      </c>
      <c r="AA35" s="9">
        <v>291.2</v>
      </c>
      <c r="AB35" s="282">
        <v>298.78699999999998</v>
      </c>
      <c r="AC35" s="282">
        <v>137.24</v>
      </c>
      <c r="AD35" s="211"/>
    </row>
    <row r="36" spans="1:30" ht="15" customHeight="1" x14ac:dyDescent="0.25">
      <c r="A36" s="15" t="s">
        <v>119</v>
      </c>
      <c r="B36" s="254"/>
      <c r="C36" s="268"/>
      <c r="D36" s="268"/>
      <c r="E36" s="269"/>
      <c r="F36" s="269"/>
      <c r="G36" s="61">
        <f t="shared" ref="G36:K36" si="23">+((G34/D34)^(1/3)-1)</f>
        <v>-0.41587883751353572</v>
      </c>
      <c r="H36" s="61">
        <f t="shared" si="23"/>
        <v>2.1528941323824768</v>
      </c>
      <c r="I36" s="227">
        <f t="shared" si="23"/>
        <v>0.55910082310451337</v>
      </c>
      <c r="J36" s="227">
        <f t="shared" si="23"/>
        <v>0.12334244382978166</v>
      </c>
      <c r="K36" s="227">
        <f t="shared" si="23"/>
        <v>-0.49763227666531573</v>
      </c>
      <c r="L36" s="271">
        <f>+((L34/I34)^(1/3)-1)</f>
        <v>0.11935061730037266</v>
      </c>
      <c r="M36" s="271">
        <f>+((M34/J34)^(1/3)-1)</f>
        <v>0.61823205015234439</v>
      </c>
      <c r="N36" s="21"/>
      <c r="O36" s="260" t="s">
        <v>160</v>
      </c>
      <c r="P36" s="9"/>
      <c r="Q36" s="9"/>
      <c r="R36" s="9">
        <v>249.678866</v>
      </c>
      <c r="S36" s="9"/>
      <c r="T36" s="9"/>
      <c r="U36" s="9"/>
      <c r="V36" s="9">
        <v>58.668999999999997</v>
      </c>
      <c r="W36" s="33">
        <v>73.296999999999997</v>
      </c>
      <c r="X36" s="9">
        <v>77.944999999999993</v>
      </c>
      <c r="Y36" s="9">
        <v>152.47</v>
      </c>
      <c r="Z36" s="9">
        <v>246.25</v>
      </c>
      <c r="AA36" s="9">
        <v>362.5</v>
      </c>
      <c r="AB36" s="282">
        <v>481.89100000000002</v>
      </c>
      <c r="AC36" s="282">
        <v>547.78899999999999</v>
      </c>
      <c r="AD36" s="211"/>
    </row>
    <row r="37" spans="1:30" ht="15" customHeight="1" x14ac:dyDescent="0.25">
      <c r="N37" s="21"/>
      <c r="O37" s="260" t="s">
        <v>96</v>
      </c>
      <c r="P37" s="9"/>
      <c r="Q37" s="9"/>
      <c r="R37" s="33">
        <v>0</v>
      </c>
      <c r="S37" s="9"/>
      <c r="T37" s="9"/>
      <c r="U37" s="9"/>
      <c r="V37" s="9">
        <v>8.4629999999999992</v>
      </c>
      <c r="W37" s="9">
        <v>54.463999999999999</v>
      </c>
      <c r="X37" s="9">
        <v>105.438</v>
      </c>
      <c r="Y37" s="9">
        <v>34.65</v>
      </c>
      <c r="Z37" s="9">
        <v>285.39999999999998</v>
      </c>
      <c r="AA37" s="9">
        <v>395.56400000000002</v>
      </c>
      <c r="AB37" s="282">
        <v>636.44299999999998</v>
      </c>
      <c r="AC37" s="282">
        <v>1330.1769999999999</v>
      </c>
      <c r="AD37" s="211"/>
    </row>
    <row r="38" spans="1:30" ht="15" customHeight="1" x14ac:dyDescent="0.25">
      <c r="N38" s="21"/>
      <c r="O38" s="15" t="s">
        <v>156</v>
      </c>
      <c r="P38" s="9"/>
      <c r="Q38" s="9"/>
      <c r="R38" s="33">
        <v>0</v>
      </c>
      <c r="S38" s="33"/>
      <c r="T38" s="33"/>
      <c r="U38" s="33"/>
      <c r="V38" s="33">
        <v>92.769000000000005</v>
      </c>
      <c r="W38" s="33">
        <v>84.524000000000001</v>
      </c>
      <c r="X38" s="9">
        <v>96.811999999999998</v>
      </c>
      <c r="Y38" s="9">
        <v>98.8</v>
      </c>
      <c r="Z38" s="9">
        <v>73.61</v>
      </c>
      <c r="AA38" s="9"/>
      <c r="AB38" s="282"/>
      <c r="AC38" s="282"/>
      <c r="AD38" s="211"/>
    </row>
    <row r="39" spans="1:30" ht="15" customHeight="1" x14ac:dyDescent="0.25">
      <c r="A39" s="300" t="s">
        <v>105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270"/>
      <c r="O39" s="15" t="s">
        <v>99</v>
      </c>
      <c r="P39" s="9"/>
      <c r="Q39" s="9"/>
      <c r="R39" s="33">
        <v>0</v>
      </c>
      <c r="S39" s="9"/>
      <c r="T39" s="9"/>
      <c r="U39" s="9"/>
      <c r="V39" s="9">
        <v>6.6989999999999998</v>
      </c>
      <c r="W39" s="9">
        <v>7.8620000000000001</v>
      </c>
      <c r="X39" s="9">
        <v>9.76</v>
      </c>
      <c r="Y39" s="9">
        <v>40.86</v>
      </c>
      <c r="Z39" s="9">
        <v>67.73</v>
      </c>
      <c r="AA39" s="9">
        <v>106.8</v>
      </c>
      <c r="AB39" s="282">
        <v>144.80799999999999</v>
      </c>
      <c r="AC39" s="282">
        <v>143.292</v>
      </c>
      <c r="AD39" s="211"/>
    </row>
    <row r="40" spans="1:30" ht="15" customHeight="1" x14ac:dyDescent="0.25">
      <c r="A40" s="258" t="s">
        <v>0</v>
      </c>
      <c r="B40" s="228" t="s">
        <v>31</v>
      </c>
      <c r="C40" s="228" t="s">
        <v>32</v>
      </c>
      <c r="D40" s="228" t="s">
        <v>33</v>
      </c>
      <c r="E40" s="228" t="s">
        <v>34</v>
      </c>
      <c r="F40" s="228" t="s">
        <v>35</v>
      </c>
      <c r="G40" s="228" t="s">
        <v>85</v>
      </c>
      <c r="H40" s="228" t="s">
        <v>90</v>
      </c>
      <c r="I40" s="228" t="s">
        <v>181</v>
      </c>
      <c r="J40" s="228" t="s">
        <v>192</v>
      </c>
      <c r="K40" s="228" t="s">
        <v>194</v>
      </c>
      <c r="L40" s="228" t="s">
        <v>196</v>
      </c>
      <c r="M40" s="228" t="s">
        <v>201</v>
      </c>
      <c r="O40" s="1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282"/>
      <c r="AC40" s="282"/>
      <c r="AD40" s="211"/>
    </row>
    <row r="41" spans="1:30" ht="15" customHeight="1" x14ac:dyDescent="0.25">
      <c r="A41" s="266" t="s">
        <v>17</v>
      </c>
      <c r="B41" s="5"/>
      <c r="C41" s="5">
        <v>7.2940800000000001</v>
      </c>
      <c r="D41" s="5">
        <v>21.920707</v>
      </c>
      <c r="E41" s="5"/>
      <c r="F41" s="5">
        <v>1278.4680000000001</v>
      </c>
      <c r="G41" s="5">
        <v>1945.15</v>
      </c>
      <c r="H41" s="5">
        <v>1270.71</v>
      </c>
      <c r="I41" s="5">
        <v>1473.88</v>
      </c>
      <c r="J41" s="5">
        <v>1710.8</v>
      </c>
      <c r="K41" s="5">
        <v>922.66800000000001</v>
      </c>
      <c r="L41" s="276">
        <v>294.64100000000002</v>
      </c>
      <c r="M41" s="277">
        <v>1445.877</v>
      </c>
      <c r="O41" s="253" t="s">
        <v>46</v>
      </c>
      <c r="P41" s="226">
        <f t="shared" ref="P41:X41" si="24">SUM(P42:P46)</f>
        <v>0</v>
      </c>
      <c r="Q41" s="226">
        <f t="shared" si="24"/>
        <v>0</v>
      </c>
      <c r="R41" s="226">
        <f t="shared" si="24"/>
        <v>706.61606500000005</v>
      </c>
      <c r="S41" s="226">
        <f t="shared" si="24"/>
        <v>0</v>
      </c>
      <c r="T41" s="226"/>
      <c r="U41" s="226"/>
      <c r="V41" s="226">
        <f t="shared" si="24"/>
        <v>674.52099999999996</v>
      </c>
      <c r="W41" s="226">
        <f t="shared" si="24"/>
        <v>411.32300000000004</v>
      </c>
      <c r="X41" s="226">
        <f t="shared" si="24"/>
        <v>540.39300000000003</v>
      </c>
      <c r="Y41" s="226">
        <f>SUM(Y42:Y46)</f>
        <v>2012.44</v>
      </c>
      <c r="Z41" s="226">
        <f>SUM(Z42:Z46)</f>
        <v>842.32</v>
      </c>
      <c r="AA41" s="226">
        <f>SUM(AA42:AA46)</f>
        <v>1823.2</v>
      </c>
      <c r="AB41" s="283">
        <f>SUM(AB42:AB47)</f>
        <v>2753.4100000000003</v>
      </c>
      <c r="AC41" s="283">
        <f>SUM(AC42:AC47)</f>
        <v>3438.6279999999997</v>
      </c>
      <c r="AD41" s="23"/>
    </row>
    <row r="42" spans="1:30" ht="15" customHeight="1" x14ac:dyDescent="0.25">
      <c r="A42" s="15" t="s">
        <v>18</v>
      </c>
      <c r="B42" s="8"/>
      <c r="C42" s="8">
        <v>180.48235099999999</v>
      </c>
      <c r="D42" s="8">
        <v>-40.288313000000002</v>
      </c>
      <c r="E42" s="8"/>
      <c r="F42" s="8">
        <v>-256.71699999999998</v>
      </c>
      <c r="G42" s="8">
        <v>-81.010000000000005</v>
      </c>
      <c r="H42" s="8">
        <v>1666.52</v>
      </c>
      <c r="I42" s="8">
        <v>3163.81</v>
      </c>
      <c r="J42" s="8">
        <v>-766.1</v>
      </c>
      <c r="K42" s="8">
        <v>1079.6610000000001</v>
      </c>
      <c r="L42" s="278">
        <v>2193.4140000000002</v>
      </c>
      <c r="M42" s="279">
        <v>1226.702</v>
      </c>
      <c r="O42" s="15" t="s">
        <v>82</v>
      </c>
      <c r="P42" s="9"/>
      <c r="Q42" s="9"/>
      <c r="R42" s="9">
        <v>266.593322</v>
      </c>
      <c r="S42" s="9"/>
      <c r="T42" s="9"/>
      <c r="U42" s="9"/>
      <c r="V42" s="9">
        <v>182.20500000000001</v>
      </c>
      <c r="W42" s="9">
        <v>180.68600000000001</v>
      </c>
      <c r="X42" s="15">
        <v>162.76</v>
      </c>
      <c r="Y42" s="9">
        <v>658.85</v>
      </c>
      <c r="Z42" s="9">
        <v>319.39999999999998</v>
      </c>
      <c r="AA42" s="9">
        <f>379.2</f>
        <v>379.2</v>
      </c>
      <c r="AB42" s="282">
        <v>1165.1410000000001</v>
      </c>
      <c r="AC42" s="282">
        <v>1570.3869999999999</v>
      </c>
      <c r="AD42" s="211"/>
    </row>
    <row r="43" spans="1:30" ht="15" customHeight="1" x14ac:dyDescent="0.25">
      <c r="A43" s="15" t="s">
        <v>79</v>
      </c>
      <c r="B43" s="8"/>
      <c r="C43" s="8">
        <v>-289.16806400000002</v>
      </c>
      <c r="D43" s="8">
        <v>-254.827887</v>
      </c>
      <c r="E43" s="8"/>
      <c r="F43" s="8">
        <v>-315.90699999999998</v>
      </c>
      <c r="G43" s="8">
        <v>-602.77</v>
      </c>
      <c r="H43" s="8">
        <v>-1477.46</v>
      </c>
      <c r="I43" s="8">
        <v>-2935.67</v>
      </c>
      <c r="J43" s="8">
        <v>-2083.61</v>
      </c>
      <c r="K43" s="8">
        <v>-2802.4029999999998</v>
      </c>
      <c r="L43" s="278">
        <v>-769.88800000000003</v>
      </c>
      <c r="M43" s="279">
        <v>-392.048</v>
      </c>
      <c r="O43" s="15" t="s">
        <v>83</v>
      </c>
      <c r="P43" s="9"/>
      <c r="Q43" s="9"/>
      <c r="R43" s="33">
        <v>0</v>
      </c>
      <c r="S43" s="9"/>
      <c r="T43" s="9"/>
      <c r="U43" s="9"/>
      <c r="V43" s="9">
        <v>485.23399999999998</v>
      </c>
      <c r="W43" s="9">
        <v>215.744</v>
      </c>
      <c r="X43" s="9">
        <v>279.49</v>
      </c>
      <c r="Y43" s="9">
        <v>1175.8599999999999</v>
      </c>
      <c r="Z43" s="9">
        <v>334.8</v>
      </c>
      <c r="AA43" s="9">
        <v>1332.7</v>
      </c>
      <c r="AB43" s="282">
        <v>805.38400000000001</v>
      </c>
      <c r="AC43" s="282">
        <v>484</v>
      </c>
      <c r="AD43" s="211"/>
    </row>
    <row r="44" spans="1:30" ht="15" customHeight="1" x14ac:dyDescent="0.25">
      <c r="A44" s="15" t="s">
        <v>19</v>
      </c>
      <c r="B44" s="8"/>
      <c r="C44" s="8">
        <v>123.31234000000001</v>
      </c>
      <c r="D44" s="8">
        <v>284.52159899999998</v>
      </c>
      <c r="E44" s="8"/>
      <c r="F44" s="8">
        <v>0</v>
      </c>
      <c r="G44" s="8">
        <v>0</v>
      </c>
      <c r="H44" s="8">
        <v>0</v>
      </c>
      <c r="I44" s="8">
        <v>17.5</v>
      </c>
      <c r="J44" s="8">
        <v>2061.58</v>
      </c>
      <c r="K44" s="8">
        <v>1094.7149999999999</v>
      </c>
      <c r="L44" s="278">
        <v>-272.29000000000002</v>
      </c>
      <c r="M44" s="279">
        <v>-2150.9920000000002</v>
      </c>
      <c r="O44" s="15" t="s">
        <v>78</v>
      </c>
      <c r="P44" s="9"/>
      <c r="Q44" s="9"/>
      <c r="R44" s="9">
        <v>252.55324300000001</v>
      </c>
      <c r="S44" s="9"/>
      <c r="T44" s="9"/>
      <c r="U44" s="9"/>
      <c r="V44" s="9">
        <v>7.0819999999999999</v>
      </c>
      <c r="W44" s="9">
        <v>13.18</v>
      </c>
      <c r="X44" s="9">
        <v>30.036000000000001</v>
      </c>
      <c r="Y44" s="9">
        <v>42.97</v>
      </c>
      <c r="Z44" s="9">
        <v>56.22</v>
      </c>
      <c r="AA44" s="9">
        <v>109.3</v>
      </c>
      <c r="AB44" s="282">
        <v>779.84699999999998</v>
      </c>
      <c r="AC44" s="282">
        <v>1381.7729999999999</v>
      </c>
      <c r="AD44" s="211"/>
    </row>
    <row r="45" spans="1:30" ht="15" customHeight="1" x14ac:dyDescent="0.25">
      <c r="A45" s="266" t="s">
        <v>20</v>
      </c>
      <c r="B45" s="68">
        <f t="shared" ref="B45:D45" si="25">+B42+B43+B44</f>
        <v>0</v>
      </c>
      <c r="C45" s="68">
        <f t="shared" si="25"/>
        <v>14.626626999999985</v>
      </c>
      <c r="D45" s="68">
        <f t="shared" si="25"/>
        <v>-10.594601000000011</v>
      </c>
      <c r="E45" s="68"/>
      <c r="F45" s="68">
        <v>666.68899999999996</v>
      </c>
      <c r="G45" s="68">
        <v>-674.44</v>
      </c>
      <c r="H45" s="68">
        <f>196.36+6.8</f>
        <v>203.16000000000003</v>
      </c>
      <c r="I45" s="233">
        <v>236.91</v>
      </c>
      <c r="J45" s="233">
        <f>J42+J43+J44</f>
        <v>-788.13000000000011</v>
      </c>
      <c r="K45" s="233">
        <f>K42+K43+K44</f>
        <v>-628.02699999999982</v>
      </c>
      <c r="L45" s="280">
        <f>L42+L43+L44</f>
        <v>1151.2360000000003</v>
      </c>
      <c r="M45" s="280">
        <f>M42+M43+M44</f>
        <v>-1316.3380000000002</v>
      </c>
      <c r="O45" s="15" t="s">
        <v>189</v>
      </c>
      <c r="P45" s="9"/>
      <c r="Q45" s="9"/>
      <c r="R45" s="33">
        <v>0</v>
      </c>
      <c r="S45" s="33"/>
      <c r="T45" s="33"/>
      <c r="U45" s="33"/>
      <c r="V45" s="9">
        <v>0</v>
      </c>
      <c r="W45" s="9">
        <v>0</v>
      </c>
      <c r="X45" s="33">
        <v>0</v>
      </c>
      <c r="Y45" s="33">
        <v>0</v>
      </c>
      <c r="Z45" s="33"/>
      <c r="AA45" s="261"/>
      <c r="AB45" s="282"/>
      <c r="AC45" s="282"/>
      <c r="AD45" s="211"/>
    </row>
    <row r="46" spans="1:30" ht="15" customHeight="1" x14ac:dyDescent="0.25">
      <c r="A46" s="266" t="s">
        <v>72</v>
      </c>
      <c r="B46" s="68">
        <f t="shared" ref="B46:D46" si="26">+B41+B45</f>
        <v>0</v>
      </c>
      <c r="C46" s="68">
        <f t="shared" si="26"/>
        <v>21.920706999999986</v>
      </c>
      <c r="D46" s="68">
        <f t="shared" si="26"/>
        <v>11.326105999999989</v>
      </c>
      <c r="E46" s="68"/>
      <c r="F46" s="68">
        <f t="shared" ref="F46:M46" si="27">F41+F45</f>
        <v>1945.1570000000002</v>
      </c>
      <c r="G46" s="68">
        <f t="shared" si="27"/>
        <v>1270.71</v>
      </c>
      <c r="H46" s="68">
        <f t="shared" si="27"/>
        <v>1473.8700000000001</v>
      </c>
      <c r="I46" s="265">
        <f t="shared" si="27"/>
        <v>1710.7900000000002</v>
      </c>
      <c r="J46" s="265">
        <f t="shared" si="27"/>
        <v>922.66999999999985</v>
      </c>
      <c r="K46" s="265">
        <f t="shared" si="27"/>
        <v>294.64100000000019</v>
      </c>
      <c r="L46" s="276">
        <f>L41+L45</f>
        <v>1445.8770000000004</v>
      </c>
      <c r="M46" s="276">
        <f t="shared" si="27"/>
        <v>129.53899999999976</v>
      </c>
      <c r="O46" s="15" t="s">
        <v>70</v>
      </c>
      <c r="P46" s="9"/>
      <c r="Q46" s="9"/>
      <c r="R46" s="9">
        <v>187.46950000000001</v>
      </c>
      <c r="S46" s="33"/>
      <c r="T46" s="33"/>
      <c r="U46" s="33"/>
      <c r="V46" s="9">
        <v>0</v>
      </c>
      <c r="W46" s="9">
        <v>1.7130000000000001</v>
      </c>
      <c r="X46" s="9">
        <v>68.106999999999999</v>
      </c>
      <c r="Y46" s="9">
        <v>134.76</v>
      </c>
      <c r="Z46" s="9">
        <v>131.9</v>
      </c>
      <c r="AA46" s="9">
        <v>2</v>
      </c>
      <c r="AB46" s="282">
        <v>3.0379999999999998</v>
      </c>
      <c r="AC46" s="282">
        <v>2.468</v>
      </c>
      <c r="AD46" s="211"/>
    </row>
    <row r="47" spans="1:30" ht="15" customHeight="1" x14ac:dyDescent="0.25">
      <c r="O47" s="1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282"/>
      <c r="AC47" s="282"/>
      <c r="AD47" s="211"/>
    </row>
    <row r="48" spans="1:30" ht="15" customHeight="1" x14ac:dyDescent="0.25">
      <c r="O48" s="253" t="s">
        <v>47</v>
      </c>
      <c r="P48" s="226">
        <f t="shared" ref="P48:X48" si="28">(P30-P41-P9)</f>
        <v>0</v>
      </c>
      <c r="Q48" s="226">
        <f t="shared" si="28"/>
        <v>0</v>
      </c>
      <c r="R48" s="226">
        <f t="shared" si="28"/>
        <v>893.42854900000032</v>
      </c>
      <c r="S48" s="226">
        <f t="shared" si="28"/>
        <v>0</v>
      </c>
      <c r="T48" s="226"/>
      <c r="U48" s="226"/>
      <c r="V48" s="226">
        <f t="shared" si="28"/>
        <v>1677.7290000000005</v>
      </c>
      <c r="W48" s="226">
        <f t="shared" si="28"/>
        <v>1605.9239999999998</v>
      </c>
      <c r="X48" s="226">
        <f t="shared" si="28"/>
        <v>1793.4770000000003</v>
      </c>
      <c r="Y48" s="226">
        <f>(Y30-Y41-Y9)</f>
        <v>526.47000000000037</v>
      </c>
      <c r="Z48" s="226">
        <f>(Z30-Z41-Z9)</f>
        <v>479.81999999999994</v>
      </c>
      <c r="AA48" s="226">
        <f>(AA30-AA41-AA9)</f>
        <v>-1952.529</v>
      </c>
      <c r="AB48" s="283">
        <f>(AB30-AB41-AB9)</f>
        <v>-774.05300000000034</v>
      </c>
      <c r="AC48" s="283">
        <f>(AC30-AC41-AC9)</f>
        <v>1372.6160000000007</v>
      </c>
      <c r="AD48" s="23"/>
    </row>
    <row r="49" spans="1:31" ht="15" customHeight="1" x14ac:dyDescent="0.25">
      <c r="A49" s="258" t="s">
        <v>21</v>
      </c>
      <c r="B49" s="228" t="s">
        <v>31</v>
      </c>
      <c r="C49" s="228" t="s">
        <v>32</v>
      </c>
      <c r="D49" s="228" t="s">
        <v>33</v>
      </c>
      <c r="E49" s="228" t="s">
        <v>34</v>
      </c>
      <c r="F49" s="228" t="s">
        <v>35</v>
      </c>
      <c r="G49" s="229" t="s">
        <v>85</v>
      </c>
      <c r="H49" s="228" t="s">
        <v>90</v>
      </c>
      <c r="I49" s="228" t="s">
        <v>181</v>
      </c>
      <c r="J49" s="228" t="s">
        <v>192</v>
      </c>
      <c r="K49" s="228" t="s">
        <v>194</v>
      </c>
      <c r="L49" s="228" t="s">
        <v>196</v>
      </c>
      <c r="M49" s="228" t="s">
        <v>201</v>
      </c>
      <c r="O49" s="15" t="s">
        <v>48</v>
      </c>
      <c r="P49" s="9"/>
      <c r="Q49" s="9"/>
      <c r="R49" s="9">
        <v>62.554617999999998</v>
      </c>
      <c r="S49" s="9"/>
      <c r="T49" s="9"/>
      <c r="U49" s="9"/>
      <c r="V49" s="9">
        <v>0</v>
      </c>
      <c r="W49" s="9">
        <v>0</v>
      </c>
      <c r="X49" s="9">
        <v>39.530999999999999</v>
      </c>
      <c r="Y49" s="9">
        <v>30.22</v>
      </c>
      <c r="Z49" s="9">
        <v>13.3</v>
      </c>
      <c r="AA49" s="9">
        <v>9.8000000000000007</v>
      </c>
      <c r="AB49" s="282">
        <v>9.6</v>
      </c>
      <c r="AC49" s="282">
        <v>122.379</v>
      </c>
      <c r="AD49" s="211"/>
    </row>
    <row r="50" spans="1:31" ht="15" customHeight="1" x14ac:dyDescent="0.25">
      <c r="A50" s="266" t="s">
        <v>27</v>
      </c>
      <c r="B50" s="68" t="e">
        <f>SUM(#REF!)</f>
        <v>#REF!</v>
      </c>
      <c r="C50" s="68" t="e">
        <f>SUM(#REF!)</f>
        <v>#REF!</v>
      </c>
      <c r="D50" s="68" t="e">
        <f>SUM(#REF!)</f>
        <v>#REF!</v>
      </c>
      <c r="E50" s="68"/>
      <c r="F50" s="68">
        <v>256.71699999999998</v>
      </c>
      <c r="G50" s="68">
        <f>G42</f>
        <v>-81.010000000000005</v>
      </c>
      <c r="H50" s="68">
        <f t="shared" ref="H50:K50" si="29">H42</f>
        <v>1666.52</v>
      </c>
      <c r="I50" s="235">
        <f t="shared" si="29"/>
        <v>3163.81</v>
      </c>
      <c r="J50" s="235">
        <f t="shared" si="29"/>
        <v>-766.1</v>
      </c>
      <c r="K50" s="235">
        <f t="shared" si="29"/>
        <v>1079.6610000000001</v>
      </c>
      <c r="L50" s="278">
        <f>L42</f>
        <v>2193.4140000000002</v>
      </c>
      <c r="M50" s="278">
        <f>M42</f>
        <v>1226.702</v>
      </c>
      <c r="O50" s="15" t="s">
        <v>82</v>
      </c>
      <c r="P50" s="9"/>
      <c r="Q50" s="9"/>
      <c r="R50" s="9"/>
      <c r="S50" s="9"/>
      <c r="T50" s="9"/>
      <c r="U50" s="9"/>
      <c r="V50" s="9">
        <v>221.107</v>
      </c>
      <c r="W50" s="9">
        <v>221.107</v>
      </c>
      <c r="X50" s="9">
        <v>221.107</v>
      </c>
      <c r="Y50" s="9">
        <v>0</v>
      </c>
      <c r="Z50" s="9">
        <v>0</v>
      </c>
      <c r="AA50" s="9">
        <v>0</v>
      </c>
      <c r="AB50" s="282">
        <v>0</v>
      </c>
      <c r="AC50" s="282">
        <v>0</v>
      </c>
      <c r="AD50" s="211"/>
    </row>
    <row r="51" spans="1:31" ht="15" customHeight="1" x14ac:dyDescent="0.25">
      <c r="A51" s="15" t="s">
        <v>28</v>
      </c>
      <c r="B51" s="72"/>
      <c r="C51" s="72">
        <f t="shared" ref="C51:D51" si="30">-(Q16-P16)</f>
        <v>0</v>
      </c>
      <c r="D51" s="72">
        <f t="shared" si="30"/>
        <v>-1059.722117</v>
      </c>
      <c r="E51" s="72"/>
      <c r="F51" s="72">
        <v>-467.43700000000001</v>
      </c>
      <c r="G51" s="72">
        <f>-485.83-81.47</f>
        <v>-567.29999999999995</v>
      </c>
      <c r="H51" s="72">
        <f>-1174.29-8.91</f>
        <v>-1183.2</v>
      </c>
      <c r="I51" s="235">
        <v>3029.56</v>
      </c>
      <c r="J51" s="210">
        <v>-2066.1469999999999</v>
      </c>
      <c r="K51" s="210">
        <v>-2653.288</v>
      </c>
      <c r="L51" s="207">
        <v>-716.71900000000005</v>
      </c>
      <c r="M51" s="207">
        <v>-183.09700000000001</v>
      </c>
      <c r="O51" s="15" t="s">
        <v>109</v>
      </c>
      <c r="P51" s="9"/>
      <c r="Q51" s="9"/>
      <c r="R51" s="9">
        <v>0</v>
      </c>
      <c r="S51" s="33"/>
      <c r="T51" s="33"/>
      <c r="U51" s="33"/>
      <c r="V51" s="33">
        <v>0</v>
      </c>
      <c r="W51" s="33">
        <v>0</v>
      </c>
      <c r="X51" s="33">
        <v>3.05</v>
      </c>
      <c r="Y51" s="33">
        <v>3.05</v>
      </c>
      <c r="Z51" s="33">
        <v>1.35</v>
      </c>
      <c r="AA51" s="33">
        <v>1008.6</v>
      </c>
      <c r="AB51" s="282">
        <v>1079.0999999999999</v>
      </c>
      <c r="AC51" s="282">
        <v>817.26</v>
      </c>
      <c r="AD51" s="211"/>
    </row>
    <row r="52" spans="1:31" ht="15" customHeight="1" x14ac:dyDescent="0.25">
      <c r="A52" s="266" t="s">
        <v>29</v>
      </c>
      <c r="B52" s="68"/>
      <c r="C52" s="68" t="e">
        <f t="shared" ref="C52:K52" si="31">SUM(C50:C51)</f>
        <v>#REF!</v>
      </c>
      <c r="D52" s="68" t="e">
        <f t="shared" si="31"/>
        <v>#REF!</v>
      </c>
      <c r="E52" s="68"/>
      <c r="F52" s="68">
        <f t="shared" si="31"/>
        <v>-210.72000000000003</v>
      </c>
      <c r="G52" s="68">
        <f t="shared" si="31"/>
        <v>-648.30999999999995</v>
      </c>
      <c r="H52" s="68">
        <f t="shared" si="31"/>
        <v>483.31999999999994</v>
      </c>
      <c r="I52" s="265">
        <f t="shared" si="31"/>
        <v>6193.37</v>
      </c>
      <c r="J52" s="265">
        <f t="shared" si="31"/>
        <v>-2832.2469999999998</v>
      </c>
      <c r="K52" s="265">
        <f t="shared" si="31"/>
        <v>-1573.627</v>
      </c>
      <c r="L52" s="276">
        <f>SUM(L50:L51)</f>
        <v>1476.6950000000002</v>
      </c>
      <c r="M52" s="276">
        <f>SUM(M50:M51)</f>
        <v>1043.605</v>
      </c>
      <c r="O52" s="15" t="s">
        <v>110</v>
      </c>
      <c r="P52" s="9"/>
      <c r="Q52" s="9"/>
      <c r="R52" s="9">
        <v>0</v>
      </c>
      <c r="S52" s="9"/>
      <c r="T52" s="9"/>
      <c r="U52" s="9"/>
      <c r="V52" s="9">
        <v>936.5</v>
      </c>
      <c r="W52" s="9">
        <v>967.94500000000005</v>
      </c>
      <c r="X52" s="9">
        <v>1014.597</v>
      </c>
      <c r="Y52" s="9">
        <v>1067.75</v>
      </c>
      <c r="Z52" s="9">
        <v>1125.95</v>
      </c>
      <c r="AA52" s="9">
        <v>1326.2</v>
      </c>
      <c r="AB52" s="282">
        <v>1546.8</v>
      </c>
      <c r="AC52" s="282">
        <v>1651.2950000000001</v>
      </c>
      <c r="AD52" s="211"/>
    </row>
    <row r="53" spans="1:31" ht="15" customHeight="1" x14ac:dyDescent="0.25">
      <c r="A53" s="1" t="s">
        <v>30</v>
      </c>
      <c r="O53" s="15" t="s">
        <v>180</v>
      </c>
      <c r="P53" s="9"/>
      <c r="Q53" s="9"/>
      <c r="R53" s="9"/>
      <c r="S53" s="9"/>
      <c r="T53" s="9"/>
      <c r="U53" s="9"/>
      <c r="V53" s="9">
        <v>1.984</v>
      </c>
      <c r="W53" s="9">
        <v>0.29399999999999998</v>
      </c>
      <c r="X53" s="9">
        <v>1.048</v>
      </c>
      <c r="Y53" s="9">
        <v>0</v>
      </c>
      <c r="Z53" s="9">
        <v>0</v>
      </c>
      <c r="AA53" s="9">
        <v>0</v>
      </c>
      <c r="AB53" s="282">
        <v>0</v>
      </c>
      <c r="AC53" s="282">
        <v>0</v>
      </c>
      <c r="AD53" s="211"/>
    </row>
    <row r="54" spans="1:31" ht="15" customHeight="1" x14ac:dyDescent="0.25">
      <c r="O54" s="253" t="s">
        <v>88</v>
      </c>
      <c r="P54" s="226">
        <f t="shared" ref="P54:X54" si="32">P15+P30</f>
        <v>0</v>
      </c>
      <c r="Q54" s="226">
        <f t="shared" si="32"/>
        <v>0</v>
      </c>
      <c r="R54" s="226">
        <f t="shared" si="32"/>
        <v>3710.950135</v>
      </c>
      <c r="S54" s="226">
        <f t="shared" si="32"/>
        <v>0</v>
      </c>
      <c r="T54" s="226"/>
      <c r="U54" s="226"/>
      <c r="V54" s="226">
        <f t="shared" si="32"/>
        <v>5247.5640000000003</v>
      </c>
      <c r="W54" s="226">
        <f t="shared" si="32"/>
        <v>5436.2759999999998</v>
      </c>
      <c r="X54" s="226">
        <f t="shared" si="32"/>
        <v>7341.4740000000002</v>
      </c>
      <c r="Y54" s="226">
        <f>Y15+Y30</f>
        <v>10358.34</v>
      </c>
      <c r="Z54" s="226">
        <f>Z15+Z30</f>
        <v>11851.501</v>
      </c>
      <c r="AA54" s="226">
        <f>AA15+AA30</f>
        <v>15272.391000000003</v>
      </c>
      <c r="AB54" s="239">
        <f>AB15+AB30</f>
        <v>18502.936000000002</v>
      </c>
      <c r="AC54" s="239">
        <f>AC15+AC30</f>
        <v>19514.52</v>
      </c>
      <c r="AD54" s="23"/>
    </row>
    <row r="55" spans="1:31" ht="15" customHeight="1" x14ac:dyDescent="0.25">
      <c r="A55" s="258" t="s">
        <v>21</v>
      </c>
      <c r="B55" s="228" t="s">
        <v>31</v>
      </c>
      <c r="C55" s="228" t="s">
        <v>32</v>
      </c>
      <c r="D55" s="228" t="s">
        <v>33</v>
      </c>
      <c r="E55" s="228" t="s">
        <v>34</v>
      </c>
      <c r="F55" s="228" t="s">
        <v>35</v>
      </c>
      <c r="G55" s="229" t="s">
        <v>85</v>
      </c>
      <c r="H55" s="229" t="s">
        <v>90</v>
      </c>
      <c r="I55" s="229" t="s">
        <v>181</v>
      </c>
      <c r="J55" s="229" t="s">
        <v>192</v>
      </c>
      <c r="K55" s="229" t="s">
        <v>194</v>
      </c>
      <c r="L55" s="229" t="s">
        <v>196</v>
      </c>
      <c r="M55" s="229" t="s">
        <v>201</v>
      </c>
      <c r="O55" s="253" t="s">
        <v>89</v>
      </c>
      <c r="P55" s="226">
        <f>P52+P41+P10+P6+P49+P51+P53</f>
        <v>0</v>
      </c>
      <c r="Q55" s="226">
        <f>Q52+Q41+Q10+Q6+Q49+Q51+Q53</f>
        <v>0</v>
      </c>
      <c r="R55" s="226">
        <f>R52+R41+R10+R6+R49+R51+R53</f>
        <v>3710.9501359999999</v>
      </c>
      <c r="S55" s="226">
        <f>S52+S41+S10+S6+S49+S51+S53</f>
        <v>0</v>
      </c>
      <c r="T55" s="226"/>
      <c r="U55" s="226"/>
      <c r="V55" s="226">
        <f>V52+V41+V10+V6+V49+V50+V51+V53</f>
        <v>5247.5640000000003</v>
      </c>
      <c r="W55" s="226">
        <f>W52+W41+W10+W6+W49+W50+W51+W53</f>
        <v>5435.2290000000003</v>
      </c>
      <c r="X55" s="226">
        <f t="shared" ref="X55" si="33">X52+X41+X10+X6+X49+X50+X51+X53</f>
        <v>7341.463999999999</v>
      </c>
      <c r="Y55" s="226">
        <f>Y52+Y41+Y10+Y6+Y49+Y50+Y51+Y53</f>
        <v>10358.369999999999</v>
      </c>
      <c r="Z55" s="226">
        <f>Z52+Z41+Z10+Z6+Z49+Z50+Z51+Z53</f>
        <v>11851.502999999999</v>
      </c>
      <c r="AA55" s="226">
        <f>AA52+AA41+AA10+AA6+AA49+AA50+AA51+AA53</f>
        <v>15272.460000000001</v>
      </c>
      <c r="AB55" s="239">
        <f>AB52+AB41+AB10+AB6+AB49+AB50+AB51+AB53</f>
        <v>18502.914999999997</v>
      </c>
      <c r="AC55" s="239">
        <f>AC52+AC41+AC10+AC6+AC49+AC50+AC51+AC53</f>
        <v>19514.52</v>
      </c>
      <c r="AD55" s="23"/>
    </row>
    <row r="56" spans="1:31" ht="15" customHeight="1" x14ac:dyDescent="0.25">
      <c r="A56" s="15" t="s">
        <v>73</v>
      </c>
      <c r="B56" s="28">
        <v>21957533</v>
      </c>
      <c r="C56" s="28">
        <v>21957533</v>
      </c>
      <c r="D56" s="28">
        <v>16743793</v>
      </c>
      <c r="E56" s="28"/>
      <c r="F56" s="28">
        <v>130493289</v>
      </c>
      <c r="G56" s="202">
        <v>130493289</v>
      </c>
      <c r="H56" s="202">
        <v>130493289</v>
      </c>
      <c r="I56" s="236">
        <v>132243289</v>
      </c>
      <c r="J56" s="236">
        <v>132243289</v>
      </c>
      <c r="K56" s="236">
        <v>132243289</v>
      </c>
      <c r="L56" s="281">
        <v>132243289</v>
      </c>
      <c r="M56" s="281">
        <v>132243289</v>
      </c>
      <c r="O56" s="21"/>
      <c r="P56" s="22"/>
      <c r="Q56" s="22"/>
      <c r="R56" s="22"/>
      <c r="S56" s="22"/>
      <c r="T56" s="22"/>
      <c r="U56" s="22"/>
      <c r="V56" s="22"/>
      <c r="W56" s="22"/>
      <c r="X56" s="22"/>
      <c r="AC56" s="252"/>
      <c r="AD56" s="211"/>
      <c r="AE56" s="307">
        <v>475.8</v>
      </c>
    </row>
    <row r="57" spans="1:31" ht="15" customHeight="1" x14ac:dyDescent="0.25">
      <c r="A57" s="15" t="s">
        <v>198</v>
      </c>
      <c r="B57" s="68">
        <f>B56*P60/10^6</f>
        <v>603.83215749999999</v>
      </c>
      <c r="C57" s="68">
        <f>C56*Q60/10^6</f>
        <v>436.95490669999998</v>
      </c>
      <c r="D57" s="68">
        <f>D56*R60/10^6</f>
        <v>3414.0593927000004</v>
      </c>
      <c r="E57" s="68"/>
      <c r="F57" s="68">
        <f t="shared" ref="F57:L57" si="34">F56*V60/10^6</f>
        <v>10230.673857600001</v>
      </c>
      <c r="G57" s="68">
        <f t="shared" si="34"/>
        <v>14406.459105600001</v>
      </c>
      <c r="H57" s="68">
        <f t="shared" si="34"/>
        <v>16911.930254399998</v>
      </c>
      <c r="I57" s="8">
        <f t="shared" si="34"/>
        <v>4529.3326482499997</v>
      </c>
      <c r="J57" s="8">
        <f t="shared" si="34"/>
        <v>12847.43552635</v>
      </c>
      <c r="K57" s="8">
        <f t="shared" si="34"/>
        <v>29073.687086649999</v>
      </c>
      <c r="L57" s="278">
        <f t="shared" si="34"/>
        <v>15882.4190089</v>
      </c>
      <c r="M57" s="278">
        <f>M56*AC60/10^6</f>
        <v>23466.57163305</v>
      </c>
      <c r="O57" s="21"/>
      <c r="P57" s="22"/>
      <c r="Q57" s="22"/>
      <c r="R57" s="22"/>
      <c r="S57" s="22"/>
      <c r="T57" s="22"/>
      <c r="U57" s="22"/>
      <c r="V57" s="22"/>
      <c r="W57" s="22"/>
      <c r="X57" s="22"/>
    </row>
    <row r="58" spans="1:31" ht="15" customHeight="1" x14ac:dyDescent="0.25">
      <c r="A58" s="15" t="s">
        <v>77</v>
      </c>
      <c r="B58" s="72">
        <f>P10</f>
        <v>0</v>
      </c>
      <c r="C58" s="72">
        <f>Q10</f>
        <v>0</v>
      </c>
      <c r="D58" s="72">
        <f>R10</f>
        <v>870.02611300000001</v>
      </c>
      <c r="E58" s="72"/>
      <c r="F58" s="72">
        <f>V8+V9</f>
        <v>0</v>
      </c>
      <c r="G58" s="72">
        <f>W8+W9</f>
        <v>2.4860000000000002</v>
      </c>
      <c r="H58" s="72">
        <f>X8+X9</f>
        <v>119.36499999999999</v>
      </c>
      <c r="I58" s="8">
        <f>Y8+Y9</f>
        <v>447.84000000000003</v>
      </c>
      <c r="J58" s="8">
        <f>Z8+Z9</f>
        <v>2536.8900000000003</v>
      </c>
      <c r="K58" s="8">
        <f t="shared" ref="K58" si="35">AA8+AA9</f>
        <v>3573.4340000000002</v>
      </c>
      <c r="L58" s="278">
        <f>AB8+AB9</f>
        <v>3641.98</v>
      </c>
      <c r="M58" s="278">
        <f>AC8+AC9</f>
        <v>1740.7950000000001</v>
      </c>
      <c r="O58" s="301" t="s">
        <v>49</v>
      </c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212"/>
    </row>
    <row r="59" spans="1:31" ht="15" customHeight="1" x14ac:dyDescent="0.25">
      <c r="A59" s="15" t="s">
        <v>75</v>
      </c>
      <c r="B59" s="72">
        <f>P35</f>
        <v>0</v>
      </c>
      <c r="C59" s="72">
        <f>Q35</f>
        <v>0</v>
      </c>
      <c r="D59" s="72">
        <f>R35</f>
        <v>71.801948999999993</v>
      </c>
      <c r="E59" s="72"/>
      <c r="F59" s="72">
        <v>1945.1569999999999</v>
      </c>
      <c r="G59" s="72">
        <v>1270.71</v>
      </c>
      <c r="H59" s="72">
        <v>1473.88</v>
      </c>
      <c r="I59" s="8">
        <v>1710.8</v>
      </c>
      <c r="J59" s="8">
        <f>J46</f>
        <v>922.66999999999985</v>
      </c>
      <c r="K59" s="8">
        <f>K46</f>
        <v>294.64100000000019</v>
      </c>
      <c r="L59" s="278">
        <f>L46</f>
        <v>1445.8770000000004</v>
      </c>
      <c r="M59" s="278">
        <f>M46</f>
        <v>129.53899999999976</v>
      </c>
      <c r="O59" s="228" t="s">
        <v>50</v>
      </c>
      <c r="P59" s="228" t="s">
        <v>31</v>
      </c>
      <c r="Q59" s="228" t="s">
        <v>32</v>
      </c>
      <c r="R59" s="228" t="s">
        <v>33</v>
      </c>
      <c r="S59" s="228" t="s">
        <v>34</v>
      </c>
      <c r="T59" s="228"/>
      <c r="U59" s="228"/>
      <c r="V59" s="228" t="s">
        <v>35</v>
      </c>
      <c r="W59" s="229" t="s">
        <v>85</v>
      </c>
      <c r="X59" s="229" t="s">
        <v>90</v>
      </c>
      <c r="Y59" s="228" t="s">
        <v>181</v>
      </c>
      <c r="Z59" s="228" t="s">
        <v>192</v>
      </c>
      <c r="AA59" s="228" t="s">
        <v>194</v>
      </c>
      <c r="AB59" s="228" t="s">
        <v>196</v>
      </c>
      <c r="AC59" s="228" t="s">
        <v>201</v>
      </c>
      <c r="AD59" s="212"/>
    </row>
    <row r="60" spans="1:31" ht="15" customHeight="1" x14ac:dyDescent="0.25">
      <c r="A60" s="15" t="s">
        <v>76</v>
      </c>
      <c r="B60" s="68">
        <f t="shared" ref="B60:M60" si="36">B57+B58-B59</f>
        <v>603.83215749999999</v>
      </c>
      <c r="C60" s="68">
        <f t="shared" si="36"/>
        <v>436.95490669999998</v>
      </c>
      <c r="D60" s="68">
        <f t="shared" si="36"/>
        <v>4212.2835567000011</v>
      </c>
      <c r="E60" s="68"/>
      <c r="F60" s="68">
        <f t="shared" si="36"/>
        <v>8285.5168576000015</v>
      </c>
      <c r="G60" s="68">
        <f t="shared" si="36"/>
        <v>13138.235105600001</v>
      </c>
      <c r="H60" s="68">
        <f t="shared" si="36"/>
        <v>15557.415254399999</v>
      </c>
      <c r="I60" s="265">
        <f t="shared" si="36"/>
        <v>3266.3726482499997</v>
      </c>
      <c r="J60" s="265">
        <f t="shared" si="36"/>
        <v>14461.655526349999</v>
      </c>
      <c r="K60" s="265">
        <f t="shared" si="36"/>
        <v>32352.480086650001</v>
      </c>
      <c r="L60" s="276">
        <f t="shared" si="36"/>
        <v>18078.522008899999</v>
      </c>
      <c r="M60" s="276">
        <f t="shared" si="36"/>
        <v>25077.827633049998</v>
      </c>
      <c r="O60" s="17" t="s">
        <v>51</v>
      </c>
      <c r="P60" s="72">
        <v>27.5</v>
      </c>
      <c r="Q60" s="72">
        <v>19.899999999999999</v>
      </c>
      <c r="R60" s="72">
        <v>203.9</v>
      </c>
      <c r="S60" s="8">
        <v>31.55</v>
      </c>
      <c r="T60" s="8"/>
      <c r="U60" s="8"/>
      <c r="V60" s="8">
        <v>78.400000000000006</v>
      </c>
      <c r="W60" s="8">
        <v>110.4</v>
      </c>
      <c r="X60" s="8">
        <v>129.6</v>
      </c>
      <c r="Y60" s="15">
        <v>34.25</v>
      </c>
      <c r="Z60" s="15">
        <v>97.15</v>
      </c>
      <c r="AA60" s="15">
        <v>219.85</v>
      </c>
      <c r="AB60" s="290">
        <v>120.1</v>
      </c>
      <c r="AC60" s="290">
        <v>177.45</v>
      </c>
      <c r="AD60" s="21"/>
    </row>
    <row r="61" spans="1:31" ht="15" customHeight="1" x14ac:dyDescent="0.3">
      <c r="O61" s="262" t="s">
        <v>52</v>
      </c>
      <c r="P61" s="234">
        <f>B34</f>
        <v>5.75</v>
      </c>
      <c r="Q61" s="234">
        <f>C34</f>
        <v>14.92</v>
      </c>
      <c r="R61" s="234">
        <f>D34</f>
        <v>14.3</v>
      </c>
      <c r="S61" s="234">
        <f>E34</f>
        <v>0.38</v>
      </c>
      <c r="T61" s="234"/>
      <c r="U61" s="234"/>
      <c r="V61" s="234">
        <f t="shared" ref="V61:AB61" si="37">F34</f>
        <v>2.76</v>
      </c>
      <c r="W61" s="240">
        <f t="shared" si="37"/>
        <v>2.85</v>
      </c>
      <c r="X61" s="240">
        <f t="shared" si="37"/>
        <v>11.91</v>
      </c>
      <c r="Y61" s="240">
        <f t="shared" si="37"/>
        <v>10.46</v>
      </c>
      <c r="Z61" s="240">
        <f t="shared" si="37"/>
        <v>4.04</v>
      </c>
      <c r="AA61" s="240">
        <f t="shared" si="37"/>
        <v>1.51</v>
      </c>
      <c r="AB61" s="284">
        <f t="shared" si="37"/>
        <v>14.67</v>
      </c>
      <c r="AC61" s="284">
        <v>17.12</v>
      </c>
      <c r="AD61" s="248" t="s">
        <v>199</v>
      </c>
    </row>
    <row r="62" spans="1:31" ht="15" customHeight="1" x14ac:dyDescent="0.25">
      <c r="O62" s="262" t="s">
        <v>53</v>
      </c>
      <c r="P62" s="234">
        <f>(P6*1000000)/B56</f>
        <v>0</v>
      </c>
      <c r="Q62" s="234">
        <f>(Q6*1000000)/C56</f>
        <v>0</v>
      </c>
      <c r="R62" s="234">
        <f>(R6*1000000)/D56</f>
        <v>123.73261781246339</v>
      </c>
      <c r="S62" s="234" t="e">
        <f>(S6*1000000)/E56</f>
        <v>#DIV/0!</v>
      </c>
      <c r="T62" s="234"/>
      <c r="U62" s="234"/>
      <c r="V62" s="234">
        <f t="shared" ref="V62:AC62" si="38">(V6*1000000)/F56</f>
        <v>26.158065492548051</v>
      </c>
      <c r="W62" s="234">
        <f t="shared" si="38"/>
        <v>29.366061882308756</v>
      </c>
      <c r="X62" s="234">
        <f t="shared" si="38"/>
        <v>41.399623240395144</v>
      </c>
      <c r="Y62" s="240">
        <f t="shared" si="38"/>
        <v>51.398222559331536</v>
      </c>
      <c r="Z62" s="240">
        <f t="shared" si="38"/>
        <v>55.440945664925195</v>
      </c>
      <c r="AA62" s="240">
        <f t="shared" si="38"/>
        <v>56.949778374008829</v>
      </c>
      <c r="AB62" s="284">
        <f t="shared" si="38"/>
        <v>71.625751836828556</v>
      </c>
      <c r="AC62" s="284">
        <f t="shared" si="38"/>
        <v>88.807251307852752</v>
      </c>
      <c r="AD62" s="213"/>
    </row>
    <row r="63" spans="1:31" ht="15" customHeight="1" x14ac:dyDescent="0.25">
      <c r="A63" s="301" t="s">
        <v>188</v>
      </c>
      <c r="B63" s="301"/>
      <c r="C63" s="301"/>
      <c r="D63" s="301"/>
      <c r="E63" s="301"/>
      <c r="F63" s="301"/>
      <c r="G63" s="301"/>
      <c r="O63" s="262" t="s">
        <v>54</v>
      </c>
      <c r="P63" s="234">
        <v>0.6</v>
      </c>
      <c r="Q63" s="234">
        <v>0.6</v>
      </c>
      <c r="R63" s="234">
        <v>2</v>
      </c>
      <c r="S63" s="234">
        <v>1.5</v>
      </c>
      <c r="T63" s="234"/>
      <c r="U63" s="234"/>
      <c r="V63" s="234">
        <v>2</v>
      </c>
      <c r="W63" s="234">
        <v>0</v>
      </c>
      <c r="X63" s="234">
        <v>0</v>
      </c>
      <c r="Y63" s="250">
        <v>0</v>
      </c>
      <c r="Z63" s="250">
        <v>0</v>
      </c>
      <c r="AA63" s="251">
        <v>0</v>
      </c>
      <c r="AB63" s="285">
        <v>0</v>
      </c>
      <c r="AC63" s="285">
        <v>0</v>
      </c>
      <c r="AD63" s="214"/>
    </row>
    <row r="64" spans="1:31" ht="15" customHeight="1" x14ac:dyDescent="0.25">
      <c r="A64" s="255" t="s">
        <v>111</v>
      </c>
      <c r="B64" s="255"/>
      <c r="C64" s="255"/>
      <c r="D64" s="255"/>
      <c r="E64" s="304" t="s">
        <v>112</v>
      </c>
      <c r="F64" s="304"/>
      <c r="G64" s="304"/>
      <c r="O64" s="262" t="s">
        <v>55</v>
      </c>
      <c r="P64" s="234">
        <f t="shared" ref="P64:X64" si="39">(P60/P61)</f>
        <v>4.7826086956521738</v>
      </c>
      <c r="Q64" s="234">
        <f t="shared" si="39"/>
        <v>1.3337801608579087</v>
      </c>
      <c r="R64" s="234">
        <f t="shared" si="39"/>
        <v>14.258741258741258</v>
      </c>
      <c r="S64" s="241">
        <f t="shared" si="39"/>
        <v>83.026315789473685</v>
      </c>
      <c r="T64" s="241"/>
      <c r="U64" s="241"/>
      <c r="V64" s="241">
        <f t="shared" si="39"/>
        <v>28.405797101449281</v>
      </c>
      <c r="W64" s="241">
        <f t="shared" si="39"/>
        <v>38.736842105263158</v>
      </c>
      <c r="X64" s="241">
        <f t="shared" si="39"/>
        <v>10.8816120906801</v>
      </c>
      <c r="Y64" s="241">
        <f>(Y60/Y61)</f>
        <v>3.2743785850860418</v>
      </c>
      <c r="Z64" s="241">
        <f>(Z60/Z61)</f>
        <v>24.047029702970299</v>
      </c>
      <c r="AA64" s="241">
        <f>(AA60/AA61)</f>
        <v>145.59602649006621</v>
      </c>
      <c r="AB64" s="286">
        <f t="shared" ref="AB64" si="40">(AB60/AB61)</f>
        <v>8.1867757327880017</v>
      </c>
      <c r="AC64" s="286">
        <f>(AC60/AC61)</f>
        <v>10.365070093457943</v>
      </c>
      <c r="AD64" s="215"/>
    </row>
    <row r="65" spans="1:30" ht="15" customHeight="1" x14ac:dyDescent="0.25">
      <c r="A65" s="32" t="s">
        <v>113</v>
      </c>
      <c r="B65" s="32"/>
      <c r="C65" s="32"/>
      <c r="D65" s="32"/>
      <c r="E65" s="305" t="s">
        <v>116</v>
      </c>
      <c r="F65" s="305"/>
      <c r="G65" s="305"/>
      <c r="O65" s="262" t="s">
        <v>56</v>
      </c>
      <c r="P65" s="234" t="e">
        <f t="shared" ref="P65:X65" si="41">(P60/P62)</f>
        <v>#DIV/0!</v>
      </c>
      <c r="Q65" s="234" t="e">
        <f t="shared" si="41"/>
        <v>#DIV/0!</v>
      </c>
      <c r="R65" s="234">
        <f t="shared" si="41"/>
        <v>1.6479082363636979</v>
      </c>
      <c r="S65" s="241" t="e">
        <f t="shared" si="41"/>
        <v>#DIV/0!</v>
      </c>
      <c r="T65" s="241"/>
      <c r="U65" s="241"/>
      <c r="V65" s="241">
        <f t="shared" si="41"/>
        <v>2.9971635334552822</v>
      </c>
      <c r="W65" s="241">
        <f t="shared" si="41"/>
        <v>3.7594417815522347</v>
      </c>
      <c r="X65" s="241">
        <f t="shared" si="41"/>
        <v>3.1304632713068865</v>
      </c>
      <c r="Y65" s="241">
        <f>(Y60/Y62)</f>
        <v>0.66636545574048822</v>
      </c>
      <c r="Z65" s="241">
        <f>(Z60/Z62)</f>
        <v>1.7523149873228463</v>
      </c>
      <c r="AA65" s="241">
        <f>(AA60/AA62)</f>
        <v>3.8604188862012641</v>
      </c>
      <c r="AB65" s="286">
        <f>(AB60/AB62)</f>
        <v>1.6767712299006812</v>
      </c>
      <c r="AC65" s="286">
        <f>(AC60/AC62)</f>
        <v>1.9981476443276545</v>
      </c>
      <c r="AD65" s="215"/>
    </row>
    <row r="66" spans="1:30" ht="15" customHeight="1" x14ac:dyDescent="0.25">
      <c r="A66" s="32" t="s">
        <v>114</v>
      </c>
      <c r="B66" s="32"/>
      <c r="C66" s="32"/>
      <c r="D66" s="32"/>
      <c r="E66" s="305" t="s">
        <v>115</v>
      </c>
      <c r="F66" s="305"/>
      <c r="G66" s="305"/>
      <c r="O66" s="262" t="s">
        <v>57</v>
      </c>
      <c r="P66" s="234" t="e">
        <f>B60/B14</f>
        <v>#DIV/0!</v>
      </c>
      <c r="Q66" s="234">
        <f>C60/C14</f>
        <v>1.0080773013002053</v>
      </c>
      <c r="R66" s="234">
        <f>D60/D14</f>
        <v>8.9319338620063125</v>
      </c>
      <c r="S66" s="241">
        <f>E60/E14</f>
        <v>0</v>
      </c>
      <c r="T66" s="241"/>
      <c r="U66" s="241"/>
      <c r="V66" s="241">
        <f>F60/F14</f>
        <v>617.0787858494084</v>
      </c>
      <c r="W66" s="241">
        <f>G60/G14</f>
        <v>42.808661627990332</v>
      </c>
      <c r="X66" s="241">
        <f>H60/H14</f>
        <v>8.3143380716188648</v>
      </c>
      <c r="Y66" s="241">
        <f>I60/I14</f>
        <v>2.6215710361889624</v>
      </c>
      <c r="Z66" s="241">
        <f>J60/J14</f>
        <v>26.714058421261655</v>
      </c>
      <c r="AA66" s="241">
        <f>K60/697</f>
        <v>46.416757656599714</v>
      </c>
      <c r="AB66" s="286">
        <f>L60/L14</f>
        <v>5.7909328004364058</v>
      </c>
      <c r="AC66" s="286">
        <f>M60/M14</f>
        <v>8.1387457109832901</v>
      </c>
      <c r="AD66" s="215"/>
    </row>
    <row r="67" spans="1:30" ht="15" customHeight="1" x14ac:dyDescent="0.25">
      <c r="A67" s="32" t="s">
        <v>117</v>
      </c>
      <c r="B67" s="32"/>
      <c r="C67" s="32"/>
      <c r="D67" s="32"/>
      <c r="E67" s="305" t="s">
        <v>118</v>
      </c>
      <c r="F67" s="305"/>
      <c r="G67" s="305"/>
      <c r="O67" s="242" t="s">
        <v>58</v>
      </c>
      <c r="P67" s="232" t="e">
        <f>(B26/P6)</f>
        <v>#DIV/0!</v>
      </c>
      <c r="Q67" s="232" t="e">
        <f>(C26/Q6)</f>
        <v>#DIV/0!</v>
      </c>
      <c r="R67" s="232">
        <f>(D26/R6)</f>
        <v>0.12685482384693528</v>
      </c>
      <c r="S67" s="242" t="e">
        <f>(E26/S6)</f>
        <v>#DIV/0!</v>
      </c>
      <c r="T67" s="242"/>
      <c r="U67" s="242"/>
      <c r="V67" s="242">
        <f t="shared" ref="V67:AA67" si="42">(F26/V6)</f>
        <v>0.10565609242491178</v>
      </c>
      <c r="W67" s="242">
        <f t="shared" si="42"/>
        <v>9.7913036126129088E-2</v>
      </c>
      <c r="X67" s="242">
        <f t="shared" si="42"/>
        <v>0.29013750068719807</v>
      </c>
      <c r="Y67" s="242">
        <f t="shared" si="42"/>
        <v>0.20238632234183263</v>
      </c>
      <c r="Z67" s="242">
        <f t="shared" si="42"/>
        <v>7.2861752394706131E-2</v>
      </c>
      <c r="AA67" s="242">
        <f t="shared" si="42"/>
        <v>2.6547470491524228E-2</v>
      </c>
      <c r="AB67" s="287">
        <f>L26/AB6</f>
        <v>0.20486453530264115</v>
      </c>
      <c r="AC67" s="287">
        <f>M26/AC6</f>
        <v>0.19278972882103224</v>
      </c>
      <c r="AD67" s="216"/>
    </row>
    <row r="68" spans="1:30" ht="15" customHeigh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O68" s="242" t="s">
        <v>59</v>
      </c>
      <c r="P68" s="232" t="e">
        <f>(B23+B20)/P11</f>
        <v>#DIV/0!</v>
      </c>
      <c r="Q68" s="232" t="e">
        <f>(C23+C20)/Q11</f>
        <v>#DIV/0!</v>
      </c>
      <c r="R68" s="232">
        <f>(D23+D20)/R11</f>
        <v>0.212223171574036</v>
      </c>
      <c r="S68" s="232" t="e">
        <f>(E23+E20)/S11</f>
        <v>#DIV/0!</v>
      </c>
      <c r="T68" s="232"/>
      <c r="U68" s="232"/>
      <c r="V68" s="232">
        <f t="shared" ref="V68:AA68" si="43">(F23+F20)/V11</f>
        <v>8.7500379943945397E-2</v>
      </c>
      <c r="W68" s="232">
        <f t="shared" si="43"/>
        <v>7.6724763560464718E-2</v>
      </c>
      <c r="X68" s="232">
        <f t="shared" si="43"/>
        <v>0.23720973588318192</v>
      </c>
      <c r="Y68" s="232">
        <f t="shared" si="43"/>
        <v>0.17486596136669519</v>
      </c>
      <c r="Z68" s="232">
        <f t="shared" si="43"/>
        <v>5.7251686534049197E-2</v>
      </c>
      <c r="AA68" s="232">
        <f t="shared" si="43"/>
        <v>2.4241545294817448E-2</v>
      </c>
      <c r="AB68" s="275">
        <f>(L14-L19)/AB12</f>
        <v>0.18287282823760206</v>
      </c>
      <c r="AC68" s="275">
        <f>(M14-M19)/AC12</f>
        <v>0.15050166451751168</v>
      </c>
      <c r="AD68" s="217"/>
    </row>
    <row r="69" spans="1:30" ht="15" customHeigh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O69" s="262" t="s">
        <v>60</v>
      </c>
      <c r="P69" s="234" t="e">
        <f>(P10/P6)</f>
        <v>#DIV/0!</v>
      </c>
      <c r="Q69" s="234" t="e">
        <f>(Q10/Q6)</f>
        <v>#DIV/0!</v>
      </c>
      <c r="R69" s="234">
        <f>(R10/R6)</f>
        <v>0.41994676499471706</v>
      </c>
      <c r="S69" s="241" t="e">
        <f>(S10/S6)</f>
        <v>#DIV/0!</v>
      </c>
      <c r="T69" s="241"/>
      <c r="U69" s="241"/>
      <c r="V69" s="241">
        <f t="shared" ref="V69:AA69" si="44">(V10/V6)</f>
        <v>0</v>
      </c>
      <c r="W69" s="241">
        <f t="shared" si="44"/>
        <v>6.4873486263574234E-4</v>
      </c>
      <c r="X69" s="241">
        <f t="shared" si="44"/>
        <v>2.2094920139723785E-2</v>
      </c>
      <c r="Y69" s="241">
        <f t="shared" si="44"/>
        <v>6.588721316684984E-2</v>
      </c>
      <c r="Z69" s="241">
        <f t="shared" si="44"/>
        <v>0.34601694315351178</v>
      </c>
      <c r="AA69" s="241">
        <f t="shared" si="44"/>
        <v>0.47448237511395891</v>
      </c>
      <c r="AB69" s="282">
        <f>AB10/AB6</f>
        <v>0.38449856287330325</v>
      </c>
      <c r="AC69" s="282">
        <f>AC10/AC6</f>
        <v>0.14822639978685581</v>
      </c>
      <c r="AD69" s="211"/>
    </row>
    <row r="70" spans="1:30" ht="1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O70" s="262" t="s">
        <v>61</v>
      </c>
      <c r="P70" s="234" t="e">
        <f>(P10-P34)/P6</f>
        <v>#DIV/0!</v>
      </c>
      <c r="Q70" s="234" t="e">
        <f>(Q10-Q34)/Q6</f>
        <v>#DIV/0!</v>
      </c>
      <c r="R70" s="234">
        <f>(R10-R34)/R6</f>
        <v>-6.8366197976058266E-2</v>
      </c>
      <c r="S70" s="241" t="e">
        <f>(S10-S35)/S6</f>
        <v>#DIV/0!</v>
      </c>
      <c r="T70" s="241"/>
      <c r="U70" s="241"/>
      <c r="V70" s="241">
        <f t="shared" ref="V70:AA70" si="45">(V10-V35)/V6</f>
        <v>-8.3491726264204091E-2</v>
      </c>
      <c r="W70" s="241">
        <f t="shared" si="45"/>
        <v>-0.21934466818751408</v>
      </c>
      <c r="X70" s="241">
        <f t="shared" si="45"/>
        <v>-2.9076666864727773E-2</v>
      </c>
      <c r="Y70" s="241">
        <f t="shared" si="45"/>
        <v>-3.798401370002074E-2</v>
      </c>
      <c r="Z70" s="241">
        <f t="shared" si="45"/>
        <v>0.28206172844389421</v>
      </c>
      <c r="AA70" s="241">
        <f t="shared" si="45"/>
        <v>0.4358166917312003</v>
      </c>
      <c r="AB70" s="282">
        <f>(AB10-AB35-AB36-AB25)/AB6</f>
        <v>0.30092878766684</v>
      </c>
      <c r="AC70" s="282">
        <f>(AC10-AC35-AC36-AC25)/AC6</f>
        <v>8.8909358632028535E-2</v>
      </c>
      <c r="AD70" s="211"/>
    </row>
    <row r="71" spans="1:30" ht="15" customHeight="1" x14ac:dyDescent="0.25">
      <c r="O71" s="262" t="s">
        <v>62</v>
      </c>
      <c r="P71" s="243">
        <f t="shared" ref="P71:X71" si="46">(P63/P60)</f>
        <v>2.1818181818181816E-2</v>
      </c>
      <c r="Q71" s="243">
        <f t="shared" si="46"/>
        <v>3.0150753768844223E-2</v>
      </c>
      <c r="R71" s="243">
        <f t="shared" si="46"/>
        <v>9.8087297694948502E-3</v>
      </c>
      <c r="S71" s="244">
        <f t="shared" si="46"/>
        <v>4.7543581616481777E-2</v>
      </c>
      <c r="T71" s="244"/>
      <c r="U71" s="244"/>
      <c r="V71" s="244">
        <f t="shared" si="46"/>
        <v>2.551020408163265E-2</v>
      </c>
      <c r="W71" s="245">
        <f t="shared" si="46"/>
        <v>0</v>
      </c>
      <c r="X71" s="245">
        <f t="shared" si="46"/>
        <v>0</v>
      </c>
      <c r="Y71" s="245">
        <f>(Y63/Y60)</f>
        <v>0</v>
      </c>
      <c r="Z71" s="245">
        <v>0</v>
      </c>
      <c r="AA71" s="245">
        <v>0</v>
      </c>
      <c r="AB71" s="288">
        <v>0</v>
      </c>
      <c r="AC71" s="288">
        <v>0</v>
      </c>
      <c r="AD71" s="218"/>
    </row>
    <row r="72" spans="1:30" ht="15" customHeight="1" x14ac:dyDescent="0.25">
      <c r="O72" s="262" t="s">
        <v>63</v>
      </c>
      <c r="P72" s="246" t="e">
        <f>(AVERAGE(O34:P34)/B4*365)</f>
        <v>#DIV/0!</v>
      </c>
      <c r="Q72" s="246" t="e">
        <f>(AVERAGE(P34:Q34)/C4*365)</f>
        <v>#DIV/0!</v>
      </c>
      <c r="R72" s="246">
        <f>(AVERAGE(Q34:R34)/D4*365)</f>
        <v>124.49023794197426</v>
      </c>
      <c r="S72" s="246">
        <f>(AVERAGE(R34:S34)/E4*365)</f>
        <v>714.97489530691507</v>
      </c>
      <c r="T72" s="246"/>
      <c r="U72" s="246"/>
      <c r="V72" s="246">
        <f>(AVERAGE(S34:V34)/F4*365)</f>
        <v>73.603883912856418</v>
      </c>
      <c r="W72" s="246">
        <f t="shared" ref="W72:AC72" si="47">(AVERAGE(V34:W34)/G4*365)</f>
        <v>81.078891454965344</v>
      </c>
      <c r="X72" s="246">
        <f t="shared" si="47"/>
        <v>39.522289486299158</v>
      </c>
      <c r="Y72" s="246">
        <f t="shared" si="47"/>
        <v>69.81405837053461</v>
      </c>
      <c r="Z72" s="246">
        <f t="shared" si="47"/>
        <v>108.0799411583893</v>
      </c>
      <c r="AA72" s="246">
        <f t="shared" si="47"/>
        <v>55.399370685503293</v>
      </c>
      <c r="AB72" s="289">
        <f t="shared" si="47"/>
        <v>43.473745037933305</v>
      </c>
      <c r="AC72" s="289">
        <f t="shared" si="47"/>
        <v>105.09994342780767</v>
      </c>
      <c r="AD72" s="219"/>
    </row>
    <row r="73" spans="1:30" ht="15" customHeight="1" x14ac:dyDescent="0.25">
      <c r="O73" s="262" t="s">
        <v>64</v>
      </c>
      <c r="P73" s="246"/>
      <c r="Q73" s="246" t="e">
        <f>AVERAGE(P42:Q42)/(C8+C9)*365</f>
        <v>#DIV/0!</v>
      </c>
      <c r="R73" s="246">
        <f>AVERAGE(Q42:R42)/(D8+D9)*365</f>
        <v>74.979115740845302</v>
      </c>
      <c r="S73" s="246">
        <f>AVERAGE(R42:S42)/(E8)*365</f>
        <v>778.23459455352508</v>
      </c>
      <c r="T73" s="246"/>
      <c r="U73" s="246"/>
      <c r="V73" s="246">
        <f>AVERAGE(S42:V42)/(F8)*365</f>
        <v>586.96955923108158</v>
      </c>
      <c r="W73" s="246">
        <f>AVERAGE(V42:W42)/(G8)*365</f>
        <v>593.52243601233158</v>
      </c>
      <c r="X73" s="246">
        <f t="shared" ref="X73:AC73" si="48">AVERAGE(W42:X42)/(H7)*365</f>
        <v>80.331604404730797</v>
      </c>
      <c r="Y73" s="246">
        <f t="shared" si="48"/>
        <v>193.58081153657466</v>
      </c>
      <c r="Z73" s="246">
        <f t="shared" si="48"/>
        <v>298.89607399966519</v>
      </c>
      <c r="AA73" s="246">
        <f t="shared" si="48"/>
        <v>165.984257504114</v>
      </c>
      <c r="AB73" s="289">
        <f t="shared" si="48"/>
        <v>114.23168311253741</v>
      </c>
      <c r="AC73" s="289">
        <f t="shared" si="48"/>
        <v>113.20434083805442</v>
      </c>
      <c r="AD73" s="219"/>
    </row>
    <row r="74" spans="1:30" ht="15" customHeight="1" x14ac:dyDescent="0.25">
      <c r="O74" s="262" t="s">
        <v>65</v>
      </c>
      <c r="P74" s="246"/>
      <c r="Q74" s="246" t="e">
        <f>(AVERAGE(P31:Q31)/(C8+C9)*365)</f>
        <v>#DIV/0!</v>
      </c>
      <c r="R74" s="246">
        <f>(AVERAGE(Q31:R31)/(D8+D9)*365)</f>
        <v>273.13497317858901</v>
      </c>
      <c r="S74" s="246">
        <f>(AVERAGE(R31:S31)/(E8+E9)*365)</f>
        <v>1330.8467804271841</v>
      </c>
      <c r="T74" s="246"/>
      <c r="U74" s="246"/>
      <c r="V74" s="246">
        <f>(AVERAGE(S31:V31)/(F8+F9)*365)</f>
        <v>769.3541325276525</v>
      </c>
      <c r="W74" s="246">
        <f t="shared" ref="W74:AC74" si="49">(AVERAGE(V31:W31)/(G7)*365)</f>
        <v>536.42052169860006</v>
      </c>
      <c r="X74" s="246">
        <f t="shared" si="49"/>
        <v>131.2249407883607</v>
      </c>
      <c r="Y74" s="246">
        <f t="shared" si="49"/>
        <v>128.20944253660045</v>
      </c>
      <c r="Z74" s="246">
        <f t="shared" si="49"/>
        <v>191.52264356269882</v>
      </c>
      <c r="AA74" s="246">
        <f t="shared" si="49"/>
        <v>103.93855323182038</v>
      </c>
      <c r="AB74" s="289">
        <f t="shared" si="49"/>
        <v>65.526400263285225</v>
      </c>
      <c r="AC74" s="289">
        <f t="shared" si="49"/>
        <v>51.011617510471609</v>
      </c>
      <c r="AD74" s="219"/>
    </row>
    <row r="75" spans="1:30" ht="15" customHeight="1" x14ac:dyDescent="0.25">
      <c r="O75" s="262" t="s">
        <v>81</v>
      </c>
      <c r="P75" s="246"/>
      <c r="Q75" s="246" t="e">
        <f t="shared" ref="Q75:X75" si="50">(Q74+Q72-Q73)</f>
        <v>#DIV/0!</v>
      </c>
      <c r="R75" s="246">
        <f t="shared" si="50"/>
        <v>322.64609537971796</v>
      </c>
      <c r="S75" s="246">
        <f t="shared" si="50"/>
        <v>1267.5870811805742</v>
      </c>
      <c r="T75" s="246"/>
      <c r="U75" s="246"/>
      <c r="V75" s="246">
        <f t="shared" si="50"/>
        <v>255.98845720942734</v>
      </c>
      <c r="W75" s="246">
        <f t="shared" si="50"/>
        <v>23.976977141233874</v>
      </c>
      <c r="X75" s="246">
        <f t="shared" si="50"/>
        <v>90.415625869929045</v>
      </c>
      <c r="Y75" s="246">
        <f>(Y74+Y72-Y73)</f>
        <v>4.4426893705604016</v>
      </c>
      <c r="Z75" s="246">
        <f>(Z74+Z72-Z73)</f>
        <v>0.70651072142294424</v>
      </c>
      <c r="AA75" s="246">
        <f>(AA74+AA72-AA73)</f>
        <v>-6.6463335867903197</v>
      </c>
      <c r="AB75" s="289">
        <f>(AB74+AB72-AB73)</f>
        <v>-5.2315378113188729</v>
      </c>
      <c r="AC75" s="289">
        <f>(AC74+AC72-AC73)</f>
        <v>42.907220100224876</v>
      </c>
      <c r="AD75" s="219"/>
    </row>
    <row r="76" spans="1:30" ht="15" customHeight="1" x14ac:dyDescent="0.25">
      <c r="O76" s="262" t="s">
        <v>66</v>
      </c>
      <c r="P76" s="246"/>
      <c r="Q76" s="246" t="e">
        <f>AVERAGE(P48:Q48)/#REF!*365</f>
        <v>#REF!</v>
      </c>
      <c r="R76" s="246">
        <f>AVERAGE(Q48:R48)/D4*365</f>
        <v>54.97039102403243</v>
      </c>
      <c r="S76" s="246">
        <f>AVERAGE(R48:S48)/E4*365</f>
        <v>315.70708046768215</v>
      </c>
      <c r="T76" s="246"/>
      <c r="U76" s="246"/>
      <c r="V76" s="246">
        <f>AVERAGE(S48:V48)/F4*365</f>
        <v>1197.5810321899328</v>
      </c>
      <c r="W76" s="246">
        <f t="shared" ref="W76:AC76" si="51">AVERAGE(V48:W48)/G4*365</f>
        <v>1230.2112856043111</v>
      </c>
      <c r="X76" s="246">
        <f t="shared" si="51"/>
        <v>233.98545847544341</v>
      </c>
      <c r="Y76" s="246">
        <f t="shared" si="51"/>
        <v>209.54315554257778</v>
      </c>
      <c r="Z76" s="246">
        <f t="shared" si="51"/>
        <v>161.28566723751814</v>
      </c>
      <c r="AA76" s="246">
        <f t="shared" si="51"/>
        <v>-172.59232139990368</v>
      </c>
      <c r="AB76" s="289">
        <f t="shared" si="51"/>
        <v>-89.029807378685106</v>
      </c>
      <c r="AC76" s="289">
        <f t="shared" si="51"/>
        <v>14.581922755063106</v>
      </c>
      <c r="AD76" s="219"/>
    </row>
    <row r="77" spans="1:30" ht="15" customHeight="1" x14ac:dyDescent="0.25">
      <c r="O77" s="263" t="s">
        <v>86</v>
      </c>
      <c r="P77" s="247"/>
      <c r="Q77" s="247" t="e">
        <f>C20/Q10</f>
        <v>#DIV/0!</v>
      </c>
      <c r="R77" s="247">
        <f>D20/R10</f>
        <v>0.15203499300026183</v>
      </c>
      <c r="S77" s="245" t="e">
        <f>E20/S10</f>
        <v>#DIV/0!</v>
      </c>
      <c r="T77" s="245"/>
      <c r="U77" s="245"/>
      <c r="V77" s="245" t="e">
        <f>F20/V10</f>
        <v>#DIV/0!</v>
      </c>
      <c r="W77" s="245">
        <f>(G20/W10)/100</f>
        <v>4.1222847948511658E-2</v>
      </c>
      <c r="X77" s="245">
        <f t="shared" ref="X77:AC77" si="52">H20/X10</f>
        <v>0.13996565157290664</v>
      </c>
      <c r="Y77" s="245">
        <f t="shared" si="52"/>
        <v>0.14278760271525542</v>
      </c>
      <c r="Z77" s="245">
        <f t="shared" si="52"/>
        <v>2.2835046060333711E-2</v>
      </c>
      <c r="AA77" s="245">
        <f t="shared" si="52"/>
        <v>2.5790877906238088E-2</v>
      </c>
      <c r="AB77" s="288">
        <f t="shared" si="52"/>
        <v>0.10401155415460821</v>
      </c>
      <c r="AC77" s="288">
        <f t="shared" si="52"/>
        <v>0.17887459465359218</v>
      </c>
      <c r="AD77" s="218"/>
    </row>
    <row r="78" spans="1:30" ht="15" customHeight="1" x14ac:dyDescent="0.25">
      <c r="O78" s="264" t="s">
        <v>100</v>
      </c>
      <c r="P78" s="234"/>
      <c r="Q78" s="234">
        <f>(C23+C20)/C20</f>
        <v>3.7105403466443927</v>
      </c>
      <c r="R78" s="234">
        <f>(D23+D20)/D20</f>
        <v>3.6902912682720315</v>
      </c>
      <c r="S78" s="234">
        <f>(E23+E20)/E20</f>
        <v>2.0990008714508654</v>
      </c>
      <c r="T78" s="234"/>
      <c r="U78" s="234"/>
      <c r="V78" s="234" t="e">
        <f t="shared" ref="V78:AC78" si="53">(F23+F20)/F20</f>
        <v>#DIV/0!</v>
      </c>
      <c r="W78" s="234">
        <f t="shared" si="53"/>
        <v>37.612997658079628</v>
      </c>
      <c r="X78" s="234">
        <f t="shared" si="53"/>
        <v>94.893577542347529</v>
      </c>
      <c r="Y78" s="234">
        <f t="shared" si="53"/>
        <v>22.472242204359933</v>
      </c>
      <c r="Z78" s="234">
        <f t="shared" si="53"/>
        <v>9.9461418953909906</v>
      </c>
      <c r="AA78" s="234">
        <f t="shared" si="53"/>
        <v>3.1358585968186459</v>
      </c>
      <c r="AB78" s="278">
        <f t="shared" si="53"/>
        <v>6.2082268589892493</v>
      </c>
      <c r="AC78" s="278">
        <f t="shared" si="53"/>
        <v>8.9731489093851966</v>
      </c>
      <c r="AD78" s="220"/>
    </row>
    <row r="80" spans="1:30" ht="15" customHeight="1" x14ac:dyDescent="0.3">
      <c r="O80" s="249" t="s">
        <v>200</v>
      </c>
    </row>
  </sheetData>
  <mergeCells count="10">
    <mergeCell ref="E65:G65"/>
    <mergeCell ref="E66:G66"/>
    <mergeCell ref="E67:G67"/>
    <mergeCell ref="A63:G63"/>
    <mergeCell ref="A39:L39"/>
    <mergeCell ref="O2:AC2"/>
    <mergeCell ref="O58:AC58"/>
    <mergeCell ref="A1:AC1"/>
    <mergeCell ref="E64:G64"/>
    <mergeCell ref="A2:L2"/>
  </mergeCells>
  <phoneticPr fontId="17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4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workbookViewId="0">
      <selection activeCell="J54" sqref="J54"/>
    </sheetView>
  </sheetViews>
  <sheetFormatPr defaultColWidth="9.109375" defaultRowHeight="14.4" x14ac:dyDescent="0.3"/>
  <cols>
    <col min="1" max="1" width="20.44140625" style="95" bestFit="1" customWidth="1"/>
    <col min="2" max="4" width="9.6640625" style="95" customWidth="1"/>
    <col min="5" max="5" width="12.6640625" style="95" bestFit="1" customWidth="1"/>
    <col min="6" max="6" width="11.6640625" style="95" bestFit="1" customWidth="1"/>
    <col min="7" max="7" width="5" style="95" customWidth="1"/>
    <col min="8" max="8" width="21.44140625" style="95" bestFit="1" customWidth="1"/>
    <col min="9" max="13" width="12.6640625" style="95" customWidth="1"/>
    <col min="14" max="16384" width="9.109375" style="95"/>
  </cols>
  <sheetData>
    <row r="1" spans="1:13" x14ac:dyDescent="0.3">
      <c r="A1" s="306" t="s">
        <v>187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3">
      <c r="A2" s="130" t="s">
        <v>190</v>
      </c>
    </row>
    <row r="3" spans="1:13" s="130" customFormat="1" ht="15" thickBot="1" x14ac:dyDescent="0.35">
      <c r="B3" s="122" t="s">
        <v>181</v>
      </c>
      <c r="C3" s="122" t="s">
        <v>181</v>
      </c>
      <c r="D3" s="122" t="s">
        <v>90</v>
      </c>
      <c r="E3" s="122" t="s">
        <v>181</v>
      </c>
      <c r="F3" s="122" t="s">
        <v>181</v>
      </c>
      <c r="I3" s="122" t="s">
        <v>181</v>
      </c>
      <c r="J3" s="122" t="s">
        <v>181</v>
      </c>
      <c r="K3" s="122" t="s">
        <v>90</v>
      </c>
      <c r="L3" s="122" t="s">
        <v>181</v>
      </c>
      <c r="M3" s="122" t="s">
        <v>181</v>
      </c>
    </row>
    <row r="4" spans="1:13" ht="43.2" x14ac:dyDescent="0.3">
      <c r="A4" s="129" t="s">
        <v>150</v>
      </c>
      <c r="B4" s="120" t="s">
        <v>182</v>
      </c>
      <c r="C4" s="120" t="s">
        <v>186</v>
      </c>
      <c r="D4" s="120" t="s">
        <v>185</v>
      </c>
      <c r="E4" s="120" t="s">
        <v>184</v>
      </c>
      <c r="F4" s="119" t="s">
        <v>183</v>
      </c>
      <c r="H4" s="129" t="s">
        <v>149</v>
      </c>
      <c r="I4" s="120" t="s">
        <v>182</v>
      </c>
      <c r="J4" s="120" t="s">
        <v>186</v>
      </c>
      <c r="K4" s="120" t="s">
        <v>185</v>
      </c>
      <c r="L4" s="120" t="s">
        <v>184</v>
      </c>
      <c r="M4" s="119" t="s">
        <v>183</v>
      </c>
    </row>
    <row r="5" spans="1:13" x14ac:dyDescent="0.3">
      <c r="A5" s="101" t="s">
        <v>148</v>
      </c>
      <c r="B5" s="111">
        <v>2238.14</v>
      </c>
      <c r="C5" s="111">
        <v>1040.3</v>
      </c>
      <c r="D5" s="111">
        <v>3112.09</v>
      </c>
      <c r="E5" s="111">
        <v>4616093.3099999996</v>
      </c>
      <c r="F5" s="110">
        <v>149073</v>
      </c>
      <c r="H5" s="101" t="s">
        <v>147</v>
      </c>
      <c r="I5" s="111">
        <f>Consolidated!X6/10</f>
        <v>540.2373</v>
      </c>
      <c r="J5" s="111">
        <v>912.2</v>
      </c>
      <c r="K5" s="111">
        <v>438.08</v>
      </c>
      <c r="L5" s="111">
        <v>77.612399999999994</v>
      </c>
      <c r="M5" s="110">
        <v>757.76</v>
      </c>
    </row>
    <row r="6" spans="1:13" x14ac:dyDescent="0.3">
      <c r="A6" s="101" t="s">
        <v>146</v>
      </c>
      <c r="B6" s="111">
        <v>448.95</v>
      </c>
      <c r="C6" s="111">
        <v>718.87</v>
      </c>
      <c r="D6" s="111">
        <v>1700.13</v>
      </c>
      <c r="E6" s="111">
        <v>1438090.13</v>
      </c>
      <c r="F6" s="110">
        <v>110769</v>
      </c>
      <c r="H6" s="101" t="s">
        <v>40</v>
      </c>
      <c r="I6" s="111">
        <f>Consolidated!X8/10</f>
        <v>0.17760000000000001</v>
      </c>
      <c r="J6" s="111">
        <v>62.2</v>
      </c>
      <c r="K6" s="111">
        <v>22.86</v>
      </c>
      <c r="L6" s="111">
        <v>0.91</v>
      </c>
      <c r="M6" s="110">
        <v>0</v>
      </c>
    </row>
    <row r="7" spans="1:13" x14ac:dyDescent="0.3">
      <c r="A7" s="118" t="s">
        <v>124</v>
      </c>
      <c r="B7" s="117">
        <f>((B5/B6)^(1/3)-1)</f>
        <v>0.7082958704114406</v>
      </c>
      <c r="C7" s="117">
        <f>((C5/C6)^(1/3)-1)</f>
        <v>0.13110454164468544</v>
      </c>
      <c r="D7" s="117">
        <f>((D5/D6)^(1/3)-1)</f>
        <v>0.22327285619878845</v>
      </c>
      <c r="E7" s="117">
        <f>((E5/E6)^(1/3)-1)</f>
        <v>0.47512726821158568</v>
      </c>
      <c r="F7" s="116">
        <f>((F5/F6)^(1/3)-1)</f>
        <v>0.10406231281227174</v>
      </c>
      <c r="H7" s="101" t="s">
        <v>41</v>
      </c>
      <c r="I7" s="111">
        <f>Consolidated!X9/10</f>
        <v>11.758900000000001</v>
      </c>
      <c r="J7" s="111">
        <v>301</v>
      </c>
      <c r="K7" s="111">
        <v>98.88</v>
      </c>
      <c r="L7" s="111">
        <v>24.33</v>
      </c>
      <c r="M7" s="110">
        <v>43.43</v>
      </c>
    </row>
    <row r="8" spans="1:13" x14ac:dyDescent="0.3">
      <c r="A8" s="101"/>
      <c r="B8" s="128"/>
      <c r="C8" s="115"/>
      <c r="D8" s="115"/>
      <c r="E8" s="115"/>
      <c r="F8" s="114"/>
      <c r="H8" s="118" t="s">
        <v>42</v>
      </c>
      <c r="I8" s="126">
        <f>I6+I7</f>
        <v>11.936500000000001</v>
      </c>
      <c r="J8" s="126">
        <f>J6+J7</f>
        <v>363.2</v>
      </c>
      <c r="K8" s="126">
        <f>K6+K7</f>
        <v>121.74</v>
      </c>
      <c r="L8" s="126">
        <f>L6+L7</f>
        <v>25.24</v>
      </c>
      <c r="M8" s="125">
        <f>M6+M7</f>
        <v>43.43</v>
      </c>
    </row>
    <row r="9" spans="1:13" x14ac:dyDescent="0.3">
      <c r="A9" s="101" t="s">
        <v>145</v>
      </c>
      <c r="B9" s="111"/>
      <c r="C9" s="111"/>
      <c r="D9" s="111"/>
      <c r="E9" s="111"/>
      <c r="F9" s="110"/>
      <c r="H9" s="118" t="s">
        <v>43</v>
      </c>
      <c r="I9" s="126">
        <f>(I10+I11-I17-I7)</f>
        <v>668.3492</v>
      </c>
      <c r="J9" s="126">
        <f>(J10+J11-J17-J7)</f>
        <v>743.10000000000014</v>
      </c>
      <c r="K9" s="126">
        <f>(K10+K11-K17-K7)</f>
        <v>386.65000000000009</v>
      </c>
      <c r="L9" s="126">
        <f>(L10+L11-L17-L7)</f>
        <v>87.042699999999996</v>
      </c>
      <c r="M9" s="125">
        <f>(M10+M11-M17-M7)</f>
        <v>744.31999999999994</v>
      </c>
    </row>
    <row r="10" spans="1:13" x14ac:dyDescent="0.3">
      <c r="A10" s="101" t="s">
        <v>144</v>
      </c>
      <c r="B10" s="111">
        <v>12.41</v>
      </c>
      <c r="C10" s="111">
        <v>0.81</v>
      </c>
      <c r="D10" s="111">
        <v>3</v>
      </c>
      <c r="E10" s="111">
        <v>46698.49</v>
      </c>
      <c r="F10" s="110">
        <v>1492</v>
      </c>
      <c r="H10" s="101" t="s">
        <v>143</v>
      </c>
      <c r="I10" s="111">
        <f>Consolidated!X15/10</f>
        <v>489.00150000000002</v>
      </c>
      <c r="J10" s="111">
        <v>730.3</v>
      </c>
      <c r="K10" s="111">
        <v>327.52</v>
      </c>
      <c r="L10" s="111">
        <v>55.63</v>
      </c>
      <c r="M10" s="110">
        <v>437.09</v>
      </c>
    </row>
    <row r="11" spans="1:13" x14ac:dyDescent="0.3">
      <c r="A11" s="101"/>
      <c r="B11" s="115"/>
      <c r="C11" s="115"/>
      <c r="D11" s="127"/>
      <c r="E11" s="115"/>
      <c r="F11" s="114"/>
      <c r="H11" s="101" t="s">
        <v>142</v>
      </c>
      <c r="I11" s="111">
        <f>Consolidated!X30/10</f>
        <v>245.14590000000004</v>
      </c>
      <c r="J11" s="111">
        <v>1935.5</v>
      </c>
      <c r="K11" s="111">
        <v>722.84</v>
      </c>
      <c r="L11" s="111">
        <v>82.732699999999994</v>
      </c>
      <c r="M11" s="110">
        <v>806.27</v>
      </c>
    </row>
    <row r="12" spans="1:13" x14ac:dyDescent="0.3">
      <c r="A12" s="118" t="s">
        <v>141</v>
      </c>
      <c r="B12" s="131">
        <v>1245.95</v>
      </c>
      <c r="C12" s="126">
        <v>461.35</v>
      </c>
      <c r="D12" s="126">
        <v>1434.87</v>
      </c>
      <c r="E12" s="126">
        <v>746440.73</v>
      </c>
      <c r="F12" s="125">
        <v>55905</v>
      </c>
      <c r="H12" s="101" t="s">
        <v>140</v>
      </c>
      <c r="I12" s="111">
        <f>Consolidated!X31/10</f>
        <v>27.828600000000002</v>
      </c>
      <c r="J12" s="111">
        <v>616.70000000000005</v>
      </c>
      <c r="K12" s="111">
        <v>196.15</v>
      </c>
      <c r="L12" s="111">
        <v>27.663499999999999</v>
      </c>
      <c r="M12" s="110">
        <v>303.02</v>
      </c>
    </row>
    <row r="13" spans="1:13" x14ac:dyDescent="0.3">
      <c r="A13" s="118" t="s">
        <v>139</v>
      </c>
      <c r="B13" s="131">
        <v>11.42</v>
      </c>
      <c r="C13" s="126">
        <v>142.47999999999999</v>
      </c>
      <c r="D13" s="126">
        <v>962.36</v>
      </c>
      <c r="E13" s="126">
        <v>391346.3</v>
      </c>
      <c r="F13" s="125">
        <v>35856.699999999997</v>
      </c>
      <c r="H13" s="101" t="s">
        <v>138</v>
      </c>
      <c r="I13" s="111">
        <f>Consolidated!W31/10</f>
        <v>28.274700000000003</v>
      </c>
      <c r="J13" s="111">
        <v>520.23</v>
      </c>
      <c r="K13" s="111">
        <v>233.6</v>
      </c>
      <c r="L13" s="111">
        <v>23.71</v>
      </c>
      <c r="M13" s="110">
        <v>247.64</v>
      </c>
    </row>
    <row r="14" spans="1:13" x14ac:dyDescent="0.3">
      <c r="A14" s="118" t="s">
        <v>124</v>
      </c>
      <c r="B14" s="117">
        <f>((B12/B13)^(1/3)-1)</f>
        <v>3.7783523414247009</v>
      </c>
      <c r="C14" s="117">
        <f>((C12/C13)^(1/3)-1)</f>
        <v>0.47942245476411727</v>
      </c>
      <c r="D14" s="117">
        <f>((D12/D13)^(1/3)-1)</f>
        <v>0.14241789503990288</v>
      </c>
      <c r="E14" s="117">
        <f>((E12/E13)^(1/3)-1)</f>
        <v>0.24016089301202226</v>
      </c>
      <c r="F14" s="116">
        <f>((F12/F13)^(1/3)-1)</f>
        <v>0.15956058509305771</v>
      </c>
      <c r="H14" s="101" t="s">
        <v>137</v>
      </c>
      <c r="I14" s="111">
        <f>Consolidated!X34/10</f>
        <v>40.933300000000003</v>
      </c>
      <c r="J14" s="111">
        <v>609.70000000000005</v>
      </c>
      <c r="K14" s="111">
        <v>292.62</v>
      </c>
      <c r="L14" s="111">
        <v>34.001600000000003</v>
      </c>
      <c r="M14" s="110">
        <v>290.70999999999998</v>
      </c>
    </row>
    <row r="15" spans="1:13" x14ac:dyDescent="0.3">
      <c r="A15" s="101"/>
      <c r="B15" s="115"/>
      <c r="C15" s="115"/>
      <c r="D15" s="115"/>
      <c r="E15" s="115"/>
      <c r="F15" s="114"/>
      <c r="H15" s="101" t="s">
        <v>136</v>
      </c>
      <c r="I15" s="111">
        <f>Consolidated!W34/10</f>
        <v>16.485700000000001</v>
      </c>
      <c r="J15" s="111">
        <v>542.72</v>
      </c>
      <c r="K15" s="111">
        <v>353.52</v>
      </c>
      <c r="L15" s="111">
        <v>29.91</v>
      </c>
      <c r="M15" s="110">
        <v>254.98</v>
      </c>
    </row>
    <row r="16" spans="1:13" x14ac:dyDescent="0.3">
      <c r="A16" s="101" t="s">
        <v>135</v>
      </c>
      <c r="B16" s="111">
        <v>293.86</v>
      </c>
      <c r="C16" s="111">
        <v>29.4</v>
      </c>
      <c r="D16" s="111">
        <v>339.27</v>
      </c>
      <c r="E16" s="111">
        <v>240262.17</v>
      </c>
      <c r="F16" s="110">
        <v>15407</v>
      </c>
      <c r="H16" s="101" t="s">
        <v>134</v>
      </c>
      <c r="I16" s="111">
        <f>Consolidated!X35/10</f>
        <v>27.644799999999996</v>
      </c>
      <c r="J16" s="111">
        <f>58.4+15.1</f>
        <v>73.5</v>
      </c>
      <c r="K16" s="111">
        <f>84.04+8.77</f>
        <v>92.81</v>
      </c>
      <c r="L16" s="111">
        <f>2.9529+2.292</f>
        <v>5.2448999999999995</v>
      </c>
      <c r="M16" s="110">
        <v>138.69</v>
      </c>
    </row>
    <row r="17" spans="1:13" x14ac:dyDescent="0.3">
      <c r="A17" s="101" t="s">
        <v>133</v>
      </c>
      <c r="B17" s="111">
        <v>63.94</v>
      </c>
      <c r="C17" s="111">
        <v>0.65</v>
      </c>
      <c r="D17" s="111">
        <v>120.51</v>
      </c>
      <c r="E17" s="111">
        <v>58367.25</v>
      </c>
      <c r="F17" s="110">
        <v>6235</v>
      </c>
      <c r="H17" s="101" t="s">
        <v>132</v>
      </c>
      <c r="I17" s="111">
        <f>Consolidated!X41/10</f>
        <v>54.039300000000004</v>
      </c>
      <c r="J17" s="111">
        <v>1621.7</v>
      </c>
      <c r="K17" s="111">
        <v>564.83000000000004</v>
      </c>
      <c r="L17" s="111">
        <v>26.99</v>
      </c>
      <c r="M17" s="110">
        <v>455.61</v>
      </c>
    </row>
    <row r="18" spans="1:13" x14ac:dyDescent="0.3">
      <c r="A18" s="101"/>
      <c r="B18" s="111"/>
      <c r="C18" s="111"/>
      <c r="D18" s="111"/>
      <c r="E18" s="111"/>
      <c r="F18" s="110"/>
      <c r="H18" s="101" t="s">
        <v>131</v>
      </c>
      <c r="I18" s="111">
        <f>Consolidated!Y42/10</f>
        <v>65.885000000000005</v>
      </c>
      <c r="J18" s="111">
        <f>105.6+569.6</f>
        <v>675.2</v>
      </c>
      <c r="K18" s="111">
        <f>5.74+209.98</f>
        <v>215.72</v>
      </c>
      <c r="L18" s="111">
        <v>11.3964</v>
      </c>
      <c r="M18" s="110">
        <v>217.71</v>
      </c>
    </row>
    <row r="19" spans="1:13" x14ac:dyDescent="0.3">
      <c r="A19" s="101" t="s">
        <v>151</v>
      </c>
      <c r="B19" s="111">
        <v>96.03</v>
      </c>
      <c r="C19" s="111">
        <v>24.4</v>
      </c>
      <c r="D19" s="111">
        <v>204.2</v>
      </c>
      <c r="E19" s="111">
        <v>163840.59</v>
      </c>
      <c r="F19" s="110">
        <v>10705</v>
      </c>
      <c r="H19" s="101" t="s">
        <v>130</v>
      </c>
      <c r="I19" s="111">
        <f>Consolidated!W42/10</f>
        <v>18.0686</v>
      </c>
      <c r="J19" s="111">
        <v>574.54</v>
      </c>
      <c r="K19" s="111">
        <v>194.25</v>
      </c>
      <c r="L19" s="111">
        <v>12.67</v>
      </c>
      <c r="M19" s="110">
        <v>177.76</v>
      </c>
    </row>
    <row r="20" spans="1:13" ht="15" thickBot="1" x14ac:dyDescent="0.35">
      <c r="A20" s="101" t="s">
        <v>129</v>
      </c>
      <c r="B20" s="111">
        <v>0</v>
      </c>
      <c r="C20" s="111">
        <v>16.87</v>
      </c>
      <c r="D20" s="111">
        <v>150.33000000000001</v>
      </c>
      <c r="E20" s="111">
        <v>37655.83</v>
      </c>
      <c r="F20" s="110">
        <v>3888.7</v>
      </c>
      <c r="H20" s="124" t="s">
        <v>47</v>
      </c>
      <c r="I20" s="123">
        <f>I11-I17-I7</f>
        <v>179.34770000000003</v>
      </c>
      <c r="J20" s="123">
        <f>J11-J17-J7</f>
        <v>12.799999999999955</v>
      </c>
      <c r="K20" s="123">
        <f>K11-K17-K7</f>
        <v>59.129999999999995</v>
      </c>
      <c r="L20" s="123">
        <f>L11-L17-L7</f>
        <v>31.412700000000001</v>
      </c>
      <c r="M20" s="123">
        <f>M11-M17-M7</f>
        <v>307.22999999999996</v>
      </c>
    </row>
    <row r="21" spans="1:13" x14ac:dyDescent="0.3">
      <c r="A21" s="101"/>
      <c r="B21" s="111"/>
      <c r="C21" s="111"/>
      <c r="D21" s="111"/>
      <c r="E21" s="111"/>
      <c r="F21" s="110"/>
    </row>
    <row r="22" spans="1:13" x14ac:dyDescent="0.3">
      <c r="A22" s="101" t="s">
        <v>128</v>
      </c>
      <c r="B22" s="111">
        <v>1373.06</v>
      </c>
      <c r="C22" s="111">
        <v>538.32000000000005</v>
      </c>
      <c r="D22" s="111">
        <v>999.78</v>
      </c>
      <c r="E22" s="111">
        <v>547671.4</v>
      </c>
      <c r="F22" s="110">
        <v>46772</v>
      </c>
    </row>
    <row r="23" spans="1:13" x14ac:dyDescent="0.3">
      <c r="A23" s="101" t="s">
        <v>127</v>
      </c>
      <c r="B23" s="111">
        <v>400.14</v>
      </c>
      <c r="C23" s="111">
        <v>199.8</v>
      </c>
      <c r="D23" s="111">
        <v>616.5</v>
      </c>
      <c r="E23" s="111">
        <v>200522.5</v>
      </c>
      <c r="F23" s="200">
        <v>33238.699999999997</v>
      </c>
    </row>
    <row r="24" spans="1:13" ht="15" thickBot="1" x14ac:dyDescent="0.35">
      <c r="A24" s="101"/>
      <c r="B24" s="111"/>
      <c r="C24" s="111"/>
      <c r="D24" s="111"/>
      <c r="E24" s="111"/>
      <c r="F24" s="110"/>
      <c r="I24" s="122" t="s">
        <v>181</v>
      </c>
      <c r="J24" s="122" t="s">
        <v>181</v>
      </c>
      <c r="K24" s="122" t="s">
        <v>90</v>
      </c>
      <c r="L24" s="122" t="s">
        <v>181</v>
      </c>
      <c r="M24" s="122" t="s">
        <v>181</v>
      </c>
    </row>
    <row r="25" spans="1:13" ht="28.8" x14ac:dyDescent="0.3">
      <c r="A25" s="101" t="s">
        <v>126</v>
      </c>
      <c r="B25" s="111">
        <v>1375.63</v>
      </c>
      <c r="C25" s="111">
        <v>515.11</v>
      </c>
      <c r="D25" s="111">
        <v>680.62</v>
      </c>
      <c r="E25" s="111">
        <v>338869.29</v>
      </c>
      <c r="F25" s="110">
        <v>32378</v>
      </c>
      <c r="H25" s="121" t="s">
        <v>49</v>
      </c>
      <c r="I25" s="120" t="s">
        <v>182</v>
      </c>
      <c r="J25" s="120" t="s">
        <v>186</v>
      </c>
      <c r="K25" s="120" t="s">
        <v>185</v>
      </c>
      <c r="L25" s="120" t="s">
        <v>184</v>
      </c>
      <c r="M25" s="119" t="s">
        <v>183</v>
      </c>
    </row>
    <row r="26" spans="1:13" x14ac:dyDescent="0.3">
      <c r="A26" s="101" t="s">
        <v>125</v>
      </c>
      <c r="B26" s="111">
        <v>360.65</v>
      </c>
      <c r="C26" s="111">
        <v>128.97999999999999</v>
      </c>
      <c r="D26" s="111">
        <v>409.52</v>
      </c>
      <c r="E26" s="111">
        <v>131015.53</v>
      </c>
      <c r="F26" s="110">
        <v>20795.599999999999</v>
      </c>
      <c r="H26" s="101" t="s">
        <v>73</v>
      </c>
      <c r="I26" s="107">
        <f>Consolidated!I56</f>
        <v>132243289</v>
      </c>
      <c r="J26" s="107">
        <v>79408926</v>
      </c>
      <c r="K26" s="107">
        <v>9767080</v>
      </c>
      <c r="L26" s="107">
        <v>15453805</v>
      </c>
      <c r="M26" s="106">
        <v>34807844</v>
      </c>
    </row>
    <row r="27" spans="1:13" x14ac:dyDescent="0.3">
      <c r="A27" s="118" t="s">
        <v>124</v>
      </c>
      <c r="B27" s="132">
        <f>Consolidated!H28</f>
        <v>2.1983782153246665</v>
      </c>
      <c r="C27" s="135">
        <f>(C25/C26)^(1/3)-1</f>
        <v>0.58656987120141846</v>
      </c>
      <c r="D27" s="135">
        <f t="shared" ref="D27:F27" si="0">(D25/D26)^(1/3)-1</f>
        <v>0.18452217857701902</v>
      </c>
      <c r="E27" s="135">
        <f t="shared" si="0"/>
        <v>0.37268159779249532</v>
      </c>
      <c r="F27" s="135">
        <f t="shared" si="0"/>
        <v>0.15902513545848107</v>
      </c>
      <c r="H27" s="101" t="s">
        <v>74</v>
      </c>
      <c r="I27" s="109">
        <f>Consolidated!I57/10</f>
        <v>452.93326482499998</v>
      </c>
      <c r="J27" s="109">
        <f>J26*J31/10^7</f>
        <v>1298.7329847300002</v>
      </c>
      <c r="K27" s="109">
        <f>K26*K31/10^7</f>
        <v>812.91406840000002</v>
      </c>
      <c r="L27" s="109">
        <f>L26*L31/10^7</f>
        <v>154.8471261</v>
      </c>
      <c r="M27" s="108">
        <f>M26*M31/10^7</f>
        <v>2712.4012437000001</v>
      </c>
    </row>
    <row r="28" spans="1:13" x14ac:dyDescent="0.3">
      <c r="A28" s="101"/>
      <c r="B28" s="115"/>
      <c r="C28" s="115"/>
      <c r="D28" s="115"/>
      <c r="E28" s="115"/>
      <c r="F28" s="114"/>
      <c r="H28" s="101" t="s">
        <v>77</v>
      </c>
      <c r="I28" s="109">
        <f>Consolidated!H58/10</f>
        <v>11.936499999999999</v>
      </c>
      <c r="J28" s="109">
        <f>J8</f>
        <v>363.2</v>
      </c>
      <c r="K28" s="109">
        <f>K8</f>
        <v>121.74</v>
      </c>
      <c r="L28" s="109">
        <f>L8</f>
        <v>25.24</v>
      </c>
      <c r="M28" s="108">
        <f>M8</f>
        <v>43.43</v>
      </c>
    </row>
    <row r="29" spans="1:13" ht="15" thickBot="1" x14ac:dyDescent="0.35">
      <c r="A29" s="98" t="s">
        <v>123</v>
      </c>
      <c r="B29" s="113">
        <v>10.46</v>
      </c>
      <c r="C29" s="113">
        <v>31.54</v>
      </c>
      <c r="D29" s="113">
        <v>21.28</v>
      </c>
      <c r="E29" s="113">
        <v>23.81</v>
      </c>
      <c r="F29" s="112">
        <v>25.95</v>
      </c>
      <c r="H29" s="101" t="s">
        <v>75</v>
      </c>
      <c r="I29" s="109">
        <f>Consolidated!I59/10</f>
        <v>171.07999999999998</v>
      </c>
      <c r="J29" s="109">
        <f>J16</f>
        <v>73.5</v>
      </c>
      <c r="K29" s="109">
        <f>K16</f>
        <v>92.81</v>
      </c>
      <c r="L29" s="109">
        <f>L16</f>
        <v>5.2448999999999995</v>
      </c>
      <c r="M29" s="108">
        <f>M16</f>
        <v>138.69</v>
      </c>
    </row>
    <row r="30" spans="1:13" x14ac:dyDescent="0.3">
      <c r="H30" s="101" t="s">
        <v>76</v>
      </c>
      <c r="I30" s="109">
        <f>Consolidated!I60/10</f>
        <v>326.63726482499999</v>
      </c>
      <c r="J30" s="109">
        <f>J27+J28-J29</f>
        <v>1588.4329847300003</v>
      </c>
      <c r="K30" s="109">
        <f>K27+K28-K29</f>
        <v>841.84406839999997</v>
      </c>
      <c r="L30" s="109">
        <f>L27+L28-L29</f>
        <v>174.8422261</v>
      </c>
      <c r="M30" s="108">
        <f>M27+M28-M29</f>
        <v>2617.1412436999999</v>
      </c>
    </row>
    <row r="31" spans="1:13" x14ac:dyDescent="0.3">
      <c r="H31" s="101" t="s">
        <v>51</v>
      </c>
      <c r="I31" s="111">
        <f>Consolidated!Y60</f>
        <v>34.25</v>
      </c>
      <c r="J31" s="111">
        <v>163.55000000000001</v>
      </c>
      <c r="K31" s="111">
        <v>832.3</v>
      </c>
      <c r="L31" s="111">
        <v>100.2</v>
      </c>
      <c r="M31" s="110">
        <v>779.25</v>
      </c>
    </row>
    <row r="32" spans="1:13" x14ac:dyDescent="0.3">
      <c r="H32" s="101" t="s">
        <v>52</v>
      </c>
      <c r="I32" s="109">
        <f>B29</f>
        <v>10.46</v>
      </c>
      <c r="J32" s="109">
        <f>C29</f>
        <v>31.54</v>
      </c>
      <c r="K32" s="109">
        <f>D29</f>
        <v>21.28</v>
      </c>
      <c r="L32" s="109">
        <f>E29</f>
        <v>23.81</v>
      </c>
      <c r="M32" s="108">
        <f>F29</f>
        <v>25.95</v>
      </c>
    </row>
    <row r="33" spans="8:13" x14ac:dyDescent="0.3">
      <c r="H33" s="101" t="s">
        <v>53</v>
      </c>
      <c r="I33" s="109">
        <f>Consolidated!Y62</f>
        <v>51.398222559331536</v>
      </c>
      <c r="J33" s="109">
        <f>J5*10^7/J26</f>
        <v>114.87373598277856</v>
      </c>
      <c r="K33" s="109">
        <f>K5*10^7/K26</f>
        <v>448.5270930513521</v>
      </c>
      <c r="L33" s="109">
        <f>L5*10^7/L26</f>
        <v>50.222194469258532</v>
      </c>
      <c r="M33" s="108">
        <f>M5*10^7/M26</f>
        <v>217.69805679432486</v>
      </c>
    </row>
    <row r="34" spans="8:13" x14ac:dyDescent="0.3">
      <c r="H34" s="101" t="s">
        <v>55</v>
      </c>
      <c r="I34" s="100">
        <f>Consolidated!Y64</f>
        <v>3.2743785850860418</v>
      </c>
      <c r="J34" s="100">
        <f>J31/J32</f>
        <v>5.185478757133799</v>
      </c>
      <c r="K34" s="100">
        <f>K31/K32</f>
        <v>39.11184210526315</v>
      </c>
      <c r="L34" s="100">
        <f>L31/L32</f>
        <v>4.2083158336833266</v>
      </c>
      <c r="M34" s="99">
        <f>M31/M32</f>
        <v>30.028901734104046</v>
      </c>
    </row>
    <row r="35" spans="8:13" x14ac:dyDescent="0.3">
      <c r="H35" s="101" t="s">
        <v>56</v>
      </c>
      <c r="I35" s="100">
        <f>Consolidated!Y65</f>
        <v>0.66636545574048822</v>
      </c>
      <c r="J35" s="100">
        <f>J31/J33</f>
        <v>1.4237371023130894</v>
      </c>
      <c r="K35" s="100">
        <f>K31/K33</f>
        <v>1.8556292649744337</v>
      </c>
      <c r="L35" s="100">
        <f>L31/L33</f>
        <v>1.9951338458802979</v>
      </c>
      <c r="M35" s="99">
        <f>M31/M33</f>
        <v>3.5794991075010558</v>
      </c>
    </row>
    <row r="36" spans="8:13" x14ac:dyDescent="0.3">
      <c r="H36" s="101" t="s">
        <v>57</v>
      </c>
      <c r="I36" s="100">
        <f>Consolidated!Y66</f>
        <v>2.6215710361889624</v>
      </c>
      <c r="J36" s="100">
        <f>J30/C12</f>
        <v>3.443010696282649</v>
      </c>
      <c r="K36" s="100">
        <f>K30/D12</f>
        <v>0.58670406963697064</v>
      </c>
      <c r="L36" s="100">
        <f>L30/E12</f>
        <v>2.3423457358764442E-4</v>
      </c>
      <c r="M36" s="99">
        <f>M30/F12</f>
        <v>4.68140818120025E-2</v>
      </c>
    </row>
    <row r="37" spans="8:13" x14ac:dyDescent="0.3">
      <c r="H37" s="101" t="s">
        <v>58</v>
      </c>
      <c r="I37" s="103">
        <f>Consolidated!Y67</f>
        <v>0.20238632234183263</v>
      </c>
      <c r="J37" s="103">
        <f>C25/J5</f>
        <v>0.56468976101732071</v>
      </c>
      <c r="K37" s="103">
        <f>D25/K5</f>
        <v>1.5536431701972244</v>
      </c>
      <c r="L37" s="103">
        <f>E25/L5</f>
        <v>4366.1746061196409</v>
      </c>
      <c r="M37" s="103">
        <f>F25/M5</f>
        <v>42.728568412162161</v>
      </c>
    </row>
    <row r="38" spans="8:13" x14ac:dyDescent="0.3">
      <c r="H38" s="101" t="s">
        <v>59</v>
      </c>
      <c r="I38" s="103">
        <f>Consolidated!Y68</f>
        <v>0.17486596136669519</v>
      </c>
      <c r="J38" s="103">
        <f>(C22+C17)/J9</f>
        <v>0.72529942134302239</v>
      </c>
      <c r="K38" s="103">
        <f>(D22+D17)/K9</f>
        <v>2.8974266132160862</v>
      </c>
      <c r="L38" s="103">
        <f>(E22+E17)/L9</f>
        <v>6962.5442455254724</v>
      </c>
      <c r="M38" s="102">
        <f>(F22+F17)/M9</f>
        <v>71.215337489251937</v>
      </c>
    </row>
    <row r="39" spans="8:13" x14ac:dyDescent="0.3">
      <c r="H39" s="101" t="s">
        <v>121</v>
      </c>
      <c r="I39" s="100">
        <f>I10/B5</f>
        <v>0.21848566220164961</v>
      </c>
      <c r="J39" s="100">
        <f>J10/C5</f>
        <v>0.70200903585504182</v>
      </c>
      <c r="K39" s="100">
        <f>K10/D5</f>
        <v>0.10524117233113438</v>
      </c>
      <c r="L39" s="100">
        <f>L10/E5</f>
        <v>1.2051316181041412E-5</v>
      </c>
      <c r="M39" s="99">
        <f>M10/F5</f>
        <v>2.9320534234905044E-3</v>
      </c>
    </row>
    <row r="40" spans="8:13" x14ac:dyDescent="0.3">
      <c r="H40" s="101" t="s">
        <v>60</v>
      </c>
      <c r="I40" s="100">
        <f>Consolidated!Y69</f>
        <v>6.588721316684984E-2</v>
      </c>
      <c r="J40" s="100">
        <f>J8/J5</f>
        <v>0.39815829861872393</v>
      </c>
      <c r="K40" s="100">
        <f>K8/K5</f>
        <v>0.27789444850255662</v>
      </c>
      <c r="L40" s="100">
        <f>L8/L5</f>
        <v>0.32520576608892393</v>
      </c>
      <c r="M40" s="99">
        <f>M8/M5</f>
        <v>5.7313661317567571E-2</v>
      </c>
    </row>
    <row r="41" spans="8:13" x14ac:dyDescent="0.3">
      <c r="H41" s="101" t="s">
        <v>61</v>
      </c>
      <c r="I41" s="100">
        <f>Consolidated!Y70</f>
        <v>-3.798401370002074E-2</v>
      </c>
      <c r="J41" s="100">
        <f>(J8-J16)/J5</f>
        <v>0.31758386318789739</v>
      </c>
      <c r="K41" s="100">
        <f>(K8-K16)/K5</f>
        <v>6.6038166544923282E-2</v>
      </c>
      <c r="L41" s="100">
        <f>(L8-L16)/L5</f>
        <v>0.25762764712855163</v>
      </c>
      <c r="M41" s="99">
        <f>(M8-M16)/M5</f>
        <v>-0.12571262668918917</v>
      </c>
    </row>
    <row r="42" spans="8:13" x14ac:dyDescent="0.3">
      <c r="H42" s="101" t="s">
        <v>122</v>
      </c>
      <c r="I42" s="133">
        <f>Consolidated!Y63</f>
        <v>0</v>
      </c>
      <c r="J42" s="133">
        <v>2.5</v>
      </c>
      <c r="K42" s="133">
        <v>7.5</v>
      </c>
      <c r="L42" s="133">
        <v>0.5</v>
      </c>
      <c r="M42" s="134">
        <v>6</v>
      </c>
    </row>
    <row r="43" spans="8:13" x14ac:dyDescent="0.3">
      <c r="H43" s="101" t="s">
        <v>62</v>
      </c>
      <c r="I43" s="103">
        <f>Consolidated!Y71</f>
        <v>0</v>
      </c>
      <c r="J43" s="103">
        <f>J42/J31</f>
        <v>1.5285845307245489E-2</v>
      </c>
      <c r="K43" s="103">
        <f>K42/K31</f>
        <v>9.0111738555809211E-3</v>
      </c>
      <c r="L43" s="103">
        <f>L42/L31</f>
        <v>4.9900199600798403E-3</v>
      </c>
      <c r="M43" s="102">
        <f>M42/M31</f>
        <v>7.6997112608277194E-3</v>
      </c>
    </row>
    <row r="44" spans="8:13" x14ac:dyDescent="0.3">
      <c r="H44" s="101" t="s">
        <v>63</v>
      </c>
      <c r="I44" s="105">
        <f>Consolidated!Y72</f>
        <v>69.81405837053461</v>
      </c>
      <c r="J44" s="105">
        <f>AVERAGE(J14:J15)/C5*365</f>
        <v>202.16923002979914</v>
      </c>
      <c r="K44" s="105">
        <f>AVERAGE(K14:K15)/D5*365</f>
        <v>37.891111760906654</v>
      </c>
      <c r="L44" s="105">
        <f>AVERAGE(L14:L15)/E5*365</f>
        <v>2.526783194510425E-3</v>
      </c>
      <c r="M44" s="104">
        <f>AVERAGE(M14:M15)/F5*365</f>
        <v>0.66805139092927623</v>
      </c>
    </row>
    <row r="45" spans="8:13" x14ac:dyDescent="0.3">
      <c r="H45" s="101" t="s">
        <v>64</v>
      </c>
      <c r="I45" s="105">
        <f>Consolidated!Y73</f>
        <v>193.58081153657466</v>
      </c>
      <c r="J45" s="105" t="e">
        <f>AVERAGE(J18:J19)/C9*365</f>
        <v>#DIV/0!</v>
      </c>
      <c r="K45" s="105" t="e">
        <f>AVERAGE(K18:K19)/D9*365</f>
        <v>#DIV/0!</v>
      </c>
      <c r="L45" s="105" t="e">
        <f>AVERAGE(L18:L19)/E9*365</f>
        <v>#DIV/0!</v>
      </c>
      <c r="M45" s="104" t="e">
        <f>AVERAGE(M18:M19)/F9*365</f>
        <v>#DIV/0!</v>
      </c>
    </row>
    <row r="46" spans="8:13" x14ac:dyDescent="0.3">
      <c r="H46" s="101" t="s">
        <v>65</v>
      </c>
      <c r="I46" s="105">
        <f>Consolidated!Y74</f>
        <v>128.20944253660045</v>
      </c>
      <c r="J46" s="105">
        <f>AVERAGE(J12:J13)/(C9+C10)*365</f>
        <v>256160.15432098767</v>
      </c>
      <c r="K46" s="105">
        <f>AVERAGE(K12:K13)/(D9+D10)*365</f>
        <v>26143.125</v>
      </c>
      <c r="L46" s="105">
        <f>AVERAGE(L12:L13)/(E9+E10)*365</f>
        <v>0.2007701694423096</v>
      </c>
      <c r="M46" s="104">
        <f>AVERAGE(M12:M13)/(F9+F10)*365</f>
        <v>67.356199731903487</v>
      </c>
    </row>
    <row r="47" spans="8:13" x14ac:dyDescent="0.3">
      <c r="H47" s="101" t="s">
        <v>81</v>
      </c>
      <c r="I47" s="105">
        <f>I44+I46-I45</f>
        <v>4.4426893705604016</v>
      </c>
      <c r="J47" s="105" t="e">
        <f>J44+J46-J45</f>
        <v>#DIV/0!</v>
      </c>
      <c r="K47" s="105" t="e">
        <f>K44+K46-K45</f>
        <v>#DIV/0!</v>
      </c>
      <c r="L47" s="105" t="e">
        <f>L44+L46-L45</f>
        <v>#DIV/0!</v>
      </c>
      <c r="M47" s="104" t="e">
        <f>M44+M46-M45</f>
        <v>#DIV/0!</v>
      </c>
    </row>
    <row r="48" spans="8:13" x14ac:dyDescent="0.3">
      <c r="H48" s="101" t="s">
        <v>66</v>
      </c>
      <c r="I48" s="105">
        <f>Consolidated!Y76</f>
        <v>209.54315554257778</v>
      </c>
      <c r="J48" s="105">
        <f>J20/C5*365</f>
        <v>4.4910122080169028</v>
      </c>
      <c r="K48" s="105">
        <f>K20/D5*365</f>
        <v>6.9350340125124914</v>
      </c>
      <c r="L48" s="105">
        <f>L20/E5*365</f>
        <v>2.4838396301828658E-3</v>
      </c>
      <c r="M48" s="104">
        <f>M20/F5*365</f>
        <v>0.75224185466180993</v>
      </c>
    </row>
    <row r="49" spans="8:13" x14ac:dyDescent="0.3">
      <c r="H49" s="101" t="s">
        <v>86</v>
      </c>
      <c r="I49" s="103">
        <f>Consolidated!Y77</f>
        <v>0.14278760271525542</v>
      </c>
      <c r="J49" s="103">
        <f>C17/J8</f>
        <v>1.789647577092511E-3</v>
      </c>
      <c r="K49" s="103">
        <f>D17/K8</f>
        <v>0.98989650073928048</v>
      </c>
      <c r="L49" s="103">
        <f>E17/L8</f>
        <v>2312.4900950871634</v>
      </c>
      <c r="M49" s="102">
        <f>F17/M8</f>
        <v>143.56435643564356</v>
      </c>
    </row>
    <row r="50" spans="8:13" ht="15" thickBot="1" x14ac:dyDescent="0.35">
      <c r="H50" s="98" t="s">
        <v>120</v>
      </c>
      <c r="I50" s="97">
        <f>Consolidated!Y78</f>
        <v>22.472242204359933</v>
      </c>
      <c r="J50" s="97">
        <f>(C22+C17)/C17</f>
        <v>829.18461538461543</v>
      </c>
      <c r="K50" s="97">
        <f>(D22+D17)/D17</f>
        <v>9.2962409758526263</v>
      </c>
      <c r="L50" s="97">
        <f>(E22+E17)/E17</f>
        <v>10.383196912652215</v>
      </c>
      <c r="M50" s="96">
        <f>(F22+F17)/F17</f>
        <v>8.5015236567762624</v>
      </c>
    </row>
  </sheetData>
  <mergeCells count="1">
    <mergeCell ref="A1:M1"/>
  </mergeCells>
  <printOptions horizontalCentered="1"/>
  <pageMargins left="0.23622047244094491" right="0.23622047244094491" top="0.23622047244094491" bottom="0.23622047244094491" header="0.31496062992125984" footer="0.31496062992125984"/>
  <pageSetup paperSize="9" scale="76" orientation="landscape" horizontalDpi="1200" verticalDpi="0" r:id="rId1"/>
  <ignoredErrors>
    <ignoredError sqref="J44:M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Standalone</vt:lpstr>
      <vt:lpstr>Consolidated</vt:lpstr>
      <vt:lpstr>Peer Analysis working</vt:lpstr>
      <vt:lpstr>Consolidated!Print_Area</vt:lpstr>
      <vt:lpstr>Standalone!Print_Area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Voleram3</dc:creator>
  <cp:lastModifiedBy>Lenovo</cp:lastModifiedBy>
  <cp:lastPrinted>2024-02-16T06:04:02Z</cp:lastPrinted>
  <dcterms:created xsi:type="dcterms:W3CDTF">2017-09-19T08:05:47Z</dcterms:created>
  <dcterms:modified xsi:type="dcterms:W3CDTF">2024-06-07T09:32:00Z</dcterms:modified>
</cp:coreProperties>
</file>