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1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3A543032-ED94-4292-88BB-68345892104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onsolidated" sheetId="11" r:id="rId1"/>
    <sheet name="Cost" sheetId="13" state="hidden" r:id="rId2"/>
  </sheets>
  <definedNames>
    <definedName name="_xlnm.Print_Area" localSheetId="0">Consolidated!$A$1:$X$70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72" i="11" l="1"/>
  <c r="W71" i="11"/>
  <c r="W70" i="11"/>
  <c r="W69" i="11"/>
  <c r="W67" i="11"/>
  <c r="W66" i="11"/>
  <c r="W65" i="11"/>
  <c r="W64" i="11"/>
  <c r="V63" i="11"/>
  <c r="V62" i="11"/>
  <c r="W61" i="11"/>
  <c r="V61" i="11"/>
  <c r="W60" i="11"/>
  <c r="W59" i="11"/>
  <c r="W58" i="11"/>
  <c r="W57" i="11"/>
  <c r="W55" i="11"/>
  <c r="V43" i="11"/>
  <c r="W26" i="11"/>
  <c r="W6" i="11"/>
  <c r="W10" i="11"/>
  <c r="W14" i="11"/>
  <c r="V14" i="11"/>
  <c r="V10" i="11"/>
  <c r="V6" i="11"/>
  <c r="V11" i="11" s="1"/>
  <c r="M34" i="11"/>
  <c r="M7" i="11"/>
  <c r="L7" i="11"/>
  <c r="W36" i="11"/>
  <c r="M55" i="11"/>
  <c r="M6" i="11"/>
  <c r="M5" i="11"/>
  <c r="J33" i="11"/>
  <c r="M35" i="11" s="1"/>
  <c r="I33" i="11"/>
  <c r="H33" i="11"/>
  <c r="G33" i="11"/>
  <c r="F33" i="11"/>
  <c r="K33" i="11"/>
  <c r="E33" i="11"/>
  <c r="W48" i="11" l="1"/>
  <c r="W12" i="11"/>
  <c r="L5" i="11"/>
  <c r="M49" i="11"/>
  <c r="M51" i="11" s="1"/>
  <c r="L45" i="11"/>
  <c r="M45" i="11"/>
  <c r="V64" i="11"/>
  <c r="U64" i="11"/>
  <c r="T64" i="11"/>
  <c r="S64" i="11"/>
  <c r="R64" i="11"/>
  <c r="W11" i="11"/>
  <c r="M57" i="11"/>
  <c r="M14" i="11"/>
  <c r="M23" i="11" s="1"/>
  <c r="M25" i="11" s="1"/>
  <c r="L35" i="11"/>
  <c r="K35" i="11"/>
  <c r="K34" i="11"/>
  <c r="U36" i="11"/>
  <c r="U6" i="11"/>
  <c r="V71" i="11"/>
  <c r="V65" i="11"/>
  <c r="V37" i="11"/>
  <c r="W68" i="11" s="1"/>
  <c r="L14" i="11"/>
  <c r="V57" i="11"/>
  <c r="L49" i="11"/>
  <c r="L51" i="11" s="1"/>
  <c r="L57" i="11"/>
  <c r="L55" i="11"/>
  <c r="V26" i="11"/>
  <c r="L56" i="11"/>
  <c r="V55" i="11"/>
  <c r="V58" i="11" s="1"/>
  <c r="L34" i="11"/>
  <c r="L6" i="11"/>
  <c r="K5" i="11"/>
  <c r="S71" i="11"/>
  <c r="T71" i="11"/>
  <c r="U71" i="11"/>
  <c r="U65" i="11"/>
  <c r="U14" i="11"/>
  <c r="K49" i="11"/>
  <c r="K51" i="11" s="1"/>
  <c r="K45" i="11"/>
  <c r="U30" i="11"/>
  <c r="K55" i="11"/>
  <c r="K7" i="11"/>
  <c r="K14" i="11" s="1"/>
  <c r="K17" i="11" s="1"/>
  <c r="I35" i="11"/>
  <c r="J35" i="11"/>
  <c r="H35" i="11"/>
  <c r="H34" i="11"/>
  <c r="J34" i="11"/>
  <c r="G34" i="11"/>
  <c r="M56" i="11" l="1"/>
  <c r="M17" i="11"/>
  <c r="M15" i="11"/>
  <c r="W49" i="11"/>
  <c r="W50" i="11"/>
  <c r="M58" i="11"/>
  <c r="W43" i="11"/>
  <c r="W62" i="11"/>
  <c r="W63" i="11"/>
  <c r="U49" i="11"/>
  <c r="V36" i="11"/>
  <c r="V49" i="11" s="1"/>
  <c r="V66" i="11"/>
  <c r="V67" i="11"/>
  <c r="V70" i="11"/>
  <c r="L23" i="11"/>
  <c r="L25" i="11" s="1"/>
  <c r="V48" i="11"/>
  <c r="V12" i="11" s="1"/>
  <c r="L58" i="11"/>
  <c r="V59" i="11" s="1"/>
  <c r="L17" i="11"/>
  <c r="L15" i="11"/>
  <c r="U67" i="11"/>
  <c r="K23" i="11"/>
  <c r="U72" i="11" s="1"/>
  <c r="M26" i="11" l="1"/>
  <c r="M27" i="11" s="1"/>
  <c r="V68" i="11"/>
  <c r="V72" i="11"/>
  <c r="V50" i="11"/>
  <c r="L26" i="11"/>
  <c r="K26" i="11"/>
  <c r="K25" i="11"/>
  <c r="V60" i="11" l="1"/>
  <c r="L27" i="11"/>
  <c r="M30" i="11"/>
  <c r="L30" i="11"/>
  <c r="K27" i="11"/>
  <c r="K30" i="11"/>
  <c r="M31" i="11" l="1"/>
  <c r="L31" i="11"/>
  <c r="T65" i="11"/>
  <c r="S65" i="11"/>
  <c r="Q64" i="11"/>
  <c r="P64" i="11"/>
  <c r="J55" i="11"/>
  <c r="I55" i="11"/>
  <c r="H55" i="11"/>
  <c r="G55" i="11"/>
  <c r="F55" i="11"/>
  <c r="U57" i="11"/>
  <c r="T57" i="11"/>
  <c r="S57" i="11"/>
  <c r="Q57" i="11"/>
  <c r="P57" i="11"/>
  <c r="J50" i="11"/>
  <c r="I50" i="11"/>
  <c r="H50" i="11"/>
  <c r="G50" i="11"/>
  <c r="F50" i="11"/>
  <c r="E50" i="11"/>
  <c r="J49" i="11"/>
  <c r="I49" i="11"/>
  <c r="H49" i="11"/>
  <c r="G49" i="11"/>
  <c r="F49" i="11"/>
  <c r="E49" i="11"/>
  <c r="J45" i="11"/>
  <c r="I45" i="11"/>
  <c r="H45" i="11"/>
  <c r="G45" i="11"/>
  <c r="F45" i="11"/>
  <c r="F46" i="11" s="1"/>
  <c r="G41" i="11" s="1"/>
  <c r="E45" i="11"/>
  <c r="E46" i="11" s="1"/>
  <c r="T37" i="11"/>
  <c r="U66" i="11" s="1"/>
  <c r="S37" i="11"/>
  <c r="R37" i="11"/>
  <c r="Q37" i="11"/>
  <c r="P36" i="11"/>
  <c r="K57" i="11"/>
  <c r="T30" i="11"/>
  <c r="S30" i="11"/>
  <c r="I57" i="11" s="1"/>
  <c r="R30" i="11"/>
  <c r="H57" i="11" s="1"/>
  <c r="Q30" i="11"/>
  <c r="G57" i="11" s="1"/>
  <c r="P30" i="11"/>
  <c r="F57" i="11" s="1"/>
  <c r="T14" i="11"/>
  <c r="S14" i="11"/>
  <c r="R14" i="11"/>
  <c r="Q14" i="11"/>
  <c r="U10" i="11"/>
  <c r="U70" i="11" s="1"/>
  <c r="T10" i="11"/>
  <c r="S10" i="11"/>
  <c r="S70" i="11" s="1"/>
  <c r="R10" i="11"/>
  <c r="R70" i="11" s="1"/>
  <c r="Q10" i="11"/>
  <c r="Q70" i="11" s="1"/>
  <c r="P10" i="11"/>
  <c r="P70" i="11" s="1"/>
  <c r="E10" i="11"/>
  <c r="E7" i="11" s="1"/>
  <c r="E14" i="11" s="1"/>
  <c r="J7" i="11"/>
  <c r="I7" i="11"/>
  <c r="H7" i="11"/>
  <c r="R67" i="11" s="1"/>
  <c r="G7" i="11"/>
  <c r="Q67" i="11" s="1"/>
  <c r="F7" i="11"/>
  <c r="P66" i="11" s="1"/>
  <c r="U60" i="11"/>
  <c r="T6" i="11"/>
  <c r="S6" i="11"/>
  <c r="S55" i="11" s="1"/>
  <c r="S58" i="11" s="1"/>
  <c r="R6" i="11"/>
  <c r="Q6" i="11"/>
  <c r="Q11" i="11" s="1"/>
  <c r="P6" i="11"/>
  <c r="P55" i="11" s="1"/>
  <c r="P58" i="11" s="1"/>
  <c r="J5" i="11"/>
  <c r="H4" i="11"/>
  <c r="K6" i="11" s="1"/>
  <c r="G4" i="11"/>
  <c r="J6" i="11" s="1"/>
  <c r="F4" i="11"/>
  <c r="I6" i="11" s="1"/>
  <c r="Q36" i="11" l="1"/>
  <c r="R66" i="11"/>
  <c r="Q66" i="11"/>
  <c r="R36" i="11"/>
  <c r="R49" i="11" s="1"/>
  <c r="S66" i="11"/>
  <c r="T66" i="11"/>
  <c r="Q26" i="11"/>
  <c r="Q48" i="11" s="1"/>
  <c r="Q12" i="11" s="1"/>
  <c r="R62" i="11"/>
  <c r="S26" i="11"/>
  <c r="H51" i="11"/>
  <c r="U68" i="11"/>
  <c r="J51" i="11"/>
  <c r="K56" i="11"/>
  <c r="K58" i="11" s="1"/>
  <c r="U59" i="11" s="1"/>
  <c r="U62" i="11"/>
  <c r="U63" i="11"/>
  <c r="G46" i="11"/>
  <c r="H41" i="11" s="1"/>
  <c r="H46" i="11" s="1"/>
  <c r="I41" i="11" s="1"/>
  <c r="I46" i="11" s="1"/>
  <c r="J41" i="11" s="1"/>
  <c r="J46" i="11" s="1"/>
  <c r="K41" i="11" s="1"/>
  <c r="K46" i="11" s="1"/>
  <c r="L41" i="11" s="1"/>
  <c r="L46" i="11" s="1"/>
  <c r="M41" i="11" s="1"/>
  <c r="M46" i="11" s="1"/>
  <c r="G51" i="11"/>
  <c r="U11" i="11"/>
  <c r="U61" i="11" s="1"/>
  <c r="U55" i="11"/>
  <c r="U58" i="11" s="1"/>
  <c r="R26" i="11"/>
  <c r="R48" i="11" s="1"/>
  <c r="R12" i="11" s="1"/>
  <c r="T11" i="11"/>
  <c r="H14" i="11"/>
  <c r="H6" i="11"/>
  <c r="S48" i="11"/>
  <c r="E51" i="11"/>
  <c r="P26" i="11"/>
  <c r="P43" i="11" s="1"/>
  <c r="P69" i="11" s="1"/>
  <c r="T55" i="11"/>
  <c r="T58" i="11" s="1"/>
  <c r="S36" i="11"/>
  <c r="S49" i="11" s="1"/>
  <c r="I51" i="11"/>
  <c r="T36" i="11"/>
  <c r="J57" i="11"/>
  <c r="R63" i="11"/>
  <c r="T70" i="11"/>
  <c r="H5" i="11"/>
  <c r="I5" i="11"/>
  <c r="F51" i="11"/>
  <c r="H56" i="11"/>
  <c r="H58" i="11" s="1"/>
  <c r="I14" i="11"/>
  <c r="J14" i="11"/>
  <c r="M16" i="11" s="1"/>
  <c r="Q49" i="11"/>
  <c r="Q55" i="11"/>
  <c r="Q58" i="11" s="1"/>
  <c r="E17" i="11"/>
  <c r="E23" i="11"/>
  <c r="F5" i="11"/>
  <c r="G5" i="11"/>
  <c r="P63" i="11"/>
  <c r="P65" i="11"/>
  <c r="P67" i="11"/>
  <c r="P71" i="11"/>
  <c r="Q65" i="11"/>
  <c r="Q71" i="11"/>
  <c r="P11" i="11"/>
  <c r="R65" i="11"/>
  <c r="R71" i="11"/>
  <c r="F14" i="11"/>
  <c r="S63" i="11"/>
  <c r="S67" i="11"/>
  <c r="R11" i="11"/>
  <c r="G14" i="11"/>
  <c r="T63" i="11"/>
  <c r="T67" i="11"/>
  <c r="Q63" i="11"/>
  <c r="S11" i="11"/>
  <c r="P49" i="11"/>
  <c r="F56" i="11"/>
  <c r="F58" i="11" s="1"/>
  <c r="P62" i="11"/>
  <c r="G56" i="11"/>
  <c r="G58" i="11" s="1"/>
  <c r="Q62" i="11"/>
  <c r="R55" i="11"/>
  <c r="R58" i="11" s="1"/>
  <c r="I56" i="11"/>
  <c r="I58" i="11" s="1"/>
  <c r="S62" i="11"/>
  <c r="T26" i="11"/>
  <c r="J56" i="11"/>
  <c r="T62" i="11"/>
  <c r="U26" i="11"/>
  <c r="Q43" i="11" l="1"/>
  <c r="Q69" i="11" s="1"/>
  <c r="U48" i="11"/>
  <c r="U50" i="11" s="1"/>
  <c r="U43" i="11"/>
  <c r="V69" i="11" s="1"/>
  <c r="S50" i="11"/>
  <c r="Q50" i="11"/>
  <c r="H17" i="11"/>
  <c r="K16" i="11"/>
  <c r="J23" i="11"/>
  <c r="T61" i="11" s="1"/>
  <c r="K15" i="11"/>
  <c r="I23" i="11"/>
  <c r="I25" i="11" s="1"/>
  <c r="L16" i="11"/>
  <c r="R68" i="11"/>
  <c r="H23" i="11"/>
  <c r="R61" i="11" s="1"/>
  <c r="S68" i="11"/>
  <c r="R59" i="11"/>
  <c r="J58" i="11"/>
  <c r="T59" i="11" s="1"/>
  <c r="Q68" i="11"/>
  <c r="J16" i="11"/>
  <c r="R43" i="11"/>
  <c r="J17" i="11"/>
  <c r="I15" i="11"/>
  <c r="R50" i="11"/>
  <c r="S12" i="11"/>
  <c r="S59" i="11"/>
  <c r="I17" i="11"/>
  <c r="T49" i="11"/>
  <c r="T43" i="11"/>
  <c r="T68" i="11"/>
  <c r="S43" i="11"/>
  <c r="Q59" i="11"/>
  <c r="J15" i="11"/>
  <c r="P59" i="11"/>
  <c r="P68" i="11"/>
  <c r="E26" i="11"/>
  <c r="E25" i="11"/>
  <c r="I16" i="11"/>
  <c r="F23" i="11"/>
  <c r="P72" i="11" s="1"/>
  <c r="F15" i="11"/>
  <c r="F17" i="11"/>
  <c r="H15" i="11"/>
  <c r="H26" i="11"/>
  <c r="T48" i="11"/>
  <c r="G23" i="11"/>
  <c r="G15" i="11"/>
  <c r="G17" i="11"/>
  <c r="U12" i="11" l="1"/>
  <c r="R69" i="11"/>
  <c r="T50" i="11"/>
  <c r="R72" i="11"/>
  <c r="J25" i="11"/>
  <c r="T72" i="11"/>
  <c r="J26" i="11"/>
  <c r="J30" i="11" s="1"/>
  <c r="S61" i="11"/>
  <c r="S72" i="11"/>
  <c r="I26" i="11"/>
  <c r="S60" i="11" s="1"/>
  <c r="U69" i="11"/>
  <c r="T69" i="11"/>
  <c r="S69" i="11"/>
  <c r="F25" i="11"/>
  <c r="F26" i="11"/>
  <c r="P61" i="11"/>
  <c r="E27" i="11"/>
  <c r="E30" i="11"/>
  <c r="H27" i="11"/>
  <c r="R60" i="11"/>
  <c r="H30" i="11"/>
  <c r="K32" i="11" s="1"/>
  <c r="T12" i="11"/>
  <c r="Q72" i="11"/>
  <c r="G26" i="11"/>
  <c r="G25" i="11"/>
  <c r="Q61" i="11"/>
  <c r="M32" i="11" l="1"/>
  <c r="H32" i="11"/>
  <c r="K31" i="11"/>
  <c r="J27" i="11"/>
  <c r="T60" i="11"/>
  <c r="I30" i="11"/>
  <c r="I27" i="11"/>
  <c r="F30" i="11"/>
  <c r="F27" i="11"/>
  <c r="P60" i="11"/>
  <c r="G30" i="11"/>
  <c r="J32" i="11" s="1"/>
  <c r="G27" i="11"/>
  <c r="Q60" i="11"/>
  <c r="I32" i="11" l="1"/>
  <c r="L32" i="11"/>
  <c r="I31" i="11"/>
  <c r="G31" i="11"/>
  <c r="J31" i="11"/>
  <c r="H31" i="11"/>
  <c r="F31" i="11"/>
  <c r="B10" i="13" l="1"/>
  <c r="C7" i="13"/>
  <c r="C8" i="13"/>
  <c r="C9" i="13"/>
  <c r="C6" i="13"/>
  <c r="C5" i="13"/>
  <c r="D7" i="13" l="1"/>
  <c r="D6" i="13"/>
  <c r="D9" i="13"/>
  <c r="D8" i="13"/>
  <c r="C10" i="13"/>
  <c r="D10" i="13" s="1"/>
  <c r="P14" i="11" l="1"/>
  <c r="P48" i="11" s="1"/>
  <c r="P12" i="11" l="1"/>
  <c r="P50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B4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Includes effect of changes in forex rateson cash and cash equivalents</t>
        </r>
      </text>
    </comment>
    <comment ref="C4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Includes effect of changes in forex rateson cash and cash equivalents</t>
        </r>
      </text>
    </comment>
    <comment ref="D46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Includes effect of changes in forex rateson cash and cash equivalents</t>
        </r>
      </text>
    </comment>
  </commentList>
</comments>
</file>

<file path=xl/sharedStrings.xml><?xml version="1.0" encoding="utf-8"?>
<sst xmlns="http://schemas.openxmlformats.org/spreadsheetml/2006/main" count="197" uniqueCount="136">
  <si>
    <t>Y/E, Mar (Rs. mn)</t>
  </si>
  <si>
    <t>Growth (%)</t>
  </si>
  <si>
    <t>Expenditure</t>
  </si>
  <si>
    <t>EBITDA</t>
  </si>
  <si>
    <t>EBITDA margin (%)</t>
  </si>
  <si>
    <t>Other Income</t>
  </si>
  <si>
    <t>Depreciation</t>
  </si>
  <si>
    <t>Interest</t>
  </si>
  <si>
    <t>PBT</t>
  </si>
  <si>
    <t>Tax</t>
  </si>
  <si>
    <t>Effective tax rate (%)</t>
  </si>
  <si>
    <t>PAT</t>
  </si>
  <si>
    <t>Minority Interest</t>
  </si>
  <si>
    <t>PAT After MI</t>
  </si>
  <si>
    <t>EPS</t>
  </si>
  <si>
    <t>Cash Flow</t>
  </si>
  <si>
    <t>Cash and Cash Equivalents at Beginning of the year</t>
  </si>
  <si>
    <t>Cash Flow From Operating Activities</t>
  </si>
  <si>
    <t>Cash Flow From Financing Activities</t>
  </si>
  <si>
    <t>Net Inc./(Dec.) in Cash and Cash Equivalent</t>
  </si>
  <si>
    <t>Our Calculations</t>
  </si>
  <si>
    <t xml:space="preserve">Operating Cash Inflow </t>
  </si>
  <si>
    <t>Capital Expenditure</t>
  </si>
  <si>
    <t>FCF</t>
  </si>
  <si>
    <t xml:space="preserve"> </t>
  </si>
  <si>
    <t>FY16</t>
  </si>
  <si>
    <t>FY17</t>
  </si>
  <si>
    <t>Share Capital</t>
  </si>
  <si>
    <t>Reserves &amp; Surplus</t>
  </si>
  <si>
    <t>Networth/Shareholders Fund/ Book Value</t>
  </si>
  <si>
    <t>Minority Int</t>
  </si>
  <si>
    <t>Long Term Debt</t>
  </si>
  <si>
    <t>Short Term Debt</t>
  </si>
  <si>
    <t>Loans</t>
  </si>
  <si>
    <t>CURRENT ASSETS, LOANS &amp; ADVANCES</t>
  </si>
  <si>
    <t>Inventories</t>
  </si>
  <si>
    <t>Cash &amp; Bank Balances</t>
  </si>
  <si>
    <t>CURRENT LIABILITIES &amp; PROVISIONS</t>
  </si>
  <si>
    <t>NET CURRENT ASSETS</t>
  </si>
  <si>
    <t>Deferred Tax Liability</t>
  </si>
  <si>
    <t>Key ratios</t>
  </si>
  <si>
    <t xml:space="preserve">Y/E, Mar </t>
  </si>
  <si>
    <t>CMP(Rs)</t>
  </si>
  <si>
    <t>EPS (Rs)</t>
  </si>
  <si>
    <t>BVPS (Rs)</t>
  </si>
  <si>
    <t>DPS (Rs)</t>
  </si>
  <si>
    <t>P/E (x)</t>
  </si>
  <si>
    <t>P/BV (x)</t>
  </si>
  <si>
    <t>EV/EBIDTA (x)</t>
  </si>
  <si>
    <t>RoE (%)</t>
  </si>
  <si>
    <t>RoCE (%)</t>
  </si>
  <si>
    <t>Gross D/E(x)</t>
  </si>
  <si>
    <t>Net D/E (x)</t>
  </si>
  <si>
    <t>Dividend Yield</t>
  </si>
  <si>
    <t>Debtor Days</t>
  </si>
  <si>
    <t>Creditor Days</t>
  </si>
  <si>
    <t>Inventory Days</t>
  </si>
  <si>
    <t>Working Capital Days</t>
  </si>
  <si>
    <t>Other Expenses</t>
  </si>
  <si>
    <t>Other Comprehensive Income</t>
  </si>
  <si>
    <t>Short term Provisions</t>
  </si>
  <si>
    <t>Cash and Cash Equivalents at End of the year</t>
  </si>
  <si>
    <t>Other Current liabilities</t>
  </si>
  <si>
    <t>Cash Flow from Investing Activities</t>
  </si>
  <si>
    <t>PAT margin (%)</t>
  </si>
  <si>
    <t>Cash Conversion cycle</t>
  </si>
  <si>
    <t>Trade Payables</t>
  </si>
  <si>
    <t>Other Financial liabilities</t>
  </si>
  <si>
    <t>Other financial assets</t>
  </si>
  <si>
    <t>FY18</t>
  </si>
  <si>
    <t>Interest Cost</t>
  </si>
  <si>
    <t>Gross Block</t>
  </si>
  <si>
    <t>TOTAL ASSETS</t>
  </si>
  <si>
    <t>TOTAL LIABILITIES</t>
  </si>
  <si>
    <t>Balance Sheet</t>
  </si>
  <si>
    <t>Income Statement</t>
  </si>
  <si>
    <t>Capital Work in Progress</t>
  </si>
  <si>
    <t>Current Tax Liabilties</t>
  </si>
  <si>
    <t>FY19</t>
  </si>
  <si>
    <t>Other Non Current liabilities</t>
  </si>
  <si>
    <t>Fixed Assets Turnover Rario</t>
  </si>
  <si>
    <t>FY20</t>
  </si>
  <si>
    <t>Expectional Items</t>
  </si>
  <si>
    <t>Cost of materials consumed</t>
  </si>
  <si>
    <t>Purchase of traded goods</t>
  </si>
  <si>
    <t>Employee Benefits Expenses</t>
  </si>
  <si>
    <t>Excise duty on sale of goods</t>
  </si>
  <si>
    <t>Investments</t>
  </si>
  <si>
    <t>Investment in Associates</t>
  </si>
  <si>
    <t>Investment in Property</t>
  </si>
  <si>
    <t>Property, Plant and Equipment</t>
  </si>
  <si>
    <t>Non Current Loans &amp; Advances</t>
  </si>
  <si>
    <t>Other Intangible Assets</t>
  </si>
  <si>
    <t>Non Current Investment</t>
  </si>
  <si>
    <t>Other Non Current Financial Assets</t>
  </si>
  <si>
    <t>Other Non Current Assets</t>
  </si>
  <si>
    <t>Non Current Assets</t>
  </si>
  <si>
    <t>Check</t>
  </si>
  <si>
    <t>Non Current Provisions</t>
  </si>
  <si>
    <t>Current Loans &amp; Advances</t>
  </si>
  <si>
    <t>Other Current Assets</t>
  </si>
  <si>
    <t>Share of Profit/ (Loss) of an associate</t>
  </si>
  <si>
    <t>Change in Inventory</t>
  </si>
  <si>
    <t>Deferred Tax Asset (Net)</t>
  </si>
  <si>
    <t>Revenue from Operations</t>
  </si>
  <si>
    <t>CAGR (%) - 3 Years</t>
  </si>
  <si>
    <t>Tinna Rubber and Infrastructure Ltd. (Consolidated)</t>
  </si>
  <si>
    <t>Market Cap (in Mn)</t>
  </si>
  <si>
    <t>Total Debt (in Mn)</t>
  </si>
  <si>
    <t>Cash (in Mn)</t>
  </si>
  <si>
    <t>EV (in Mn)</t>
  </si>
  <si>
    <t>No. of Shares (absolute)</t>
  </si>
  <si>
    <t>Capital Employed (Liabilities)</t>
  </si>
  <si>
    <t>Capital Employed (Asset)</t>
  </si>
  <si>
    <t>Int Cov</t>
  </si>
  <si>
    <t>-</t>
  </si>
  <si>
    <t>FY21</t>
  </si>
  <si>
    <t>Crushed in Ton</t>
  </si>
  <si>
    <t>Rs in Lakhs</t>
  </si>
  <si>
    <t>Rs Per Ton</t>
  </si>
  <si>
    <t>% of revenue per ton</t>
  </si>
  <si>
    <t>Revenue</t>
  </si>
  <si>
    <t>Power fuel</t>
  </si>
  <si>
    <t>Cost of materials</t>
  </si>
  <si>
    <t>Labour cost</t>
  </si>
  <si>
    <t>Repairs</t>
  </si>
  <si>
    <t>Total Cost</t>
  </si>
  <si>
    <t>NA</t>
  </si>
  <si>
    <t>FY22</t>
  </si>
  <si>
    <t>Current Tax Assets</t>
  </si>
  <si>
    <t>FY23</t>
  </si>
  <si>
    <t>Sundry Debtors (Trade receivables)</t>
  </si>
  <si>
    <t>Lease Liabilities</t>
  </si>
  <si>
    <t>FY24</t>
  </si>
  <si>
    <t>Right of use Assets</t>
  </si>
  <si>
    <t>Assets Held for 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</si>
</sst>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0.0"/>
    <numFmt numFmtId="165" formatCode="0.0%"/>
    <numFmt numFmtId="166" formatCode="_ * #,##0.0_ ;_ * \-#,##0.0_ ;_ * &quot;-&quot;??_ ;_ @_ "/>
    <numFmt numFmtId="167" formatCode="_ * #,##0.000_ ;_ * \-#,##0.000_ ;_ * &quot;-&quot;??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15">
    <xf numFmtId="0" fontId="0" fillId="0" borderId="0" xfId="0"/>
    <xf numFmtId="0" fontId="3" fillId="0" borderId="0" xfId="0" applyFont="1"/>
    <xf numFmtId="9" fontId="0" fillId="0" borderId="0" xfId="1" applyFont="1"/>
    <xf numFmtId="0" fontId="6" fillId="2" borderId="0" xfId="0" applyFont="1" applyFill="1" applyAlignment="1">
      <alignment horizontal="center" vertical="center"/>
    </xf>
    <xf numFmtId="0" fontId="7" fillId="0" borderId="2" xfId="0" applyFont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3" xfId="0" applyFont="1" applyBorder="1"/>
    <xf numFmtId="0" fontId="7" fillId="0" borderId="4" xfId="0" applyFont="1" applyBorder="1"/>
    <xf numFmtId="0" fontId="3" fillId="5" borderId="1" xfId="0" applyFont="1" applyFill="1" applyBorder="1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164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3" fillId="0" borderId="1" xfId="0" applyFont="1" applyBorder="1"/>
    <xf numFmtId="166" fontId="3" fillId="0" borderId="1" xfId="2" applyNumberFormat="1" applyFont="1" applyBorder="1"/>
    <xf numFmtId="167" fontId="3" fillId="0" borderId="1" xfId="2" applyNumberFormat="1" applyFont="1" applyBorder="1"/>
    <xf numFmtId="167" fontId="8" fillId="0" borderId="1" xfId="2" applyNumberFormat="1" applyFont="1" applyFill="1" applyBorder="1"/>
    <xf numFmtId="10" fontId="0" fillId="0" borderId="0" xfId="1" applyNumberFormat="1" applyFont="1"/>
    <xf numFmtId="167" fontId="9" fillId="0" borderId="1" xfId="2" applyNumberFormat="1" applyFont="1" applyBorder="1"/>
    <xf numFmtId="0" fontId="9" fillId="0" borderId="1" xfId="0" applyFont="1" applyBorder="1" applyAlignment="1">
      <alignment horizontal="right"/>
    </xf>
    <xf numFmtId="167" fontId="9" fillId="0" borderId="0" xfId="2" applyNumberFormat="1" applyFont="1" applyFill="1" applyBorder="1"/>
    <xf numFmtId="0" fontId="0" fillId="4" borderId="1" xfId="0" applyFill="1" applyBorder="1"/>
    <xf numFmtId="10" fontId="0" fillId="4" borderId="1" xfId="0" applyNumberFormat="1" applyFill="1" applyBorder="1"/>
    <xf numFmtId="167" fontId="0" fillId="0" borderId="1" xfId="2" applyNumberFormat="1" applyFont="1" applyBorder="1"/>
    <xf numFmtId="167" fontId="0" fillId="0" borderId="0" xfId="2" applyNumberFormat="1" applyFont="1" applyFill="1" applyBorder="1"/>
    <xf numFmtId="43" fontId="0" fillId="4" borderId="1" xfId="0" applyNumberFormat="1" applyFill="1" applyBorder="1"/>
    <xf numFmtId="167" fontId="0" fillId="4" borderId="1" xfId="0" applyNumberFormat="1" applyFill="1" applyBorder="1"/>
    <xf numFmtId="0" fontId="3" fillId="4" borderId="1" xfId="0" applyFont="1" applyFill="1" applyBorder="1"/>
    <xf numFmtId="167" fontId="3" fillId="4" borderId="1" xfId="2" applyNumberFormat="1" applyFont="1" applyFill="1" applyBorder="1"/>
    <xf numFmtId="167" fontId="3" fillId="0" borderId="0" xfId="2" applyNumberFormat="1" applyFont="1" applyFill="1" applyBorder="1"/>
    <xf numFmtId="166" fontId="3" fillId="4" borderId="1" xfId="2" applyNumberFormat="1" applyFont="1" applyFill="1" applyBorder="1"/>
    <xf numFmtId="166" fontId="0" fillId="0" borderId="1" xfId="2" applyNumberFormat="1" applyFont="1" applyBorder="1"/>
    <xf numFmtId="167" fontId="9" fillId="0" borderId="1" xfId="2" applyNumberFormat="1" applyFont="1" applyFill="1" applyBorder="1"/>
    <xf numFmtId="164" fontId="0" fillId="0" borderId="0" xfId="0" applyNumberFormat="1"/>
    <xf numFmtId="167" fontId="8" fillId="4" borderId="1" xfId="2" applyNumberFormat="1" applyFont="1" applyFill="1" applyBorder="1"/>
    <xf numFmtId="167" fontId="8" fillId="0" borderId="0" xfId="2" applyNumberFormat="1" applyFont="1" applyFill="1" applyBorder="1"/>
    <xf numFmtId="0" fontId="9" fillId="0" borderId="1" xfId="0" applyFont="1" applyBorder="1"/>
    <xf numFmtId="0" fontId="10" fillId="0" borderId="1" xfId="0" applyFont="1" applyBorder="1"/>
    <xf numFmtId="10" fontId="3" fillId="4" borderId="1" xfId="0" applyNumberFormat="1" applyFont="1" applyFill="1" applyBorder="1"/>
    <xf numFmtId="9" fontId="3" fillId="4" borderId="1" xfId="1" applyFont="1" applyFill="1" applyBorder="1"/>
    <xf numFmtId="9" fontId="0" fillId="4" borderId="1" xfId="1" applyFont="1" applyFill="1" applyBorder="1"/>
    <xf numFmtId="10" fontId="3" fillId="4" borderId="1" xfId="1" applyNumberFormat="1" applyFont="1" applyFill="1" applyBorder="1"/>
    <xf numFmtId="164" fontId="0" fillId="0" borderId="1" xfId="0" applyNumberFormat="1" applyBorder="1"/>
    <xf numFmtId="167" fontId="0" fillId="0" borderId="1" xfId="0" applyNumberFormat="1" applyBorder="1"/>
    <xf numFmtId="167" fontId="9" fillId="0" borderId="1" xfId="0" applyNumberFormat="1" applyFont="1" applyBorder="1"/>
    <xf numFmtId="164" fontId="3" fillId="4" borderId="1" xfId="0" applyNumberFormat="1" applyFont="1" applyFill="1" applyBorder="1"/>
    <xf numFmtId="167" fontId="3" fillId="4" borderId="1" xfId="0" applyNumberFormat="1" applyFont="1" applyFill="1" applyBorder="1"/>
    <xf numFmtId="9" fontId="9" fillId="4" borderId="1" xfId="1" applyFont="1" applyFill="1" applyBorder="1"/>
    <xf numFmtId="10" fontId="9" fillId="4" borderId="1" xfId="0" applyNumberFormat="1" applyFont="1" applyFill="1" applyBorder="1"/>
    <xf numFmtId="43" fontId="3" fillId="0" borderId="1" xfId="2" applyFont="1" applyFill="1" applyBorder="1"/>
    <xf numFmtId="43" fontId="8" fillId="0" borderId="1" xfId="2" applyFont="1" applyFill="1" applyBorder="1"/>
    <xf numFmtId="9" fontId="0" fillId="4" borderId="1" xfId="1" applyFont="1" applyFill="1" applyBorder="1" applyAlignment="1">
      <alignment horizontal="center"/>
    </xf>
    <xf numFmtId="165" fontId="0" fillId="4" borderId="1" xfId="0" applyNumberFormat="1" applyFill="1" applyBorder="1"/>
    <xf numFmtId="0" fontId="5" fillId="0" borderId="0" xfId="0" applyFont="1"/>
    <xf numFmtId="43" fontId="0" fillId="0" borderId="0" xfId="0" applyNumberFormat="1"/>
    <xf numFmtId="0" fontId="11" fillId="0" borderId="1" xfId="0" applyFont="1" applyBorder="1" applyAlignment="1">
      <alignment horizontal="center"/>
    </xf>
    <xf numFmtId="167" fontId="3" fillId="0" borderId="1" xfId="2" applyNumberFormat="1" applyFont="1" applyFill="1" applyBorder="1"/>
    <xf numFmtId="0" fontId="11" fillId="0" borderId="0" xfId="0" applyFont="1" applyAlignment="1">
      <alignment horizontal="right"/>
    </xf>
    <xf numFmtId="0" fontId="3" fillId="3" borderId="1" xfId="0" applyFont="1" applyFill="1" applyBorder="1"/>
    <xf numFmtId="167" fontId="9" fillId="4" borderId="1" xfId="2" applyNumberFormat="1" applyFont="1" applyFill="1" applyBorder="1"/>
    <xf numFmtId="164" fontId="9" fillId="0" borderId="1" xfId="0" applyNumberFormat="1" applyFont="1" applyBorder="1"/>
    <xf numFmtId="167" fontId="0" fillId="4" borderId="1" xfId="2" applyNumberFormat="1" applyFont="1" applyFill="1" applyBorder="1"/>
    <xf numFmtId="43" fontId="0" fillId="0" borderId="0" xfId="2" applyFont="1" applyFill="1" applyBorder="1"/>
    <xf numFmtId="164" fontId="3" fillId="0" borderId="1" xfId="0" applyNumberFormat="1" applyFont="1" applyBorder="1"/>
    <xf numFmtId="43" fontId="0" fillId="0" borderId="1" xfId="2" applyFont="1" applyBorder="1"/>
    <xf numFmtId="43" fontId="9" fillId="0" borderId="1" xfId="2" applyFont="1" applyBorder="1"/>
    <xf numFmtId="0" fontId="5" fillId="0" borderId="1" xfId="0" applyFont="1" applyBorder="1"/>
    <xf numFmtId="0" fontId="11" fillId="0" borderId="1" xfId="0" applyFont="1" applyBorder="1" applyAlignment="1">
      <alignment horizontal="right"/>
    </xf>
    <xf numFmtId="43" fontId="3" fillId="4" borderId="1" xfId="2" applyFont="1" applyFill="1" applyBorder="1"/>
    <xf numFmtId="43" fontId="8" fillId="4" borderId="1" xfId="2" applyFont="1" applyFill="1" applyBorder="1"/>
    <xf numFmtId="43" fontId="0" fillId="4" borderId="1" xfId="2" applyFont="1" applyFill="1" applyBorder="1"/>
    <xf numFmtId="164" fontId="0" fillId="4" borderId="1" xfId="0" applyNumberFormat="1" applyFill="1" applyBorder="1"/>
    <xf numFmtId="43" fontId="9" fillId="0" borderId="0" xfId="2" applyFont="1" applyFill="1" applyBorder="1"/>
    <xf numFmtId="3" fontId="12" fillId="0" borderId="1" xfId="0" applyNumberFormat="1" applyFont="1" applyBorder="1"/>
    <xf numFmtId="43" fontId="0" fillId="0" borderId="1" xfId="2" applyFont="1" applyFill="1" applyBorder="1"/>
    <xf numFmtId="43" fontId="9" fillId="0" borderId="1" xfId="2" applyFont="1" applyFill="1" applyBorder="1"/>
    <xf numFmtId="43" fontId="0" fillId="4" borderId="1" xfId="2" applyFont="1" applyFill="1" applyBorder="1" applyAlignment="1">
      <alignment horizontal="center" vertical="center"/>
    </xf>
    <xf numFmtId="43" fontId="9" fillId="4" borderId="1" xfId="2" applyFont="1" applyFill="1" applyBorder="1"/>
    <xf numFmtId="10" fontId="0" fillId="0" borderId="0" xfId="0" applyNumberFormat="1"/>
    <xf numFmtId="165" fontId="0" fillId="0" borderId="1" xfId="0" applyNumberFormat="1" applyBorder="1"/>
    <xf numFmtId="2" fontId="9" fillId="0" borderId="0" xfId="0" applyNumberFormat="1" applyFont="1"/>
    <xf numFmtId="2" fontId="0" fillId="4" borderId="1" xfId="0" applyNumberFormat="1" applyFill="1" applyBorder="1"/>
    <xf numFmtId="2" fontId="9" fillId="4" borderId="1" xfId="0" applyNumberFormat="1" applyFont="1" applyFill="1" applyBorder="1"/>
    <xf numFmtId="10" fontId="9" fillId="0" borderId="0" xfId="1" applyNumberFormat="1" applyFont="1" applyFill="1" applyBorder="1"/>
    <xf numFmtId="10" fontId="0" fillId="4" borderId="1" xfId="1" applyNumberFormat="1" applyFont="1" applyFill="1" applyBorder="1"/>
    <xf numFmtId="10" fontId="9" fillId="4" borderId="1" xfId="1" applyNumberFormat="1" applyFont="1" applyFill="1" applyBorder="1"/>
    <xf numFmtId="1" fontId="0" fillId="0" borderId="0" xfId="0" applyNumberFormat="1"/>
    <xf numFmtId="1" fontId="0" fillId="4" borderId="1" xfId="0" applyNumberFormat="1" applyFill="1" applyBorder="1"/>
    <xf numFmtId="1" fontId="9" fillId="0" borderId="0" xfId="0" applyNumberFormat="1" applyFont="1"/>
    <xf numFmtId="1" fontId="9" fillId="4" borderId="1" xfId="0" applyNumberFormat="1" applyFont="1" applyFill="1" applyBorder="1"/>
    <xf numFmtId="166" fontId="9" fillId="0" borderId="0" xfId="2" applyNumberFormat="1" applyFont="1" applyFill="1" applyBorder="1"/>
    <xf numFmtId="166" fontId="9" fillId="4" borderId="1" xfId="2" applyNumberFormat="1" applyFont="1" applyFill="1" applyBorder="1"/>
    <xf numFmtId="43" fontId="0" fillId="0" borderId="1" xfId="0" applyNumberFormat="1" applyBorder="1"/>
    <xf numFmtId="9" fontId="11" fillId="0" borderId="0" xfId="1" applyFont="1" applyFill="1"/>
    <xf numFmtId="167" fontId="5" fillId="0" borderId="0" xfId="0" applyNumberFormat="1" applyFont="1"/>
    <xf numFmtId="43" fontId="0" fillId="0" borderId="0" xfId="2" applyFont="1" applyFill="1"/>
    <xf numFmtId="164" fontId="9" fillId="0" borderId="0" xfId="0" applyNumberFormat="1" applyFont="1"/>
    <xf numFmtId="167" fontId="0" fillId="0" borderId="1" xfId="2" applyNumberFormat="1" applyFont="1" applyFill="1" applyBorder="1"/>
    <xf numFmtId="167" fontId="9" fillId="0" borderId="0" xfId="2" applyNumberFormat="1" applyFont="1" applyBorder="1"/>
    <xf numFmtId="0" fontId="8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right"/>
    </xf>
    <xf numFmtId="9" fontId="5" fillId="0" borderId="0" xfId="1" applyFont="1"/>
    <xf numFmtId="167" fontId="0" fillId="0" borderId="1" xfId="2" applyNumberFormat="1" applyFont="1" applyBorder="1" applyAlignment="1">
      <alignment horizontal="right"/>
    </xf>
    <xf numFmtId="167" fontId="9" fillId="0" borderId="1" xfId="2" applyNumberFormat="1" applyFont="1" applyBorder="1" applyAlignment="1">
      <alignment horizontal="right"/>
    </xf>
    <xf numFmtId="167" fontId="0" fillId="0" borderId="1" xfId="2" applyNumberFormat="1" applyFont="1" applyFill="1" applyBorder="1" applyAlignment="1">
      <alignment horizontal="right"/>
    </xf>
    <xf numFmtId="0" fontId="8" fillId="4" borderId="1" xfId="2" applyNumberFormat="1" applyFont="1" applyFill="1" applyBorder="1"/>
    <xf numFmtId="0" fontId="0" fillId="0" borderId="1" xfId="0" applyBorder="1" applyAlignment="1">
      <alignment horizontal="right"/>
    </xf>
    <xf numFmtId="164" fontId="9" fillId="0" borderId="1" xfId="0" applyNumberFormat="1" applyFont="1" applyBorder="1" applyAlignment="1">
      <alignment horizontal="right"/>
    </xf>
    <xf numFmtId="0" fontId="6" fillId="2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0" borderId="0" xfId="0" applyAlignment="1">
      <alignment horizontal="left"/>
    </xf>
  </cellXfs>
  <cellStyles count="7">
    <cellStyle name="Comma" xfId="2" builtinId="3"/>
    <cellStyle name="Comma 11 2" xfId="5" xr:uid="{00000000-0005-0000-0000-000001000000}"/>
    <cellStyle name="Comma 2" xfId="3" xr:uid="{00000000-0005-0000-0000-000002000000}"/>
    <cellStyle name="Comma 2 2" xfId="4" xr:uid="{00000000-0005-0000-0000-000003000000}"/>
    <cellStyle name="Comma 6" xfId="6" xr:uid="{00000000-0005-0000-0000-000004000000}"/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7F7F7F"/>
      <rgbColor rgb="00BFBFBF"/>
      <rgbColor rgb="00FFFF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70AC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microsoft.com/office/2017/10/relationships/person" Target="persons/person0.xml"/><Relationship Id="rId5" Type="http://schemas.openxmlformats.org/officeDocument/2006/relationships/sharedStrings" Target="sharedStrings.xml"/><Relationship Id="rId10" Type="http://schemas.microsoft.com/office/2017/10/relationships/person" Target="persons/person1.xml"/><Relationship Id="rId4" Type="http://schemas.openxmlformats.org/officeDocument/2006/relationships/styles" Target="style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73"/>
  <sheetViews>
    <sheetView tabSelected="1" topLeftCell="M1" zoomScale="70" zoomScaleNormal="70" zoomScaleSheetLayoutView="66" workbookViewId="0">
      <pane ySplit="1" topLeftCell="A32" activePane="bottomLeft" state="frozen"/>
      <selection pane="bottomLeft" activeCell="W73" sqref="W73"/>
    </sheetView>
  </sheetViews>
  <sheetFormatPr defaultColWidth="9.1796875" defaultRowHeight="14.5" x14ac:dyDescent="0.35"/>
  <cols>
    <col min="1" max="1" width="68" bestFit="1" customWidth="1"/>
    <col min="2" max="4" width="11" style="57" hidden="1" customWidth="1"/>
    <col min="5" max="5" width="13.453125" style="57" bestFit="1" customWidth="1"/>
    <col min="6" max="6" width="14.7265625" bestFit="1" customWidth="1"/>
    <col min="7" max="7" width="14.1796875" style="57" bestFit="1" customWidth="1"/>
    <col min="8" max="10" width="14.7265625" style="57" bestFit="1" customWidth="1"/>
    <col min="11" max="11" width="15.1796875" style="57" bestFit="1" customWidth="1"/>
    <col min="12" max="12" width="15.1796875" style="57" customWidth="1"/>
    <col min="13" max="13" width="15.1796875" style="57" bestFit="1" customWidth="1"/>
    <col min="14" max="14" width="3.81640625" customWidth="1"/>
    <col min="15" max="15" width="56.26953125" bestFit="1" customWidth="1"/>
    <col min="16" max="16" width="14.1796875" bestFit="1" customWidth="1"/>
    <col min="17" max="17" width="14.7265625" style="100" bestFit="1" customWidth="1"/>
    <col min="18" max="23" width="14.7265625" bestFit="1" customWidth="1"/>
    <col min="24" max="24" width="13.453125" customWidth="1"/>
    <col min="25" max="25" width="6.1796875" bestFit="1" customWidth="1"/>
    <col min="26" max="26" width="10.54296875" bestFit="1" customWidth="1"/>
    <col min="27" max="27" width="10" bestFit="1" customWidth="1"/>
    <col min="28" max="30" width="10.54296875" bestFit="1" customWidth="1"/>
  </cols>
  <sheetData>
    <row r="1" spans="1:43" ht="15" customHeight="1" x14ac:dyDescent="0.35">
      <c r="A1" s="112" t="s">
        <v>106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3"/>
      <c r="V1" s="112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</row>
    <row r="2" spans="1:43" ht="15" customHeight="1" x14ac:dyDescent="0.35">
      <c r="A2" s="4" t="s">
        <v>75</v>
      </c>
      <c r="B2" s="5"/>
      <c r="C2" s="5"/>
      <c r="D2" s="5"/>
      <c r="E2" s="5"/>
      <c r="F2" s="5"/>
      <c r="G2" s="5"/>
      <c r="H2" s="5"/>
      <c r="I2" s="5"/>
      <c r="J2" s="6"/>
      <c r="K2" s="6"/>
      <c r="L2" s="6"/>
      <c r="M2" s="6"/>
      <c r="N2" s="1"/>
      <c r="O2" s="7" t="s">
        <v>74</v>
      </c>
      <c r="P2" s="8"/>
      <c r="Q2" s="8"/>
      <c r="R2" s="8"/>
      <c r="S2" s="8"/>
      <c r="T2" s="8"/>
      <c r="U2" s="6"/>
      <c r="V2" s="6"/>
      <c r="W2" s="6"/>
      <c r="X2" s="6"/>
    </row>
    <row r="3" spans="1:43" ht="15" customHeight="1" x14ac:dyDescent="0.35">
      <c r="A3" s="9" t="s">
        <v>0</v>
      </c>
      <c r="B3" s="10"/>
      <c r="C3" s="10"/>
      <c r="D3" s="10"/>
      <c r="E3" s="11" t="s">
        <v>25</v>
      </c>
      <c r="F3" s="11" t="s">
        <v>26</v>
      </c>
      <c r="G3" s="12" t="s">
        <v>69</v>
      </c>
      <c r="H3" s="103" t="s">
        <v>78</v>
      </c>
      <c r="I3" s="103" t="s">
        <v>81</v>
      </c>
      <c r="J3" s="103" t="s">
        <v>116</v>
      </c>
      <c r="K3" s="103" t="s">
        <v>128</v>
      </c>
      <c r="L3" s="103" t="s">
        <v>130</v>
      </c>
      <c r="M3" s="103" t="s">
        <v>133</v>
      </c>
      <c r="N3" s="1"/>
      <c r="O3" s="9" t="s">
        <v>0</v>
      </c>
      <c r="P3" s="13" t="s">
        <v>26</v>
      </c>
      <c r="Q3" s="14" t="s">
        <v>69</v>
      </c>
      <c r="R3" s="104" t="s">
        <v>78</v>
      </c>
      <c r="S3" s="104" t="s">
        <v>81</v>
      </c>
      <c r="T3" s="104" t="s">
        <v>116</v>
      </c>
      <c r="U3" s="104" t="s">
        <v>128</v>
      </c>
      <c r="V3" s="104" t="s">
        <v>130</v>
      </c>
      <c r="W3" s="103" t="s">
        <v>133</v>
      </c>
      <c r="X3" s="16"/>
    </row>
    <row r="4" spans="1:43" ht="15" customHeight="1" x14ac:dyDescent="0.35">
      <c r="A4" s="17" t="s">
        <v>104</v>
      </c>
      <c r="B4" s="10"/>
      <c r="C4" s="10"/>
      <c r="D4" s="10"/>
      <c r="E4" s="18">
        <v>995.36058600000001</v>
      </c>
      <c r="F4" s="19">
        <f>736.765-48.348</f>
        <v>688.41700000000003</v>
      </c>
      <c r="G4" s="20">
        <f>1021.698-19.186</f>
        <v>1002.5119999999999</v>
      </c>
      <c r="H4" s="20">
        <f>1297.099</f>
        <v>1297.0989999999999</v>
      </c>
      <c r="I4" s="20">
        <v>1227.3320000000001</v>
      </c>
      <c r="J4" s="20">
        <v>1300.655</v>
      </c>
      <c r="K4" s="20">
        <v>2292.3539999999998</v>
      </c>
      <c r="L4" s="20">
        <v>2954.317</v>
      </c>
      <c r="M4" s="20">
        <v>3630.28</v>
      </c>
      <c r="N4" s="21"/>
      <c r="O4" s="10" t="s">
        <v>27</v>
      </c>
      <c r="P4" s="22">
        <v>85.647999999999996</v>
      </c>
      <c r="Q4" s="22">
        <v>85.647999999999996</v>
      </c>
      <c r="R4" s="22">
        <v>85.647999999999996</v>
      </c>
      <c r="S4" s="22">
        <v>85.647999999999996</v>
      </c>
      <c r="T4" s="23">
        <v>85.647999999999996</v>
      </c>
      <c r="U4" s="22">
        <v>85.647999999999996</v>
      </c>
      <c r="V4" s="22">
        <v>85.647999999999996</v>
      </c>
      <c r="W4" s="36">
        <v>171.29499999999999</v>
      </c>
      <c r="X4" s="24"/>
    </row>
    <row r="5" spans="1:43" ht="15" customHeight="1" x14ac:dyDescent="0.35">
      <c r="A5" s="25" t="s">
        <v>1</v>
      </c>
      <c r="B5" s="10"/>
      <c r="C5" s="10"/>
      <c r="D5" s="10"/>
      <c r="E5" s="26"/>
      <c r="F5" s="26">
        <f>(F4/E4-1)</f>
        <v>-0.30837426186774886</v>
      </c>
      <c r="G5" s="26">
        <f>(G4/F4-1)</f>
        <v>0.45625689080891374</v>
      </c>
      <c r="H5" s="26">
        <f>(H4/G4-1)</f>
        <v>0.29384885168456831</v>
      </c>
      <c r="I5" s="26">
        <f>(I4/H4-1)</f>
        <v>-5.3786950726197325E-2</v>
      </c>
      <c r="J5" s="26">
        <f>(J4/I4-1)</f>
        <v>5.9741781359892832E-2</v>
      </c>
      <c r="K5" s="26">
        <f t="shared" ref="K5:M5" si="0">(K4/J4-1)</f>
        <v>0.76246122146149431</v>
      </c>
      <c r="L5" s="26">
        <f t="shared" si="0"/>
        <v>0.28876997182808606</v>
      </c>
      <c r="M5" s="26">
        <f t="shared" si="0"/>
        <v>0.22880516884274771</v>
      </c>
      <c r="O5" s="10" t="s">
        <v>28</v>
      </c>
      <c r="P5" s="27">
        <v>511.74200000000002</v>
      </c>
      <c r="Q5" s="22">
        <v>627.50900000000001</v>
      </c>
      <c r="R5" s="27">
        <v>627.22299999999996</v>
      </c>
      <c r="S5" s="27">
        <v>582.28300000000002</v>
      </c>
      <c r="T5" s="23">
        <v>581.976</v>
      </c>
      <c r="U5" s="27">
        <v>688.66200000000003</v>
      </c>
      <c r="V5" s="22">
        <v>874.19500000000005</v>
      </c>
      <c r="W5" s="101">
        <v>1106.473</v>
      </c>
      <c r="X5" s="28"/>
    </row>
    <row r="6" spans="1:43" ht="15" customHeight="1" x14ac:dyDescent="0.35">
      <c r="A6" s="25" t="s">
        <v>105</v>
      </c>
      <c r="B6" s="10"/>
      <c r="C6" s="10"/>
      <c r="D6" s="10"/>
      <c r="E6" s="26"/>
      <c r="F6" s="29"/>
      <c r="G6" s="30"/>
      <c r="H6" s="26">
        <f>+((H4/E4)^(1/3)-1)</f>
        <v>9.2272236743099478E-2</v>
      </c>
      <c r="I6" s="26">
        <f>+((I4/F4)^(1/3)-1)</f>
        <v>0.21256070585448317</v>
      </c>
      <c r="J6" s="26">
        <f>+((J4/G4)^(1/3)-1)</f>
        <v>9.0663664906932118E-2</v>
      </c>
      <c r="K6" s="26">
        <f t="shared" ref="K6:L6" si="1">+((K4/H4)^(1/3)-1)</f>
        <v>0.20902752113345668</v>
      </c>
      <c r="L6" s="26">
        <f t="shared" si="1"/>
        <v>0.34018579977345587</v>
      </c>
      <c r="M6" s="26">
        <f>+((M4/J4)^(1/3)-1)</f>
        <v>0.40796762732978031</v>
      </c>
      <c r="O6" s="31" t="s">
        <v>29</v>
      </c>
      <c r="P6" s="32">
        <f t="shared" ref="P6:R6" si="2">(P4+P5)</f>
        <v>597.39</v>
      </c>
      <c r="Q6" s="32">
        <f t="shared" si="2"/>
        <v>713.15700000000004</v>
      </c>
      <c r="R6" s="32">
        <f t="shared" si="2"/>
        <v>712.87099999999998</v>
      </c>
      <c r="S6" s="32">
        <f>(S4+S5)</f>
        <v>667.93100000000004</v>
      </c>
      <c r="T6" s="32">
        <f>(T4+T5)</f>
        <v>667.62400000000002</v>
      </c>
      <c r="U6" s="32">
        <f>(U4+U5)</f>
        <v>774.31000000000006</v>
      </c>
      <c r="V6" s="32">
        <f>(V4+V5)</f>
        <v>959.84300000000007</v>
      </c>
      <c r="W6" s="32">
        <f>(W4+W5)</f>
        <v>1277.768</v>
      </c>
      <c r="X6" s="33"/>
    </row>
    <row r="7" spans="1:43" ht="15" customHeight="1" x14ac:dyDescent="0.35">
      <c r="A7" s="31" t="s">
        <v>2</v>
      </c>
      <c r="B7" s="10"/>
      <c r="C7" s="10"/>
      <c r="D7" s="10"/>
      <c r="E7" s="34">
        <f t="shared" ref="E7:K7" si="3">SUM(E8:E13)</f>
        <v>1153.099929</v>
      </c>
      <c r="F7" s="32">
        <f t="shared" si="3"/>
        <v>672.83399999999995</v>
      </c>
      <c r="G7" s="32">
        <f t="shared" si="3"/>
        <v>903.38599999999997</v>
      </c>
      <c r="H7" s="32">
        <f t="shared" si="3"/>
        <v>1143.7959999999998</v>
      </c>
      <c r="I7" s="32">
        <f t="shared" si="3"/>
        <v>1140.6870000000001</v>
      </c>
      <c r="J7" s="32">
        <f t="shared" si="3"/>
        <v>1126.71</v>
      </c>
      <c r="K7" s="32">
        <f t="shared" si="3"/>
        <v>1923.15</v>
      </c>
      <c r="L7" s="32">
        <f>SUM(L8:L13)</f>
        <v>2586.7890000000002</v>
      </c>
      <c r="M7" s="32">
        <f>SUM(M8:M13)</f>
        <v>3004.116</v>
      </c>
      <c r="O7" s="10" t="s">
        <v>30</v>
      </c>
      <c r="P7" s="27">
        <v>0</v>
      </c>
      <c r="Q7" s="22">
        <v>0</v>
      </c>
      <c r="R7" s="27">
        <v>0</v>
      </c>
      <c r="S7" s="27">
        <v>0</v>
      </c>
      <c r="T7" s="27">
        <v>0</v>
      </c>
      <c r="U7" s="27"/>
      <c r="V7" s="10"/>
      <c r="W7" s="101"/>
      <c r="X7" s="28"/>
    </row>
    <row r="8" spans="1:43" ht="15" customHeight="1" x14ac:dyDescent="0.35">
      <c r="A8" s="10" t="s">
        <v>83</v>
      </c>
      <c r="B8" s="10"/>
      <c r="C8" s="10"/>
      <c r="D8" s="10"/>
      <c r="E8" s="35">
        <v>408.47201000000001</v>
      </c>
      <c r="F8" s="22">
        <v>265.61599999999999</v>
      </c>
      <c r="G8" s="36">
        <v>361.21199999999999</v>
      </c>
      <c r="H8" s="36">
        <v>527.04300000000001</v>
      </c>
      <c r="I8" s="36">
        <v>490.31900000000002</v>
      </c>
      <c r="J8" s="36">
        <v>509.61900000000003</v>
      </c>
      <c r="K8" s="36">
        <v>928.40700000000004</v>
      </c>
      <c r="L8" s="36">
        <v>1354.5129999999999</v>
      </c>
      <c r="M8" s="36">
        <v>1380.806</v>
      </c>
      <c r="O8" s="10" t="s">
        <v>31</v>
      </c>
      <c r="P8" s="27">
        <v>375.822</v>
      </c>
      <c r="Q8" s="22">
        <v>309.71600000000001</v>
      </c>
      <c r="R8" s="27">
        <v>314.887</v>
      </c>
      <c r="S8" s="27">
        <v>286.024</v>
      </c>
      <c r="T8" s="23">
        <v>241.68799999999999</v>
      </c>
      <c r="U8" s="27">
        <v>287.92700000000002</v>
      </c>
      <c r="V8" s="27">
        <v>241.68100000000001</v>
      </c>
      <c r="W8" s="101">
        <v>466.47</v>
      </c>
      <c r="X8" s="28"/>
    </row>
    <row r="9" spans="1:43" ht="15" customHeight="1" x14ac:dyDescent="0.35">
      <c r="A9" s="10" t="s">
        <v>84</v>
      </c>
      <c r="B9" s="10"/>
      <c r="C9" s="10"/>
      <c r="D9" s="10"/>
      <c r="E9" s="35">
        <v>408.47201000000001</v>
      </c>
      <c r="F9" s="22">
        <v>7.0839999999999996</v>
      </c>
      <c r="G9" s="36">
        <v>3.4580000000000002</v>
      </c>
      <c r="H9" s="36">
        <v>90.712999999999994</v>
      </c>
      <c r="I9" s="36">
        <v>27.216999999999999</v>
      </c>
      <c r="J9" s="36">
        <v>46.506</v>
      </c>
      <c r="K9" s="36">
        <v>278.72000000000003</v>
      </c>
      <c r="L9" s="36">
        <v>489.31299999999999</v>
      </c>
      <c r="M9" s="36">
        <v>619.22799999999995</v>
      </c>
      <c r="O9" s="10" t="s">
        <v>32</v>
      </c>
      <c r="P9" s="27">
        <v>475.32600000000002</v>
      </c>
      <c r="Q9" s="22">
        <v>447.38799999999998</v>
      </c>
      <c r="R9" s="27">
        <v>399.58800000000002</v>
      </c>
      <c r="S9" s="27">
        <v>388.10700000000003</v>
      </c>
      <c r="T9" s="23">
        <v>349.74799999999999</v>
      </c>
      <c r="U9" s="27">
        <v>401.53300000000002</v>
      </c>
      <c r="V9" s="27">
        <v>345.07299999999998</v>
      </c>
      <c r="W9" s="101">
        <v>381.214</v>
      </c>
      <c r="X9" s="28"/>
    </row>
    <row r="10" spans="1:43" ht="15" customHeight="1" x14ac:dyDescent="0.35">
      <c r="A10" s="10" t="s">
        <v>102</v>
      </c>
      <c r="B10" s="10"/>
      <c r="C10" s="10"/>
      <c r="D10" s="10"/>
      <c r="E10" s="35">
        <f>-76.89194</f>
        <v>-76.891940000000005</v>
      </c>
      <c r="F10" s="22">
        <v>40.857999999999997</v>
      </c>
      <c r="G10" s="36">
        <v>98.441999999999993</v>
      </c>
      <c r="H10" s="36">
        <v>-11.099</v>
      </c>
      <c r="I10" s="36">
        <v>35.521999999999998</v>
      </c>
      <c r="J10" s="36">
        <v>3.488</v>
      </c>
      <c r="K10" s="36">
        <v>-54.814999999999998</v>
      </c>
      <c r="L10" s="36">
        <v>-67.244</v>
      </c>
      <c r="M10" s="36">
        <v>19.626000000000001</v>
      </c>
      <c r="O10" s="31" t="s">
        <v>33</v>
      </c>
      <c r="P10" s="32">
        <f t="shared" ref="P10:T10" si="4">(P8+P9)</f>
        <v>851.14800000000002</v>
      </c>
      <c r="Q10" s="32">
        <f t="shared" si="4"/>
        <v>757.10400000000004</v>
      </c>
      <c r="R10" s="32">
        <f t="shared" si="4"/>
        <v>714.47500000000002</v>
      </c>
      <c r="S10" s="32">
        <f t="shared" si="4"/>
        <v>674.13100000000009</v>
      </c>
      <c r="T10" s="32">
        <f t="shared" si="4"/>
        <v>591.43599999999992</v>
      </c>
      <c r="U10" s="32">
        <f>(U8+U9)</f>
        <v>689.46</v>
      </c>
      <c r="V10" s="32">
        <f>(V8+V9)</f>
        <v>586.75400000000002</v>
      </c>
      <c r="W10" s="32">
        <f>(W8+W9)</f>
        <v>847.68399999999997</v>
      </c>
      <c r="X10" s="33"/>
    </row>
    <row r="11" spans="1:43" ht="15" customHeight="1" x14ac:dyDescent="0.35">
      <c r="A11" s="10" t="s">
        <v>86</v>
      </c>
      <c r="B11" s="10"/>
      <c r="C11" s="10"/>
      <c r="D11" s="10"/>
      <c r="E11" s="35">
        <v>0</v>
      </c>
      <c r="F11" s="22"/>
      <c r="G11" s="36"/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O11" s="31" t="s">
        <v>112</v>
      </c>
      <c r="P11" s="32">
        <f t="shared" ref="P11:W11" si="5">P6+P8+P44+P46+P47</f>
        <v>1016.078</v>
      </c>
      <c r="Q11" s="32">
        <f t="shared" si="5"/>
        <v>1066.74</v>
      </c>
      <c r="R11" s="32">
        <f t="shared" si="5"/>
        <v>1074.2830000000001</v>
      </c>
      <c r="S11" s="32">
        <f t="shared" si="5"/>
        <v>1005.1030000000001</v>
      </c>
      <c r="T11" s="32">
        <f t="shared" si="5"/>
        <v>955.47200000000009</v>
      </c>
      <c r="U11" s="32">
        <f t="shared" si="5"/>
        <v>1142.0660000000003</v>
      </c>
      <c r="V11" s="32">
        <f t="shared" si="5"/>
        <v>1261.01</v>
      </c>
      <c r="W11" s="32">
        <f t="shared" si="5"/>
        <v>1813.527</v>
      </c>
      <c r="X11" s="33"/>
      <c r="Y11" s="37"/>
      <c r="Z11" s="37"/>
    </row>
    <row r="12" spans="1:43" ht="15" customHeight="1" x14ac:dyDescent="0.35">
      <c r="A12" s="10" t="s">
        <v>85</v>
      </c>
      <c r="B12" s="10"/>
      <c r="C12" s="10"/>
      <c r="D12" s="10"/>
      <c r="E12" s="35">
        <v>152.88778300000001</v>
      </c>
      <c r="F12" s="22">
        <v>133.71799999999999</v>
      </c>
      <c r="G12" s="36">
        <v>168.43899999999999</v>
      </c>
      <c r="H12" s="36">
        <v>208.91900000000001</v>
      </c>
      <c r="I12" s="36">
        <v>220.80799999999999</v>
      </c>
      <c r="J12" s="36">
        <v>207.43199999999999</v>
      </c>
      <c r="K12" s="36">
        <v>240.054</v>
      </c>
      <c r="L12" s="36">
        <v>274.589</v>
      </c>
      <c r="M12" s="36">
        <v>348.78500000000003</v>
      </c>
      <c r="O12" s="31" t="s">
        <v>113</v>
      </c>
      <c r="P12" s="38">
        <f t="shared" ref="P12:W12" si="6">P48-P36</f>
        <v>1016.0780000000001</v>
      </c>
      <c r="Q12" s="38">
        <f t="shared" si="6"/>
        <v>1066.7399999999998</v>
      </c>
      <c r="R12" s="38">
        <f t="shared" si="6"/>
        <v>1074.2830000000004</v>
      </c>
      <c r="S12" s="38">
        <f t="shared" si="6"/>
        <v>1005.076</v>
      </c>
      <c r="T12" s="38">
        <f t="shared" si="6"/>
        <v>955.47299999999996</v>
      </c>
      <c r="U12" s="38">
        <f t="shared" si="6"/>
        <v>1157.645</v>
      </c>
      <c r="V12" s="38">
        <f t="shared" si="6"/>
        <v>1273.4549999999999</v>
      </c>
      <c r="W12" s="38">
        <f t="shared" si="6"/>
        <v>1822.8600000000001</v>
      </c>
      <c r="X12" s="39"/>
    </row>
    <row r="13" spans="1:43" ht="15" customHeight="1" x14ac:dyDescent="0.35">
      <c r="A13" s="10" t="s">
        <v>58</v>
      </c>
      <c r="B13" s="10"/>
      <c r="C13" s="10"/>
      <c r="D13" s="10"/>
      <c r="E13" s="35">
        <v>260.16006599999997</v>
      </c>
      <c r="F13" s="22">
        <v>225.55799999999999</v>
      </c>
      <c r="G13" s="36">
        <v>271.83499999999998</v>
      </c>
      <c r="H13" s="36">
        <v>328.22</v>
      </c>
      <c r="I13" s="36">
        <v>366.82100000000003</v>
      </c>
      <c r="J13" s="36">
        <v>359.66500000000002</v>
      </c>
      <c r="K13" s="36">
        <v>530.78399999999999</v>
      </c>
      <c r="L13" s="36">
        <v>535.61800000000005</v>
      </c>
      <c r="M13" s="36">
        <v>635.67100000000005</v>
      </c>
      <c r="O13" s="40" t="s">
        <v>71</v>
      </c>
      <c r="P13" s="36"/>
      <c r="Q13" s="36"/>
      <c r="R13" s="36"/>
      <c r="S13" s="36"/>
      <c r="T13" s="15"/>
      <c r="U13" s="36"/>
      <c r="V13" s="10"/>
      <c r="W13" s="36"/>
      <c r="X13" s="24"/>
    </row>
    <row r="14" spans="1:43" ht="15" customHeight="1" x14ac:dyDescent="0.35">
      <c r="A14" s="31" t="s">
        <v>3</v>
      </c>
      <c r="B14" s="10"/>
      <c r="C14" s="10"/>
      <c r="D14" s="10"/>
      <c r="E14" s="34">
        <f t="shared" ref="E14:K14" si="7">(E4-E7)</f>
        <v>-157.73934299999996</v>
      </c>
      <c r="F14" s="32">
        <f t="shared" si="7"/>
        <v>15.583000000000084</v>
      </c>
      <c r="G14" s="32">
        <f t="shared" si="7"/>
        <v>99.125999999999976</v>
      </c>
      <c r="H14" s="32">
        <f t="shared" si="7"/>
        <v>153.30300000000011</v>
      </c>
      <c r="I14" s="32">
        <f t="shared" si="7"/>
        <v>86.644999999999982</v>
      </c>
      <c r="J14" s="32">
        <f t="shared" si="7"/>
        <v>173.94499999999994</v>
      </c>
      <c r="K14" s="32">
        <f t="shared" si="7"/>
        <v>369.20399999999972</v>
      </c>
      <c r="L14" s="32">
        <f>(L4-L7)</f>
        <v>367.52799999999979</v>
      </c>
      <c r="M14" s="32">
        <f>(M4-M7)</f>
        <v>626.16400000000021</v>
      </c>
      <c r="O14" s="41" t="s">
        <v>96</v>
      </c>
      <c r="P14" s="20">
        <f t="shared" ref="P14:W14" si="8">SUM(P15:P25)</f>
        <v>1110.4010000000001</v>
      </c>
      <c r="Q14" s="20">
        <f t="shared" si="8"/>
        <v>1144.1709999999998</v>
      </c>
      <c r="R14" s="20">
        <f t="shared" si="8"/>
        <v>1163.9240000000002</v>
      </c>
      <c r="S14" s="20">
        <f t="shared" si="8"/>
        <v>1139.046</v>
      </c>
      <c r="T14" s="20">
        <f t="shared" si="8"/>
        <v>1093.7059999999999</v>
      </c>
      <c r="U14" s="20">
        <f t="shared" si="8"/>
        <v>1099.5920000000001</v>
      </c>
      <c r="V14" s="20">
        <f t="shared" si="8"/>
        <v>1061.4269999999999</v>
      </c>
      <c r="W14" s="20">
        <f t="shared" si="8"/>
        <v>1738.3239999999998</v>
      </c>
      <c r="X14" s="24"/>
    </row>
    <row r="15" spans="1:43" ht="15" customHeight="1" x14ac:dyDescent="0.35">
      <c r="A15" s="25" t="s">
        <v>1</v>
      </c>
      <c r="B15" s="10"/>
      <c r="C15" s="10"/>
      <c r="D15" s="10"/>
      <c r="E15" s="26"/>
      <c r="F15" s="29">
        <f t="shared" ref="F15:J15" si="9">(F14/E14-1)</f>
        <v>-1.0987895581636857</v>
      </c>
      <c r="G15" s="30">
        <f t="shared" si="9"/>
        <v>5.3611628056214746</v>
      </c>
      <c r="H15" s="26">
        <f t="shared" si="9"/>
        <v>0.54654681919980774</v>
      </c>
      <c r="I15" s="26">
        <f t="shared" si="9"/>
        <v>-0.43481210413364435</v>
      </c>
      <c r="J15" s="26">
        <f t="shared" si="9"/>
        <v>1.0075595822032426</v>
      </c>
      <c r="K15" s="26">
        <f t="shared" ref="K15" si="10">(K14/J14-1)</f>
        <v>1.1225329845640855</v>
      </c>
      <c r="L15" s="26">
        <f t="shared" ref="L15:M15" si="11">(L14/K14-1)</f>
        <v>-4.5394957801105917E-3</v>
      </c>
      <c r="M15" s="26">
        <f t="shared" si="11"/>
        <v>0.70371781197623196</v>
      </c>
      <c r="N15" s="2"/>
      <c r="O15" s="10" t="s">
        <v>90</v>
      </c>
      <c r="P15" s="27">
        <v>820.19100000000003</v>
      </c>
      <c r="Q15" s="22">
        <v>769.92100000000005</v>
      </c>
      <c r="R15" s="27">
        <v>763.48800000000006</v>
      </c>
      <c r="S15" s="27">
        <v>710.68</v>
      </c>
      <c r="T15" s="23">
        <v>705.90300000000002</v>
      </c>
      <c r="U15" s="36">
        <v>696.38099999999997</v>
      </c>
      <c r="V15" s="22">
        <v>675.80399999999997</v>
      </c>
      <c r="W15" s="36">
        <v>1232.0309999999999</v>
      </c>
      <c r="X15" s="24"/>
    </row>
    <row r="16" spans="1:43" ht="15" customHeight="1" x14ac:dyDescent="0.35">
      <c r="A16" s="25" t="s">
        <v>105</v>
      </c>
      <c r="B16" s="10"/>
      <c r="C16" s="10"/>
      <c r="D16" s="10"/>
      <c r="E16" s="26"/>
      <c r="F16" s="29"/>
      <c r="G16" s="30"/>
      <c r="H16" s="26"/>
      <c r="I16" s="26">
        <f>+((I14/F14)^(1/3)-1)</f>
        <v>0.77159377308969579</v>
      </c>
      <c r="J16" s="26">
        <f>+((J14/G14)^(1/3)-1)</f>
        <v>0.20616888969362668</v>
      </c>
      <c r="K16" s="26">
        <f t="shared" ref="K16:M16" si="12">+((K14/H14)^(1/3)-1)</f>
        <v>0.34041284601068988</v>
      </c>
      <c r="L16" s="26">
        <f t="shared" si="12"/>
        <v>0.61875941885237062</v>
      </c>
      <c r="M16" s="26">
        <f t="shared" si="12"/>
        <v>0.53258786270633141</v>
      </c>
      <c r="O16" s="10" t="s">
        <v>76</v>
      </c>
      <c r="P16" s="27">
        <v>17.623000000000001</v>
      </c>
      <c r="Q16" s="22">
        <v>26.196999999999999</v>
      </c>
      <c r="R16" s="27">
        <v>11.353999999999999</v>
      </c>
      <c r="S16" s="27">
        <v>33.024999999999999</v>
      </c>
      <c r="T16" s="23">
        <v>4.4569999999999999</v>
      </c>
      <c r="U16" s="27">
        <v>6.0650000000000004</v>
      </c>
      <c r="V16" s="22">
        <v>3.3149999999999999</v>
      </c>
      <c r="W16" s="101">
        <v>66.418000000000006</v>
      </c>
      <c r="X16" s="28"/>
    </row>
    <row r="17" spans="1:26" ht="15" customHeight="1" x14ac:dyDescent="0.35">
      <c r="A17" s="31" t="s">
        <v>4</v>
      </c>
      <c r="B17" s="10"/>
      <c r="C17" s="10"/>
      <c r="D17" s="10"/>
      <c r="E17" s="42">
        <f t="shared" ref="E17:L17" si="13">(E14/E4)</f>
        <v>-0.1584745721486705</v>
      </c>
      <c r="F17" s="43">
        <f t="shared" si="13"/>
        <v>2.2635989523791658E-2</v>
      </c>
      <c r="G17" s="43">
        <f t="shared" si="13"/>
        <v>9.8877619420016896E-2</v>
      </c>
      <c r="H17" s="42">
        <f t="shared" si="13"/>
        <v>0.11818912820070027</v>
      </c>
      <c r="I17" s="42">
        <f t="shared" si="13"/>
        <v>7.0596220093666562E-2</v>
      </c>
      <c r="J17" s="42">
        <f t="shared" si="13"/>
        <v>0.13373646355105692</v>
      </c>
      <c r="K17" s="42">
        <f t="shared" si="13"/>
        <v>0.16105889404516047</v>
      </c>
      <c r="L17" s="42">
        <f t="shared" si="13"/>
        <v>0.12440371158545267</v>
      </c>
      <c r="M17" s="42">
        <f>(M14/M4)</f>
        <v>0.17248366517183253</v>
      </c>
      <c r="O17" s="10" t="s">
        <v>134</v>
      </c>
      <c r="P17" s="110" t="s">
        <v>115</v>
      </c>
      <c r="Q17" s="111" t="s">
        <v>115</v>
      </c>
      <c r="R17" s="110" t="s">
        <v>115</v>
      </c>
      <c r="S17" s="110" t="s">
        <v>115</v>
      </c>
      <c r="T17" s="110" t="s">
        <v>115</v>
      </c>
      <c r="U17" s="110" t="s">
        <v>115</v>
      </c>
      <c r="V17" s="10">
        <v>13.04</v>
      </c>
      <c r="W17" s="10">
        <v>11.808</v>
      </c>
      <c r="X17" s="28"/>
    </row>
    <row r="18" spans="1:26" ht="15" customHeight="1" x14ac:dyDescent="0.35">
      <c r="A18" s="10" t="s">
        <v>6</v>
      </c>
      <c r="B18" s="10"/>
      <c r="C18" s="10"/>
      <c r="D18" s="10"/>
      <c r="E18" s="35">
        <v>52.822437999999998</v>
      </c>
      <c r="F18" s="27">
        <v>67.691999999999993</v>
      </c>
      <c r="G18" s="36">
        <v>71.929000000000002</v>
      </c>
      <c r="H18" s="36">
        <v>72.856999999999999</v>
      </c>
      <c r="I18" s="36">
        <v>75.686999999999998</v>
      </c>
      <c r="J18" s="36">
        <v>79.448999999999998</v>
      </c>
      <c r="K18" s="36">
        <v>85.834000000000003</v>
      </c>
      <c r="L18" s="36">
        <v>70.986000000000004</v>
      </c>
      <c r="M18" s="36">
        <v>64.158000000000001</v>
      </c>
      <c r="O18" s="10" t="s">
        <v>89</v>
      </c>
      <c r="P18" s="27">
        <v>0</v>
      </c>
      <c r="Q18" s="22">
        <v>0</v>
      </c>
      <c r="R18" s="27">
        <v>53.039000000000001</v>
      </c>
      <c r="S18" s="27">
        <v>53.039000000000001</v>
      </c>
      <c r="T18" s="23">
        <v>53.039000000000001</v>
      </c>
      <c r="U18" s="27">
        <v>53.039000000000001</v>
      </c>
      <c r="V18" s="27">
        <v>53.039000000000001</v>
      </c>
      <c r="W18" s="27">
        <v>53.039000000000001</v>
      </c>
      <c r="X18" s="102"/>
    </row>
    <row r="19" spans="1:26" ht="15" customHeight="1" x14ac:dyDescent="0.35">
      <c r="A19" s="10" t="s">
        <v>7</v>
      </c>
      <c r="B19" s="10"/>
      <c r="C19" s="10"/>
      <c r="D19" s="10"/>
      <c r="E19" s="35">
        <v>84.892570000000006</v>
      </c>
      <c r="F19" s="27">
        <v>106.723</v>
      </c>
      <c r="G19" s="36">
        <v>98.203999999999994</v>
      </c>
      <c r="H19" s="36">
        <v>103.17400000000001</v>
      </c>
      <c r="I19" s="36">
        <v>94.149000000000001</v>
      </c>
      <c r="J19" s="36">
        <v>95.600999999999999</v>
      </c>
      <c r="K19" s="36">
        <v>89.739000000000004</v>
      </c>
      <c r="L19" s="36">
        <v>76.227000000000004</v>
      </c>
      <c r="M19" s="36">
        <v>70.099999999999994</v>
      </c>
      <c r="O19" s="10" t="s">
        <v>92</v>
      </c>
      <c r="P19" s="27">
        <v>0.41299999999999998</v>
      </c>
      <c r="Q19" s="22">
        <v>0.245</v>
      </c>
      <c r="R19" s="22">
        <v>8.2000000000000003E-2</v>
      </c>
      <c r="S19" s="22">
        <v>10.147</v>
      </c>
      <c r="T19" s="23">
        <v>6.9080000000000004</v>
      </c>
      <c r="U19" s="22">
        <v>20.105</v>
      </c>
      <c r="V19" s="22">
        <v>1.774</v>
      </c>
      <c r="W19" s="36">
        <v>1.224</v>
      </c>
      <c r="X19" s="28"/>
      <c r="Y19" s="37"/>
      <c r="Z19" s="37"/>
    </row>
    <row r="20" spans="1:26" ht="15" customHeight="1" x14ac:dyDescent="0.35">
      <c r="A20" s="10" t="s">
        <v>5</v>
      </c>
      <c r="B20" s="10"/>
      <c r="C20" s="10"/>
      <c r="D20" s="10"/>
      <c r="E20" s="35">
        <v>9.3170330000000003</v>
      </c>
      <c r="F20" s="27">
        <v>19.513000000000002</v>
      </c>
      <c r="G20" s="36">
        <v>12.692</v>
      </c>
      <c r="H20" s="36">
        <v>26.187999999999999</v>
      </c>
      <c r="I20" s="36">
        <v>28.779</v>
      </c>
      <c r="J20" s="36">
        <v>16.891999999999999</v>
      </c>
      <c r="K20" s="36">
        <v>33.957000000000001</v>
      </c>
      <c r="L20" s="36">
        <v>61.36</v>
      </c>
      <c r="M20" s="36">
        <v>13.237</v>
      </c>
      <c r="O20" s="10" t="s">
        <v>88</v>
      </c>
      <c r="P20" s="27">
        <v>7.42</v>
      </c>
      <c r="Q20" s="22">
        <v>21.251999999999999</v>
      </c>
      <c r="R20" s="27">
        <v>22.341999999999999</v>
      </c>
      <c r="S20" s="27">
        <v>12.637</v>
      </c>
      <c r="T20" s="23" t="s">
        <v>115</v>
      </c>
      <c r="U20" s="27">
        <v>19.416</v>
      </c>
      <c r="V20" s="22">
        <v>45.131999999999998</v>
      </c>
      <c r="W20" s="101">
        <v>67.186000000000007</v>
      </c>
      <c r="X20" s="28"/>
    </row>
    <row r="21" spans="1:26" ht="15" customHeight="1" x14ac:dyDescent="0.35">
      <c r="A21" s="10" t="s">
        <v>101</v>
      </c>
      <c r="B21" s="10"/>
      <c r="C21" s="10"/>
      <c r="D21" s="10"/>
      <c r="E21" s="35"/>
      <c r="F21" s="27">
        <v>1.3540000000000001</v>
      </c>
      <c r="G21" s="36">
        <v>-0.79300000000000004</v>
      </c>
      <c r="H21" s="36">
        <v>1.163</v>
      </c>
      <c r="I21" s="36">
        <v>-9.5739999999999998</v>
      </c>
      <c r="J21" s="36">
        <v>-12.539</v>
      </c>
      <c r="K21" s="36">
        <v>0.75</v>
      </c>
      <c r="L21" s="36">
        <v>5.56</v>
      </c>
      <c r="M21" s="36">
        <v>21.760999999999999</v>
      </c>
      <c r="O21" s="10" t="s">
        <v>91</v>
      </c>
      <c r="P21" s="27">
        <v>0.373</v>
      </c>
      <c r="Q21" s="22">
        <v>0.47299999999999998</v>
      </c>
      <c r="R21" s="27">
        <v>0.51</v>
      </c>
      <c r="S21" s="27">
        <v>0.38</v>
      </c>
      <c r="T21" s="23">
        <v>2.1000000000000001E-2</v>
      </c>
      <c r="U21" s="27">
        <v>11.048</v>
      </c>
      <c r="V21" s="22">
        <v>4.9560000000000004</v>
      </c>
      <c r="W21" s="101">
        <v>0</v>
      </c>
      <c r="X21" s="28"/>
    </row>
    <row r="22" spans="1:26" ht="15" customHeight="1" x14ac:dyDescent="0.35">
      <c r="A22" s="10" t="s">
        <v>82</v>
      </c>
      <c r="B22" s="10"/>
      <c r="C22" s="10"/>
      <c r="D22" s="10"/>
      <c r="E22" s="35">
        <v>0</v>
      </c>
      <c r="F22" s="27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O22" s="10" t="s">
        <v>93</v>
      </c>
      <c r="P22" s="27">
        <v>137.99700000000001</v>
      </c>
      <c r="Q22" s="22">
        <v>248.60900000000001</v>
      </c>
      <c r="R22" s="27">
        <v>235.16900000000001</v>
      </c>
      <c r="S22" s="27">
        <v>235.16900000000001</v>
      </c>
      <c r="T22" s="23">
        <v>235.16900000000001</v>
      </c>
      <c r="U22" s="27">
        <v>238.92</v>
      </c>
      <c r="V22" s="27">
        <v>238.92</v>
      </c>
      <c r="W22" s="27">
        <v>247.37799999999999</v>
      </c>
      <c r="X22" s="24"/>
    </row>
    <row r="23" spans="1:26" ht="15" customHeight="1" x14ac:dyDescent="0.35">
      <c r="A23" s="31" t="s">
        <v>8</v>
      </c>
      <c r="B23" s="10"/>
      <c r="C23" s="10"/>
      <c r="D23" s="10"/>
      <c r="E23" s="34">
        <f t="shared" ref="E23:H23" si="14">(E14-E18-E19-E22)+E21+E20</f>
        <v>-286.13731799999999</v>
      </c>
      <c r="F23" s="38">
        <f t="shared" si="14"/>
        <v>-137.96499999999989</v>
      </c>
      <c r="G23" s="38">
        <f t="shared" si="14"/>
        <v>-59.108000000000025</v>
      </c>
      <c r="H23" s="38">
        <f t="shared" si="14"/>
        <v>4.6230000000001041</v>
      </c>
      <c r="I23" s="38">
        <f>(I14-I18-I19-I22)+I21+I20</f>
        <v>-63.986000000000018</v>
      </c>
      <c r="J23" s="38">
        <f>(J14-J18-J19-J22)+J21+J20</f>
        <v>3.2479999999999389</v>
      </c>
      <c r="K23" s="38">
        <f>(K14-K18-K19-K22)+K21+K20</f>
        <v>228.33799999999971</v>
      </c>
      <c r="L23" s="38">
        <f>(L14-L18-L19-L22)+L21+L20</f>
        <v>287.23499999999979</v>
      </c>
      <c r="M23" s="38">
        <f>(M14-M18-M19-M22)+M21+M20</f>
        <v>526.90400000000011</v>
      </c>
      <c r="O23" s="10" t="s">
        <v>94</v>
      </c>
      <c r="P23" s="27">
        <v>16.212</v>
      </c>
      <c r="Q23" s="22">
        <v>14.404</v>
      </c>
      <c r="R23" s="22">
        <v>14.99</v>
      </c>
      <c r="S23" s="22">
        <v>15.484</v>
      </c>
      <c r="T23" s="23">
        <v>18.327999999999999</v>
      </c>
      <c r="U23" s="22">
        <v>18.821999999999999</v>
      </c>
      <c r="V23" s="22">
        <v>21.696999999999999</v>
      </c>
      <c r="W23" s="36">
        <v>23.966999999999999</v>
      </c>
      <c r="X23" s="28"/>
    </row>
    <row r="24" spans="1:26" ht="15" customHeight="1" x14ac:dyDescent="0.35">
      <c r="A24" s="10" t="s">
        <v>9</v>
      </c>
      <c r="B24" s="10"/>
      <c r="C24" s="10"/>
      <c r="D24" s="10"/>
      <c r="E24" s="35">
        <v>12.843157</v>
      </c>
      <c r="F24" s="27">
        <v>-44.232999999999997</v>
      </c>
      <c r="G24" s="36">
        <v>-9.1280000000000001</v>
      </c>
      <c r="H24" s="36">
        <v>4.9950000000000001</v>
      </c>
      <c r="I24" s="36">
        <v>-15.544</v>
      </c>
      <c r="J24" s="36">
        <v>4.6289999999999996</v>
      </c>
      <c r="K24" s="36">
        <v>59.366</v>
      </c>
      <c r="L24" s="36">
        <v>69.242000000000004</v>
      </c>
      <c r="M24" s="36">
        <v>124.029</v>
      </c>
      <c r="O24" s="10" t="s">
        <v>103</v>
      </c>
      <c r="P24" s="27">
        <v>46.122</v>
      </c>
      <c r="Q24" s="22">
        <v>54.529000000000003</v>
      </c>
      <c r="R24" s="27">
        <v>52.752000000000002</v>
      </c>
      <c r="S24" s="27">
        <v>66.930999999999997</v>
      </c>
      <c r="T24" s="23">
        <v>65.028000000000006</v>
      </c>
      <c r="U24" s="106" t="s">
        <v>115</v>
      </c>
      <c r="V24" s="107" t="s">
        <v>115</v>
      </c>
      <c r="W24" s="108">
        <v>0</v>
      </c>
      <c r="X24" s="28"/>
    </row>
    <row r="25" spans="1:26" ht="15" customHeight="1" x14ac:dyDescent="0.35">
      <c r="A25" s="25" t="s">
        <v>10</v>
      </c>
      <c r="B25" s="10"/>
      <c r="C25" s="10"/>
      <c r="D25" s="10"/>
      <c r="E25" s="26">
        <f t="shared" ref="E25:G25" si="15">(E24/E23)</f>
        <v>-4.4884592788417763E-2</v>
      </c>
      <c r="F25" s="44">
        <f t="shared" si="15"/>
        <v>0.32061029971369576</v>
      </c>
      <c r="G25" s="44">
        <f t="shared" si="15"/>
        <v>0.15442918048318327</v>
      </c>
      <c r="H25" s="26">
        <v>0.2</v>
      </c>
      <c r="I25" s="26">
        <f t="shared" ref="I25:J25" si="16">(I24/I23)</f>
        <v>0.24292814053074105</v>
      </c>
      <c r="J25" s="26">
        <f t="shared" si="16"/>
        <v>1.425184729064066</v>
      </c>
      <c r="K25" s="26">
        <f t="shared" ref="K25" si="17">(K24/K23)</f>
        <v>0.25999176659163203</v>
      </c>
      <c r="L25" s="26">
        <f>(L24/L23)</f>
        <v>0.24106393719428362</v>
      </c>
      <c r="M25" s="26">
        <f>(M24/M23)</f>
        <v>0.23539202587188551</v>
      </c>
      <c r="O25" s="10" t="s">
        <v>95</v>
      </c>
      <c r="P25" s="27">
        <v>64.05</v>
      </c>
      <c r="Q25" s="22">
        <v>8.5410000000000004</v>
      </c>
      <c r="R25" s="27">
        <v>10.198</v>
      </c>
      <c r="S25" s="27">
        <v>1.554</v>
      </c>
      <c r="T25" s="23">
        <v>4.8529999999999998</v>
      </c>
      <c r="U25" s="27">
        <v>35.795999999999999</v>
      </c>
      <c r="V25" s="22">
        <v>3.75</v>
      </c>
      <c r="W25" s="101">
        <v>35.273000000000003</v>
      </c>
      <c r="X25" s="33"/>
    </row>
    <row r="26" spans="1:26" ht="15" customHeight="1" x14ac:dyDescent="0.35">
      <c r="A26" s="31" t="s">
        <v>11</v>
      </c>
      <c r="B26" s="10"/>
      <c r="C26" s="10"/>
      <c r="D26" s="10"/>
      <c r="E26" s="34">
        <f t="shared" ref="E26:J26" si="18">(E23-E24)</f>
        <v>-298.98047500000001</v>
      </c>
      <c r="F26" s="38">
        <f t="shared" si="18"/>
        <v>-93.731999999999886</v>
      </c>
      <c r="G26" s="38">
        <f t="shared" si="18"/>
        <v>-49.980000000000025</v>
      </c>
      <c r="H26" s="38">
        <f t="shared" si="18"/>
        <v>-0.37199999999989597</v>
      </c>
      <c r="I26" s="38">
        <f t="shared" si="18"/>
        <v>-48.442000000000021</v>
      </c>
      <c r="J26" s="38">
        <f t="shared" si="18"/>
        <v>-1.3810000000000606</v>
      </c>
      <c r="K26" s="38">
        <f t="shared" ref="K26:L26" si="19">(K23-K24)</f>
        <v>168.9719999999997</v>
      </c>
      <c r="L26" s="38">
        <f t="shared" si="19"/>
        <v>217.99299999999977</v>
      </c>
      <c r="M26" s="38">
        <f>(M23-M24)</f>
        <v>402.87500000000011</v>
      </c>
      <c r="O26" s="31" t="s">
        <v>34</v>
      </c>
      <c r="P26" s="32">
        <f t="shared" ref="P26" si="20">SUM(P27:P34)</f>
        <v>648.21800000000007</v>
      </c>
      <c r="Q26" s="32">
        <f t="shared" ref="Q26:T26" si="21">SUM(Q27:Q34)</f>
        <v>660.98000000000013</v>
      </c>
      <c r="R26" s="32">
        <f t="shared" si="21"/>
        <v>592.375</v>
      </c>
      <c r="S26" s="32">
        <f t="shared" si="21"/>
        <v>543.37699999999995</v>
      </c>
      <c r="T26" s="32">
        <f t="shared" si="21"/>
        <v>598.029</v>
      </c>
      <c r="U26" s="32">
        <f>SUM(U27:U34)</f>
        <v>788.20500000000004</v>
      </c>
      <c r="V26" s="32">
        <f>SUM(V27:V34)</f>
        <v>867.89800000000014</v>
      </c>
      <c r="W26" s="32">
        <f>SUM(W27:W34)</f>
        <v>928.15800000000002</v>
      </c>
      <c r="X26" s="28"/>
    </row>
    <row r="27" spans="1:26" ht="15" customHeight="1" x14ac:dyDescent="0.35">
      <c r="A27" s="31" t="s">
        <v>64</v>
      </c>
      <c r="B27" s="10"/>
      <c r="C27" s="10"/>
      <c r="D27" s="10"/>
      <c r="E27" s="45">
        <f t="shared" ref="E27:J27" si="22">E26/E4</f>
        <v>-0.30037403450089994</v>
      </c>
      <c r="F27" s="45">
        <f t="shared" si="22"/>
        <v>-0.13615584740063055</v>
      </c>
      <c r="G27" s="45">
        <f t="shared" si="22"/>
        <v>-4.9854764830745198E-2</v>
      </c>
      <c r="H27" s="45">
        <f t="shared" si="22"/>
        <v>-2.8679383763297636E-4</v>
      </c>
      <c r="I27" s="45">
        <f t="shared" si="22"/>
        <v>-3.9469353035690435E-2</v>
      </c>
      <c r="J27" s="45">
        <f t="shared" si="22"/>
        <v>-1.0617727222053969E-3</v>
      </c>
      <c r="K27" s="45">
        <f t="shared" ref="K27" si="23">K26/K4</f>
        <v>7.3711128385929789E-2</v>
      </c>
      <c r="L27" s="45">
        <f>L26/L4</f>
        <v>7.3787951665308688E-2</v>
      </c>
      <c r="M27" s="45">
        <f>M26/M4</f>
        <v>0.11097628833037675</v>
      </c>
      <c r="O27" s="10" t="s">
        <v>87</v>
      </c>
      <c r="P27" s="27">
        <v>0.24299999999999999</v>
      </c>
      <c r="Q27" s="22">
        <v>0.52500000000000002</v>
      </c>
      <c r="R27" s="27">
        <v>0.60499999999999998</v>
      </c>
      <c r="S27" s="27">
        <v>0.314</v>
      </c>
      <c r="T27" s="23">
        <v>0.82899999999999996</v>
      </c>
      <c r="U27" s="106" t="s">
        <v>115</v>
      </c>
      <c r="V27" s="106" t="s">
        <v>115</v>
      </c>
      <c r="W27" s="101"/>
      <c r="X27" s="28"/>
    </row>
    <row r="28" spans="1:26" ht="15" customHeight="1" x14ac:dyDescent="0.35">
      <c r="A28" s="10" t="s">
        <v>12</v>
      </c>
      <c r="B28" s="10"/>
      <c r="C28" s="10"/>
      <c r="D28" s="10"/>
      <c r="E28" s="46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O28" s="10" t="s">
        <v>35</v>
      </c>
      <c r="P28" s="27">
        <v>287.08199999999999</v>
      </c>
      <c r="Q28" s="22">
        <v>269.428</v>
      </c>
      <c r="R28" s="27">
        <v>247.5</v>
      </c>
      <c r="S28" s="27">
        <v>212.012</v>
      </c>
      <c r="T28" s="23">
        <v>228.37700000000001</v>
      </c>
      <c r="U28" s="27">
        <v>317.77800000000002</v>
      </c>
      <c r="V28" s="22">
        <v>379.55900000000003</v>
      </c>
      <c r="W28" s="101">
        <v>436.17700000000002</v>
      </c>
      <c r="X28" s="24"/>
    </row>
    <row r="29" spans="1:26" ht="15" customHeight="1" x14ac:dyDescent="0.35">
      <c r="A29" s="10" t="s">
        <v>59</v>
      </c>
      <c r="B29" s="10"/>
      <c r="C29" s="10"/>
      <c r="D29" s="10"/>
      <c r="E29" s="46">
        <v>0</v>
      </c>
      <c r="F29" s="47">
        <v>0.27800000000000002</v>
      </c>
      <c r="G29" s="48">
        <v>158.52699999999999</v>
      </c>
      <c r="H29" s="48">
        <v>8.5999999999999993E-2</v>
      </c>
      <c r="I29" s="48">
        <v>3.5019999999999998</v>
      </c>
      <c r="J29" s="48">
        <v>1.0740000000000001</v>
      </c>
      <c r="K29" s="48">
        <v>2.8780000000000001</v>
      </c>
      <c r="L29" s="48">
        <v>1.7949999999999999</v>
      </c>
      <c r="M29" s="48">
        <v>9.0920000000000005</v>
      </c>
      <c r="O29" s="10" t="s">
        <v>131</v>
      </c>
      <c r="P29" s="27">
        <v>188.04900000000001</v>
      </c>
      <c r="Q29" s="22">
        <v>273.58499999999998</v>
      </c>
      <c r="R29" s="22">
        <v>235.91399999999999</v>
      </c>
      <c r="S29" s="22">
        <v>229.488</v>
      </c>
      <c r="T29" s="23">
        <v>248.45599999999999</v>
      </c>
      <c r="U29" s="22">
        <v>329.36599999999999</v>
      </c>
      <c r="V29" s="22">
        <v>320.21800000000002</v>
      </c>
      <c r="W29" s="36">
        <v>298.62700000000001</v>
      </c>
      <c r="X29" s="28"/>
    </row>
    <row r="30" spans="1:26" ht="15" customHeight="1" x14ac:dyDescent="0.35">
      <c r="A30" s="31" t="s">
        <v>13</v>
      </c>
      <c r="B30" s="10"/>
      <c r="C30" s="10"/>
      <c r="D30" s="10"/>
      <c r="E30" s="49">
        <f t="shared" ref="E30:L30" si="24">(E26-E28+E29)</f>
        <v>-298.98047500000001</v>
      </c>
      <c r="F30" s="50">
        <f>(F26-F28+F29)</f>
        <v>-93.45399999999988</v>
      </c>
      <c r="G30" s="50">
        <f t="shared" si="24"/>
        <v>108.54699999999997</v>
      </c>
      <c r="H30" s="50">
        <f t="shared" si="24"/>
        <v>-0.285999999999896</v>
      </c>
      <c r="I30" s="50">
        <f t="shared" si="24"/>
        <v>-44.940000000000019</v>
      </c>
      <c r="J30" s="50">
        <f t="shared" si="24"/>
        <v>-0.30700000000006056</v>
      </c>
      <c r="K30" s="50">
        <f t="shared" si="24"/>
        <v>171.84999999999968</v>
      </c>
      <c r="L30" s="50">
        <f t="shared" si="24"/>
        <v>219.78799999999976</v>
      </c>
      <c r="M30" s="50">
        <f>(M26-M28+M29)</f>
        <v>411.9670000000001</v>
      </c>
      <c r="O30" s="10" t="s">
        <v>36</v>
      </c>
      <c r="P30" s="27">
        <f>3.549+16.404</f>
        <v>19.952999999999999</v>
      </c>
      <c r="Q30" s="22">
        <f>1.282+20.254</f>
        <v>21.536000000000001</v>
      </c>
      <c r="R30" s="27">
        <f>1.642+21.348</f>
        <v>22.99</v>
      </c>
      <c r="S30" s="27">
        <f>2.961+13.315</f>
        <v>16.276</v>
      </c>
      <c r="T30" s="23">
        <f>3.726+14.528</f>
        <v>18.254000000000001</v>
      </c>
      <c r="U30" s="27">
        <f>11.805+14.362</f>
        <v>26.167000000000002</v>
      </c>
      <c r="V30" s="22">
        <v>41.728999999999999</v>
      </c>
      <c r="W30" s="101">
        <v>17.713999999999999</v>
      </c>
      <c r="X30" s="28"/>
    </row>
    <row r="31" spans="1:26" ht="15" customHeight="1" x14ac:dyDescent="0.35">
      <c r="A31" s="25" t="s">
        <v>1</v>
      </c>
      <c r="B31" s="10"/>
      <c r="C31" s="10"/>
      <c r="D31" s="10"/>
      <c r="E31" s="26"/>
      <c r="F31" s="44">
        <f t="shared" ref="F31:J31" si="25">(F30/E30-1)</f>
        <v>-0.68742440455350851</v>
      </c>
      <c r="G31" s="51">
        <f>(G30/F30)-1</f>
        <v>-2.1615019153808301</v>
      </c>
      <c r="H31" s="51">
        <f>(H30/G30-1)</f>
        <v>-1.0026348033570702</v>
      </c>
      <c r="I31" s="51">
        <f>(I30/H30-1)</f>
        <v>156.13286713292433</v>
      </c>
      <c r="J31" s="52">
        <f t="shared" si="25"/>
        <v>-0.9931686693368923</v>
      </c>
      <c r="K31" s="52">
        <f>(K30/J30-1)*-1</f>
        <v>560.77198697057258</v>
      </c>
      <c r="L31" s="52">
        <f>(L30/K30-1)</f>
        <v>0.27895257491998926</v>
      </c>
      <c r="M31" s="52">
        <f>(M30/L30-1)</f>
        <v>0.87438349682421501</v>
      </c>
      <c r="O31" s="10" t="s">
        <v>68</v>
      </c>
      <c r="P31" s="27">
        <v>77.462000000000003</v>
      </c>
      <c r="Q31" s="22">
        <v>11.092000000000001</v>
      </c>
      <c r="R31" s="27">
        <v>11.693</v>
      </c>
      <c r="S31" s="27">
        <v>17.64</v>
      </c>
      <c r="T31" s="23">
        <v>23.75</v>
      </c>
      <c r="U31" s="27">
        <v>19.626999999999999</v>
      </c>
      <c r="V31" s="22">
        <v>15.07</v>
      </c>
      <c r="W31" s="101">
        <v>14.601000000000001</v>
      </c>
      <c r="X31" s="28"/>
    </row>
    <row r="32" spans="1:26" ht="15" customHeight="1" x14ac:dyDescent="0.35">
      <c r="A32" s="25" t="s">
        <v>105</v>
      </c>
      <c r="B32" s="10"/>
      <c r="C32" s="10"/>
      <c r="D32" s="10"/>
      <c r="E32" s="26"/>
      <c r="F32" s="29"/>
      <c r="G32" s="51"/>
      <c r="H32" s="26">
        <f t="shared" ref="H32" si="26">(+((H30/E30)^(1/3)-1))*-1</f>
        <v>0.90146865710822044</v>
      </c>
      <c r="I32" s="26">
        <f>(+((I30/F30)^(1/3)-1))*-1</f>
        <v>0.21654920703629277</v>
      </c>
      <c r="J32" s="26">
        <f>(+((J30/G30)^(1/3)-1))*-1</f>
        <v>1.14141870309567</v>
      </c>
      <c r="K32" s="26">
        <f>(+((K30/H30)^(1/3)-1))*-1</f>
        <v>9.4384205895185893</v>
      </c>
      <c r="L32" s="26">
        <f t="shared" ref="L32" si="27">(+((L30/I30)^(1/3)-1))*-1</f>
        <v>2.6974238616370929</v>
      </c>
      <c r="M32" s="26">
        <f>(+((M30/J30)^(1/3)-1))*-1</f>
        <v>12.029978971886521</v>
      </c>
      <c r="O32" s="10" t="s">
        <v>99</v>
      </c>
      <c r="P32" s="27">
        <v>0.40699999999999997</v>
      </c>
      <c r="Q32" s="22">
        <v>0.52400000000000002</v>
      </c>
      <c r="R32" s="27">
        <v>1.3580000000000001</v>
      </c>
      <c r="S32" s="27">
        <v>1.1759999999999999</v>
      </c>
      <c r="T32" s="23">
        <v>1.06</v>
      </c>
      <c r="U32" s="27">
        <v>7.12</v>
      </c>
      <c r="V32" s="22">
        <v>7.17</v>
      </c>
      <c r="W32" s="101">
        <v>7.3179999999999996</v>
      </c>
      <c r="X32" s="28"/>
    </row>
    <row r="33" spans="1:24" ht="15" customHeight="1" x14ac:dyDescent="0.35">
      <c r="A33" s="17" t="s">
        <v>14</v>
      </c>
      <c r="B33" s="10"/>
      <c r="C33" s="10"/>
      <c r="D33" s="10"/>
      <c r="E33" s="53">
        <f>1.94/2</f>
        <v>0.97</v>
      </c>
      <c r="F33" s="53">
        <f>-10.94/2</f>
        <v>-5.47</v>
      </c>
      <c r="G33" s="20">
        <f>-5.84/2</f>
        <v>-2.92</v>
      </c>
      <c r="H33" s="54">
        <f>-0.04/2</f>
        <v>-0.02</v>
      </c>
      <c r="I33" s="54">
        <f>-5.66/2</f>
        <v>-2.83</v>
      </c>
      <c r="J33" s="54">
        <f>-0.16/2</f>
        <v>-0.08</v>
      </c>
      <c r="K33" s="54">
        <f>19.73/2</f>
        <v>9.8650000000000002</v>
      </c>
      <c r="L33" s="54">
        <v>12.73</v>
      </c>
      <c r="M33" s="54">
        <v>23.52</v>
      </c>
      <c r="O33" s="10" t="s">
        <v>129</v>
      </c>
      <c r="P33" s="27">
        <v>0.80200000000000005</v>
      </c>
      <c r="Q33" s="22">
        <v>2.2389999999999999</v>
      </c>
      <c r="R33" s="27">
        <v>0</v>
      </c>
      <c r="S33" s="27">
        <v>1.0349999999999999</v>
      </c>
      <c r="T33" s="23">
        <v>0</v>
      </c>
      <c r="U33" s="27">
        <v>0</v>
      </c>
      <c r="V33" s="107" t="s">
        <v>115</v>
      </c>
      <c r="W33" s="101">
        <v>0</v>
      </c>
      <c r="X33" s="28"/>
    </row>
    <row r="34" spans="1:24" ht="15" customHeight="1" x14ac:dyDescent="0.35">
      <c r="A34" s="25" t="s">
        <v>1</v>
      </c>
      <c r="B34" s="10"/>
      <c r="C34" s="10"/>
      <c r="D34" s="10"/>
      <c r="E34" s="26"/>
      <c r="F34" s="29"/>
      <c r="G34" s="44">
        <f>(G33/F33)-1</f>
        <v>-0.46617915904936014</v>
      </c>
      <c r="H34" s="44">
        <f t="shared" ref="H34:J34" si="28">(H33/G33)-1</f>
        <v>-0.99315068493150682</v>
      </c>
      <c r="I34" s="55" t="s">
        <v>127</v>
      </c>
      <c r="J34" s="44">
        <f t="shared" si="28"/>
        <v>-0.9717314487632509</v>
      </c>
      <c r="K34" s="44">
        <f>((K33/J33)-1)*-1</f>
        <v>124.3125</v>
      </c>
      <c r="L34" s="44">
        <f t="shared" ref="L34" si="29">(L33/K33)-1</f>
        <v>0.29042067916877845</v>
      </c>
      <c r="M34" s="44">
        <f>(M33/L33)-1</f>
        <v>0.84760408483896299</v>
      </c>
      <c r="O34" s="10" t="s">
        <v>100</v>
      </c>
      <c r="P34" s="27">
        <v>74.22</v>
      </c>
      <c r="Q34" s="22">
        <v>82.051000000000002</v>
      </c>
      <c r="R34" s="27">
        <v>72.314999999999998</v>
      </c>
      <c r="S34" s="27">
        <v>65.436000000000007</v>
      </c>
      <c r="T34" s="23">
        <v>77.302999999999997</v>
      </c>
      <c r="U34" s="27">
        <v>88.147000000000006</v>
      </c>
      <c r="V34" s="22">
        <v>104.152</v>
      </c>
      <c r="W34" s="101">
        <v>153.721</v>
      </c>
      <c r="X34" s="33"/>
    </row>
    <row r="35" spans="1:24" x14ac:dyDescent="0.35">
      <c r="A35" s="25" t="s">
        <v>105</v>
      </c>
      <c r="B35" s="10"/>
      <c r="C35" s="10"/>
      <c r="D35" s="10"/>
      <c r="E35" s="56"/>
      <c r="F35" s="29"/>
      <c r="G35" s="30"/>
      <c r="H35" s="51">
        <f>((H33/E33)^1/3)-1</f>
        <v>-1.006872852233677</v>
      </c>
      <c r="I35" s="51">
        <f t="shared" ref="I35:J35" si="30">((I33/F33)^1/3)-1</f>
        <v>-0.82754418037781841</v>
      </c>
      <c r="J35" s="51">
        <f t="shared" si="30"/>
        <v>-0.9908675799086758</v>
      </c>
      <c r="K35" s="51">
        <f>(((K33/H33)^1/3)-1)*-1</f>
        <v>165.41666666666666</v>
      </c>
      <c r="L35" s="51">
        <f>(((L33/I33)^1/3)-1)*-1</f>
        <v>2.4994110718492344</v>
      </c>
      <c r="M35" s="51">
        <f>(((M33/J33)^1/3)-1)*-1</f>
        <v>99</v>
      </c>
      <c r="O35" s="10" t="s">
        <v>135</v>
      </c>
      <c r="P35" s="110" t="s">
        <v>115</v>
      </c>
      <c r="Q35" s="111" t="s">
        <v>115</v>
      </c>
      <c r="R35" s="110" t="s">
        <v>115</v>
      </c>
      <c r="S35" s="110" t="s">
        <v>115</v>
      </c>
      <c r="T35" s="110" t="s">
        <v>115</v>
      </c>
      <c r="U35" s="110" t="s">
        <v>115</v>
      </c>
      <c r="V35" s="110" t="s">
        <v>115</v>
      </c>
      <c r="W35" s="10">
        <v>10.693</v>
      </c>
      <c r="X35" s="24"/>
    </row>
    <row r="36" spans="1:24" x14ac:dyDescent="0.35">
      <c r="B36"/>
      <c r="C36"/>
      <c r="D36"/>
      <c r="F36" s="58"/>
      <c r="G36" s="58"/>
      <c r="H36" s="58"/>
      <c r="I36" s="58"/>
      <c r="J36" s="58"/>
      <c r="K36" s="58"/>
      <c r="L36" s="58"/>
      <c r="M36" s="58"/>
      <c r="N36" s="1"/>
      <c r="O36" s="31" t="s">
        <v>37</v>
      </c>
      <c r="P36" s="32">
        <f t="shared" ref="P36:W36" si="31">SUM(P37:P42)+P9</f>
        <v>742.54100000000005</v>
      </c>
      <c r="Q36" s="32">
        <f t="shared" si="31"/>
        <v>738.41100000000006</v>
      </c>
      <c r="R36" s="32">
        <f t="shared" si="31"/>
        <v>682.01599999999996</v>
      </c>
      <c r="S36" s="32">
        <f t="shared" si="31"/>
        <v>677.34699999999998</v>
      </c>
      <c r="T36" s="32">
        <f t="shared" si="31"/>
        <v>736.26199999999994</v>
      </c>
      <c r="U36" s="32">
        <f t="shared" si="31"/>
        <v>730.15200000000004</v>
      </c>
      <c r="V36" s="32">
        <f t="shared" si="31"/>
        <v>655.87000000000012</v>
      </c>
      <c r="W36" s="32">
        <f t="shared" si="31"/>
        <v>854.31500000000005</v>
      </c>
      <c r="X36" s="28"/>
    </row>
    <row r="37" spans="1:24" x14ac:dyDescent="0.35">
      <c r="B37"/>
      <c r="C37"/>
      <c r="D37"/>
      <c r="F37" s="58"/>
      <c r="G37" s="58"/>
      <c r="H37" s="58"/>
      <c r="I37" s="58"/>
      <c r="J37" s="58"/>
      <c r="K37" s="58"/>
      <c r="L37" s="58"/>
      <c r="M37" s="58"/>
      <c r="N37" s="1"/>
      <c r="O37" s="10" t="s">
        <v>66</v>
      </c>
      <c r="P37" s="27">
        <v>34.732999999999997</v>
      </c>
      <c r="Q37" s="22">
        <f>3.705+73.831</f>
        <v>77.536000000000001</v>
      </c>
      <c r="R37" s="22">
        <f>0.576+64.011</f>
        <v>64.586999999999989</v>
      </c>
      <c r="S37" s="22">
        <f>3.567+63.943</f>
        <v>67.509999999999991</v>
      </c>
      <c r="T37" s="23">
        <f>3.746+99.264</f>
        <v>103.00999999999999</v>
      </c>
      <c r="U37" s="22">
        <v>257.52800000000002</v>
      </c>
      <c r="V37" s="22">
        <f>(10.03+2141.13)/10</f>
        <v>215.11600000000004</v>
      </c>
      <c r="W37" s="36">
        <v>339.20400000000001</v>
      </c>
      <c r="X37" s="28"/>
    </row>
    <row r="38" spans="1:24" x14ac:dyDescent="0.35">
      <c r="B38"/>
      <c r="C38"/>
      <c r="D38"/>
      <c r="N38" s="1"/>
      <c r="O38" s="10" t="s">
        <v>67</v>
      </c>
      <c r="P38" s="27">
        <v>161.22300000000001</v>
      </c>
      <c r="Q38" s="22">
        <v>161.34200000000001</v>
      </c>
      <c r="R38" s="27">
        <v>168.01499999999999</v>
      </c>
      <c r="S38" s="27">
        <v>170.40799999999999</v>
      </c>
      <c r="T38" s="23">
        <v>218.43799999999999</v>
      </c>
      <c r="U38" s="27">
        <v>20.093</v>
      </c>
      <c r="V38" s="22">
        <v>21.925000000000001</v>
      </c>
      <c r="W38" s="101">
        <v>39.143999999999998</v>
      </c>
      <c r="X38" s="28"/>
    </row>
    <row r="39" spans="1:24" x14ac:dyDescent="0.35">
      <c r="A39" s="1" t="s">
        <v>15</v>
      </c>
      <c r="B39"/>
      <c r="C39"/>
      <c r="D39"/>
      <c r="N39" s="1"/>
      <c r="O39" s="10" t="s">
        <v>132</v>
      </c>
      <c r="P39" s="27"/>
      <c r="Q39" s="22"/>
      <c r="R39" s="27"/>
      <c r="S39" s="27"/>
      <c r="T39" s="23"/>
      <c r="U39" s="27">
        <v>3.948</v>
      </c>
      <c r="V39" s="22">
        <v>4.7519999999999998</v>
      </c>
      <c r="W39" s="101">
        <v>2.8279999999999998</v>
      </c>
      <c r="X39" s="28"/>
    </row>
    <row r="40" spans="1:24" x14ac:dyDescent="0.35">
      <c r="A40" s="17" t="s">
        <v>0</v>
      </c>
      <c r="B40" s="10"/>
      <c r="C40" s="10"/>
      <c r="D40" s="10"/>
      <c r="E40" s="59"/>
      <c r="F40" s="11" t="s">
        <v>26</v>
      </c>
      <c r="G40" s="11" t="s">
        <v>69</v>
      </c>
      <c r="H40" s="11" t="s">
        <v>78</v>
      </c>
      <c r="I40" s="11" t="s">
        <v>81</v>
      </c>
      <c r="J40" s="11" t="s">
        <v>116</v>
      </c>
      <c r="K40" s="11" t="s">
        <v>128</v>
      </c>
      <c r="L40" s="11" t="s">
        <v>130</v>
      </c>
      <c r="M40" s="12" t="s">
        <v>133</v>
      </c>
      <c r="N40" s="1"/>
      <c r="O40" s="10" t="s">
        <v>62</v>
      </c>
      <c r="P40" s="27">
        <v>65.786000000000001</v>
      </c>
      <c r="Q40" s="22">
        <v>48.701999999999998</v>
      </c>
      <c r="R40" s="27">
        <v>43.354999999999997</v>
      </c>
      <c r="S40" s="27">
        <v>46.168999999999997</v>
      </c>
      <c r="T40" s="23">
        <v>59.192</v>
      </c>
      <c r="U40" s="27">
        <v>31.097000000000001</v>
      </c>
      <c r="V40" s="22">
        <v>43.326999999999998</v>
      </c>
      <c r="W40" s="101">
        <v>56.832000000000001</v>
      </c>
      <c r="X40" s="28"/>
    </row>
    <row r="41" spans="1:24" x14ac:dyDescent="0.35">
      <c r="A41" s="17" t="s">
        <v>16</v>
      </c>
      <c r="B41" s="10"/>
      <c r="C41" s="10"/>
      <c r="D41" s="10"/>
      <c r="E41" s="60">
        <v>2.5529999999999999</v>
      </c>
      <c r="F41" s="60">
        <v>2.1459999999999999</v>
      </c>
      <c r="G41" s="60">
        <f>F46</f>
        <v>3.5490000000000057</v>
      </c>
      <c r="H41" s="60">
        <f>G46</f>
        <v>1.2820000000000098</v>
      </c>
      <c r="I41" s="60">
        <f>H46</f>
        <v>1.641999999999995</v>
      </c>
      <c r="J41" s="60">
        <f>I46</f>
        <v>2.9609999999999834</v>
      </c>
      <c r="K41" s="60">
        <f t="shared" ref="K41:M41" si="32">J46</f>
        <v>3.7259999999999698</v>
      </c>
      <c r="L41" s="60">
        <f t="shared" si="32"/>
        <v>11.804999999999986</v>
      </c>
      <c r="M41" s="60">
        <f t="shared" si="32"/>
        <v>17.082999999999977</v>
      </c>
      <c r="O41" s="10" t="s">
        <v>60</v>
      </c>
      <c r="P41" s="27">
        <v>5.4729999999999999</v>
      </c>
      <c r="Q41" s="22">
        <v>3.4430000000000001</v>
      </c>
      <c r="R41" s="27">
        <v>3.8809999999999998</v>
      </c>
      <c r="S41" s="27">
        <v>5.1529999999999996</v>
      </c>
      <c r="T41" s="23">
        <v>3.59</v>
      </c>
      <c r="U41" s="27">
        <v>5.8540000000000001</v>
      </c>
      <c r="V41" s="22">
        <v>8.5050000000000008</v>
      </c>
      <c r="W41" s="101">
        <v>11.045999999999999</v>
      </c>
      <c r="X41" s="33"/>
    </row>
    <row r="42" spans="1:24" x14ac:dyDescent="0.35">
      <c r="A42" s="17" t="s">
        <v>17</v>
      </c>
      <c r="B42" s="10"/>
      <c r="C42" s="10"/>
      <c r="D42" s="10"/>
      <c r="E42" s="19">
        <v>-21.274000000000001</v>
      </c>
      <c r="F42" s="19">
        <v>65.311000000000007</v>
      </c>
      <c r="G42" s="19">
        <v>154.59399999999999</v>
      </c>
      <c r="H42" s="19">
        <v>199.934</v>
      </c>
      <c r="I42" s="19">
        <v>170.613</v>
      </c>
      <c r="J42" s="19">
        <v>206.15799999999999</v>
      </c>
      <c r="K42" s="19">
        <v>187.00200000000001</v>
      </c>
      <c r="L42" s="19">
        <v>315.97800000000001</v>
      </c>
      <c r="M42" s="60">
        <v>591.56799999999998</v>
      </c>
      <c r="O42" s="10" t="s">
        <v>77</v>
      </c>
      <c r="P42" s="27">
        <v>0</v>
      </c>
      <c r="Q42" s="22">
        <v>0</v>
      </c>
      <c r="R42" s="27">
        <v>2.59</v>
      </c>
      <c r="S42" s="27">
        <v>0</v>
      </c>
      <c r="T42" s="27">
        <v>2.2839999999999998</v>
      </c>
      <c r="U42" s="27">
        <v>10.099</v>
      </c>
      <c r="V42" s="22">
        <v>17.172000000000001</v>
      </c>
      <c r="W42" s="101">
        <v>24.047000000000001</v>
      </c>
      <c r="X42" s="28"/>
    </row>
    <row r="43" spans="1:24" x14ac:dyDescent="0.35">
      <c r="A43" s="10" t="s">
        <v>63</v>
      </c>
      <c r="B43" s="10"/>
      <c r="C43" s="10"/>
      <c r="D43" s="10"/>
      <c r="E43" s="27">
        <v>-158.75471400000001</v>
      </c>
      <c r="F43" s="27">
        <v>-10.340999999999999</v>
      </c>
      <c r="G43" s="27">
        <v>35.460999999999999</v>
      </c>
      <c r="H43" s="27">
        <v>-38.813000000000002</v>
      </c>
      <c r="I43" s="27">
        <v>-18.347000000000001</v>
      </c>
      <c r="J43" s="27">
        <v>-51.679000000000002</v>
      </c>
      <c r="K43" s="27">
        <v>-118.529</v>
      </c>
      <c r="L43" s="27">
        <v>-97.799000000000007</v>
      </c>
      <c r="M43" s="101">
        <v>-697.57399999999996</v>
      </c>
      <c r="O43" s="31" t="s">
        <v>38</v>
      </c>
      <c r="P43" s="32">
        <f t="shared" ref="P43:W43" si="33">(P26-P36)</f>
        <v>-94.322999999999979</v>
      </c>
      <c r="Q43" s="32">
        <f t="shared" si="33"/>
        <v>-77.430999999999926</v>
      </c>
      <c r="R43" s="32">
        <f t="shared" si="33"/>
        <v>-89.640999999999963</v>
      </c>
      <c r="S43" s="32">
        <f t="shared" si="33"/>
        <v>-133.97000000000003</v>
      </c>
      <c r="T43" s="32">
        <f t="shared" si="33"/>
        <v>-138.23299999999995</v>
      </c>
      <c r="U43" s="32">
        <f t="shared" si="33"/>
        <v>58.052999999999997</v>
      </c>
      <c r="V43" s="32">
        <f>(V26-V36)</f>
        <v>212.02800000000002</v>
      </c>
      <c r="W43" s="32">
        <f t="shared" si="33"/>
        <v>73.842999999999961</v>
      </c>
      <c r="X43" s="24"/>
    </row>
    <row r="44" spans="1:24" x14ac:dyDescent="0.35">
      <c r="A44" s="10" t="s">
        <v>18</v>
      </c>
      <c r="B44" s="10"/>
      <c r="C44" s="10"/>
      <c r="D44" s="10"/>
      <c r="E44" s="27">
        <v>179.626555</v>
      </c>
      <c r="F44" s="27">
        <v>-53.567</v>
      </c>
      <c r="G44" s="27">
        <v>-192.322</v>
      </c>
      <c r="H44" s="27">
        <v>-160.761</v>
      </c>
      <c r="I44" s="27">
        <v>-150.947</v>
      </c>
      <c r="J44" s="27">
        <v>-153.714</v>
      </c>
      <c r="K44" s="27">
        <v>-60.393999999999998</v>
      </c>
      <c r="L44" s="27">
        <v>-212.90100000000001</v>
      </c>
      <c r="M44" s="101">
        <v>92.65</v>
      </c>
      <c r="O44" s="10" t="s">
        <v>39</v>
      </c>
      <c r="P44" s="27">
        <v>0</v>
      </c>
      <c r="Q44" s="22">
        <v>0</v>
      </c>
      <c r="R44" s="27">
        <v>0</v>
      </c>
      <c r="S44" s="27">
        <v>0</v>
      </c>
      <c r="T44" s="27">
        <v>0</v>
      </c>
      <c r="U44" s="27">
        <v>36.9</v>
      </c>
      <c r="V44" s="22">
        <v>34.581000000000003</v>
      </c>
      <c r="W44" s="101">
        <v>38.231999999999999</v>
      </c>
      <c r="X44" s="28"/>
    </row>
    <row r="45" spans="1:24" x14ac:dyDescent="0.35">
      <c r="A45" s="17" t="s">
        <v>19</v>
      </c>
      <c r="B45" s="10"/>
      <c r="C45" s="10"/>
      <c r="D45" s="10"/>
      <c r="E45" s="19">
        <f t="shared" ref="E45:M45" si="34">E42+E43+E44</f>
        <v>-0.4021590000000117</v>
      </c>
      <c r="F45" s="19">
        <f t="shared" si="34"/>
        <v>1.4030000000000058</v>
      </c>
      <c r="G45" s="19">
        <f t="shared" si="34"/>
        <v>-2.2669999999999959</v>
      </c>
      <c r="H45" s="19">
        <f t="shared" si="34"/>
        <v>0.35999999999998522</v>
      </c>
      <c r="I45" s="19">
        <f t="shared" si="34"/>
        <v>1.3189999999999884</v>
      </c>
      <c r="J45" s="19">
        <f t="shared" si="34"/>
        <v>0.76499999999998636</v>
      </c>
      <c r="K45" s="19">
        <f t="shared" si="34"/>
        <v>8.0790000000000148</v>
      </c>
      <c r="L45" s="19">
        <f>L42+L43+L44</f>
        <v>5.2779999999999916</v>
      </c>
      <c r="M45" s="19">
        <f t="shared" si="34"/>
        <v>-13.355999999999966</v>
      </c>
      <c r="O45" s="10" t="s">
        <v>132</v>
      </c>
      <c r="P45" s="27"/>
      <c r="Q45" s="22"/>
      <c r="R45" s="27"/>
      <c r="S45" s="27"/>
      <c r="T45" s="27"/>
      <c r="U45" s="27">
        <v>15.579000000000001</v>
      </c>
      <c r="V45" s="22">
        <v>12.445</v>
      </c>
      <c r="W45" s="36">
        <v>9.3330000000000002</v>
      </c>
      <c r="X45" s="39"/>
    </row>
    <row r="46" spans="1:24" x14ac:dyDescent="0.35">
      <c r="A46" s="17" t="s">
        <v>61</v>
      </c>
      <c r="B46" s="10"/>
      <c r="C46" s="10"/>
      <c r="D46" s="10"/>
      <c r="E46" s="32">
        <f t="shared" ref="E46:L46" si="35">+E41+E45</f>
        <v>2.1508409999999882</v>
      </c>
      <c r="F46" s="32">
        <f t="shared" si="35"/>
        <v>3.5490000000000057</v>
      </c>
      <c r="G46" s="32">
        <f t="shared" si="35"/>
        <v>1.2820000000000098</v>
      </c>
      <c r="H46" s="32">
        <f t="shared" si="35"/>
        <v>1.641999999999995</v>
      </c>
      <c r="I46" s="32">
        <f t="shared" si="35"/>
        <v>2.9609999999999834</v>
      </c>
      <c r="J46" s="32">
        <f t="shared" si="35"/>
        <v>3.7259999999999698</v>
      </c>
      <c r="K46" s="32">
        <f t="shared" si="35"/>
        <v>11.804999999999986</v>
      </c>
      <c r="L46" s="32">
        <f t="shared" si="35"/>
        <v>17.082999999999977</v>
      </c>
      <c r="M46" s="32">
        <f>+M41+M45</f>
        <v>3.727000000000011</v>
      </c>
      <c r="O46" s="10" t="s">
        <v>98</v>
      </c>
      <c r="P46" s="27">
        <v>14.018000000000001</v>
      </c>
      <c r="Q46" s="22">
        <v>16.963999999999999</v>
      </c>
      <c r="R46" s="22">
        <v>22.654</v>
      </c>
      <c r="S46" s="22">
        <v>20.628</v>
      </c>
      <c r="T46" s="23">
        <v>22.253</v>
      </c>
      <c r="U46" s="22">
        <v>23.986000000000001</v>
      </c>
      <c r="V46" s="22">
        <v>24.905000000000001</v>
      </c>
      <c r="W46" s="101">
        <v>31.056999999999999</v>
      </c>
      <c r="X46" s="39"/>
    </row>
    <row r="47" spans="1:24" x14ac:dyDescent="0.35">
      <c r="B47"/>
      <c r="C47"/>
      <c r="D47"/>
      <c r="E47"/>
      <c r="H47" s="61"/>
      <c r="I47" s="61"/>
      <c r="J47" s="61"/>
      <c r="K47" s="61"/>
      <c r="L47" s="61"/>
      <c r="M47" s="61"/>
      <c r="O47" s="10" t="s">
        <v>79</v>
      </c>
      <c r="P47" s="27">
        <v>28.847999999999999</v>
      </c>
      <c r="Q47" s="22">
        <v>26.902999999999999</v>
      </c>
      <c r="R47" s="27">
        <v>23.870999999999999</v>
      </c>
      <c r="S47" s="27">
        <v>30.52</v>
      </c>
      <c r="T47" s="23">
        <v>23.907</v>
      </c>
      <c r="U47" s="27">
        <v>18.943000000000001</v>
      </c>
      <c r="V47" s="22">
        <v>0</v>
      </c>
      <c r="W47" s="107">
        <v>0</v>
      </c>
      <c r="X47" s="58"/>
    </row>
    <row r="48" spans="1:24" x14ac:dyDescent="0.35">
      <c r="A48" s="62" t="s">
        <v>20</v>
      </c>
      <c r="B48" s="10"/>
      <c r="C48" s="10"/>
      <c r="D48" s="10"/>
      <c r="E48" s="11" t="s">
        <v>25</v>
      </c>
      <c r="F48" s="11" t="s">
        <v>26</v>
      </c>
      <c r="G48" s="12" t="s">
        <v>69</v>
      </c>
      <c r="H48" s="12" t="s">
        <v>78</v>
      </c>
      <c r="I48" s="12" t="s">
        <v>81</v>
      </c>
      <c r="J48" s="12" t="s">
        <v>116</v>
      </c>
      <c r="K48" s="12" t="s">
        <v>128</v>
      </c>
      <c r="L48" s="11" t="s">
        <v>130</v>
      </c>
      <c r="M48" s="12" t="s">
        <v>133</v>
      </c>
      <c r="O48" s="31" t="s">
        <v>72</v>
      </c>
      <c r="P48" s="38">
        <f t="shared" ref="P48:V48" si="36">P14+P26</f>
        <v>1758.6190000000001</v>
      </c>
      <c r="Q48" s="38">
        <f t="shared" si="36"/>
        <v>1805.1509999999998</v>
      </c>
      <c r="R48" s="38">
        <f t="shared" si="36"/>
        <v>1756.2990000000002</v>
      </c>
      <c r="S48" s="38">
        <f t="shared" si="36"/>
        <v>1682.423</v>
      </c>
      <c r="T48" s="38">
        <f t="shared" si="36"/>
        <v>1691.7349999999999</v>
      </c>
      <c r="U48" s="38">
        <f t="shared" si="36"/>
        <v>1887.797</v>
      </c>
      <c r="V48" s="38">
        <f t="shared" si="36"/>
        <v>1929.325</v>
      </c>
      <c r="W48" s="38">
        <f>W14+W26+W35</f>
        <v>2677.1750000000002</v>
      </c>
    </row>
    <row r="49" spans="1:24" x14ac:dyDescent="0.35">
      <c r="A49" s="10" t="s">
        <v>21</v>
      </c>
      <c r="B49" s="10"/>
      <c r="C49" s="10"/>
      <c r="D49" s="10"/>
      <c r="E49" s="63">
        <f t="shared" ref="E49:M49" si="37">E42</f>
        <v>-21.274000000000001</v>
      </c>
      <c r="F49" s="63">
        <f t="shared" si="37"/>
        <v>65.311000000000007</v>
      </c>
      <c r="G49" s="63">
        <f t="shared" si="37"/>
        <v>154.59399999999999</v>
      </c>
      <c r="H49" s="63">
        <f t="shared" si="37"/>
        <v>199.934</v>
      </c>
      <c r="I49" s="63">
        <f t="shared" si="37"/>
        <v>170.613</v>
      </c>
      <c r="J49" s="63">
        <f t="shared" si="37"/>
        <v>206.15799999999999</v>
      </c>
      <c r="K49" s="63">
        <f t="shared" si="37"/>
        <v>187.00200000000001</v>
      </c>
      <c r="L49" s="63">
        <f t="shared" si="37"/>
        <v>315.97800000000001</v>
      </c>
      <c r="M49" s="63">
        <f t="shared" si="37"/>
        <v>591.56799999999998</v>
      </c>
      <c r="O49" s="31" t="s">
        <v>73</v>
      </c>
      <c r="P49" s="38">
        <f>P47+P36+P8+P6+P44+P46</f>
        <v>1758.6190000000001</v>
      </c>
      <c r="Q49" s="38">
        <f>Q47+Q36+Q8+Q6+Q44+Q46</f>
        <v>1805.1510000000003</v>
      </c>
      <c r="R49" s="38">
        <f>R47+R36+R8+R6+R44+R46</f>
        <v>1756.299</v>
      </c>
      <c r="S49" s="38">
        <f>S47+S36+S8+S6+S44+S46</f>
        <v>1682.45</v>
      </c>
      <c r="T49" s="38">
        <f>T47+T36+T8+T6+T44+T46</f>
        <v>1691.7339999999999</v>
      </c>
      <c r="U49" s="38">
        <f>U47+U36+U8+U6+U44+U45+U46</f>
        <v>1887.797</v>
      </c>
      <c r="V49" s="38">
        <f>V47+V36+V8+V6+V44+V45+V46</f>
        <v>1929.325</v>
      </c>
      <c r="W49" s="109">
        <f>W47+W36+W8+W6+W44+W45+W46</f>
        <v>2677.1749999999997</v>
      </c>
      <c r="X49" s="16"/>
    </row>
    <row r="50" spans="1:24" x14ac:dyDescent="0.35">
      <c r="A50" s="10" t="s">
        <v>22</v>
      </c>
      <c r="B50" s="10"/>
      <c r="C50" s="10"/>
      <c r="D50" s="10"/>
      <c r="E50" s="65">
        <f>-146.440591+8.775813</f>
        <v>-137.66477800000001</v>
      </c>
      <c r="F50" s="65">
        <f>-86.481+16.646</f>
        <v>-69.834999999999994</v>
      </c>
      <c r="G50" s="63">
        <f>-32.051+1.014</f>
        <v>-31.037000000000003</v>
      </c>
      <c r="H50" s="63">
        <f>-56.291+2.064</f>
        <v>-54.226999999999997</v>
      </c>
      <c r="I50" s="63">
        <f>-31.059+1.669</f>
        <v>-29.39</v>
      </c>
      <c r="J50" s="63">
        <f>-53.142+0.483</f>
        <v>-52.659000000000006</v>
      </c>
      <c r="K50" s="63">
        <v>-102.67400000000001</v>
      </c>
      <c r="L50" s="63">
        <v>-77.884</v>
      </c>
      <c r="M50" s="63">
        <v>739.04700000000003</v>
      </c>
      <c r="O50" s="10" t="s">
        <v>97</v>
      </c>
      <c r="P50" s="96">
        <f>P48-P49</f>
        <v>0</v>
      </c>
      <c r="Q50" s="96">
        <f t="shared" ref="Q50:T50" si="38">Q48-Q49</f>
        <v>0</v>
      </c>
      <c r="R50" s="96">
        <f t="shared" si="38"/>
        <v>0</v>
      </c>
      <c r="S50" s="96">
        <f t="shared" si="38"/>
        <v>-2.7000000000043656E-2</v>
      </c>
      <c r="T50" s="96">
        <f t="shared" si="38"/>
        <v>9.9999999997635314E-4</v>
      </c>
      <c r="U50" s="96">
        <f>U48-U49</f>
        <v>0</v>
      </c>
      <c r="V50" s="96">
        <f>V48-V49</f>
        <v>0</v>
      </c>
      <c r="W50" s="96">
        <f>W48-W49</f>
        <v>0</v>
      </c>
      <c r="X50" s="66"/>
    </row>
    <row r="51" spans="1:24" x14ac:dyDescent="0.35">
      <c r="A51" s="31" t="s">
        <v>23</v>
      </c>
      <c r="B51" s="10"/>
      <c r="C51" s="10"/>
      <c r="D51" s="10"/>
      <c r="E51" s="32">
        <f t="shared" ref="E51:G51" si="39">SUM(E49:E50)</f>
        <v>-158.93877800000001</v>
      </c>
      <c r="F51" s="32">
        <f t="shared" si="39"/>
        <v>-4.5239999999999867</v>
      </c>
      <c r="G51" s="38">
        <f t="shared" si="39"/>
        <v>123.55699999999999</v>
      </c>
      <c r="H51" s="38">
        <f t="shared" ref="H51:K51" si="40">SUM(H49:H50)</f>
        <v>145.70699999999999</v>
      </c>
      <c r="I51" s="38">
        <f t="shared" si="40"/>
        <v>141.22300000000001</v>
      </c>
      <c r="J51" s="38">
        <f t="shared" si="40"/>
        <v>153.49899999999997</v>
      </c>
      <c r="K51" s="38">
        <f t="shared" si="40"/>
        <v>84.328000000000003</v>
      </c>
      <c r="L51" s="38">
        <f>SUM(L49:L50)</f>
        <v>238.09399999999999</v>
      </c>
      <c r="M51" s="38">
        <f>SUM(M49:M50)</f>
        <v>1330.615</v>
      </c>
      <c r="O51" s="17" t="s">
        <v>40</v>
      </c>
      <c r="P51" s="10"/>
      <c r="Q51" s="64"/>
      <c r="R51" s="10"/>
      <c r="S51" s="10"/>
      <c r="T51" s="15"/>
      <c r="U51" s="10"/>
      <c r="V51" s="10"/>
      <c r="W51" s="15"/>
      <c r="X51" s="66"/>
    </row>
    <row r="52" spans="1:24" x14ac:dyDescent="0.35">
      <c r="A52" s="10" t="s">
        <v>24</v>
      </c>
      <c r="B52" s="10"/>
      <c r="C52" s="10"/>
      <c r="D52" s="10"/>
      <c r="E52" s="10"/>
      <c r="F52" s="10"/>
      <c r="G52" s="70"/>
      <c r="H52" s="71"/>
      <c r="I52" s="71"/>
      <c r="J52" s="71"/>
      <c r="K52" s="71"/>
      <c r="L52" s="71"/>
      <c r="M52" s="71"/>
      <c r="O52" s="17" t="s">
        <v>41</v>
      </c>
      <c r="P52" s="13" t="s">
        <v>26</v>
      </c>
      <c r="Q52" s="15" t="s">
        <v>69</v>
      </c>
      <c r="R52" s="15" t="s">
        <v>78</v>
      </c>
      <c r="S52" s="15" t="s">
        <v>81</v>
      </c>
      <c r="T52" s="15" t="s">
        <v>116</v>
      </c>
      <c r="U52" s="15" t="s">
        <v>128</v>
      </c>
      <c r="V52" s="15" t="s">
        <v>130</v>
      </c>
      <c r="W52" s="12" t="s">
        <v>133</v>
      </c>
      <c r="X52" s="66"/>
    </row>
    <row r="53" spans="1:24" x14ac:dyDescent="0.35">
      <c r="B53"/>
      <c r="C53"/>
      <c r="D53"/>
      <c r="E53"/>
      <c r="O53" s="67" t="s">
        <v>42</v>
      </c>
      <c r="P53" s="68">
        <v>73</v>
      </c>
      <c r="Q53" s="69">
        <v>59.75</v>
      </c>
      <c r="R53" s="68">
        <v>42</v>
      </c>
      <c r="S53" s="68">
        <v>19.100000000000001</v>
      </c>
      <c r="T53" s="68">
        <v>36.799999999999997</v>
      </c>
      <c r="U53" s="68">
        <v>305.25</v>
      </c>
      <c r="V53" s="68">
        <v>346.95</v>
      </c>
      <c r="W53" s="68">
        <v>699.25</v>
      </c>
      <c r="X53" s="76"/>
    </row>
    <row r="54" spans="1:24" x14ac:dyDescent="0.35">
      <c r="A54" s="10" t="s">
        <v>111</v>
      </c>
      <c r="B54" s="10"/>
      <c r="C54" s="10"/>
      <c r="D54" s="10"/>
      <c r="E54" s="10"/>
      <c r="F54" s="77">
        <v>8564750</v>
      </c>
      <c r="G54" s="77">
        <v>8564750</v>
      </c>
      <c r="H54" s="77">
        <v>8564750</v>
      </c>
      <c r="I54" s="77">
        <v>8564750</v>
      </c>
      <c r="J54" s="77">
        <v>8564750</v>
      </c>
      <c r="K54" s="77">
        <v>8564750</v>
      </c>
      <c r="L54" s="77">
        <v>8564750</v>
      </c>
      <c r="M54" s="77">
        <v>17129500</v>
      </c>
      <c r="O54" s="49" t="s">
        <v>43</v>
      </c>
      <c r="P54" s="72">
        <v>-5.47</v>
      </c>
      <c r="Q54" s="73">
        <v>-2.92</v>
      </c>
      <c r="R54" s="74">
        <v>-0.02</v>
      </c>
      <c r="S54" s="74">
        <v>-2.83</v>
      </c>
      <c r="T54" s="74">
        <v>-0.08</v>
      </c>
      <c r="U54" s="74">
        <v>9.8650000000000002</v>
      </c>
      <c r="V54" s="74">
        <v>12.73</v>
      </c>
      <c r="W54" s="74">
        <v>23.52</v>
      </c>
      <c r="X54" s="66"/>
    </row>
    <row r="55" spans="1:24" x14ac:dyDescent="0.35">
      <c r="A55" s="10" t="s">
        <v>107</v>
      </c>
      <c r="B55" s="10"/>
      <c r="C55" s="10"/>
      <c r="D55" s="10"/>
      <c r="E55" s="10"/>
      <c r="F55" s="65">
        <f t="shared" ref="F55:M55" si="41">F54*P53/10^6</f>
        <v>625.22675000000004</v>
      </c>
      <c r="G55" s="65">
        <f t="shared" si="41"/>
        <v>511.74381249999999</v>
      </c>
      <c r="H55" s="65">
        <f t="shared" si="41"/>
        <v>359.71949999999998</v>
      </c>
      <c r="I55" s="65">
        <f t="shared" si="41"/>
        <v>163.586725</v>
      </c>
      <c r="J55" s="65">
        <f t="shared" si="41"/>
        <v>315.18279999999999</v>
      </c>
      <c r="K55" s="65">
        <f t="shared" si="41"/>
        <v>2614.3899375000001</v>
      </c>
      <c r="L55" s="65">
        <f t="shared" si="41"/>
        <v>2971.5400125000001</v>
      </c>
      <c r="M55" s="65">
        <f t="shared" si="41"/>
        <v>11977.802874999999</v>
      </c>
      <c r="O55" s="75" t="s">
        <v>44</v>
      </c>
      <c r="P55" s="74">
        <f t="shared" ref="P55:W55" si="42">(P6*1000000)/F54</f>
        <v>69.749846755597076</v>
      </c>
      <c r="Q55" s="74">
        <f t="shared" si="42"/>
        <v>83.266528503458943</v>
      </c>
      <c r="R55" s="74">
        <f t="shared" si="42"/>
        <v>83.23313581832511</v>
      </c>
      <c r="S55" s="74">
        <f t="shared" si="42"/>
        <v>77.986047461980789</v>
      </c>
      <c r="T55" s="74">
        <f t="shared" si="42"/>
        <v>77.950202866400076</v>
      </c>
      <c r="U55" s="74">
        <f t="shared" si="42"/>
        <v>90.406608482442564</v>
      </c>
      <c r="V55" s="74">
        <f t="shared" si="42"/>
        <v>112.06900376543392</v>
      </c>
      <c r="W55" s="74">
        <f>(W6*1000000)/M54</f>
        <v>74.594588283370797</v>
      </c>
      <c r="X55" s="66"/>
    </row>
    <row r="56" spans="1:24" x14ac:dyDescent="0.35">
      <c r="A56" s="10" t="s">
        <v>108</v>
      </c>
      <c r="B56" s="10"/>
      <c r="C56" s="10"/>
      <c r="D56" s="10"/>
      <c r="E56" s="10"/>
      <c r="F56" s="65">
        <f t="shared" ref="F56:M56" si="43">P10</f>
        <v>851.14800000000002</v>
      </c>
      <c r="G56" s="63">
        <f t="shared" si="43"/>
        <v>757.10400000000004</v>
      </c>
      <c r="H56" s="63">
        <f t="shared" si="43"/>
        <v>714.47500000000002</v>
      </c>
      <c r="I56" s="63">
        <f t="shared" si="43"/>
        <v>674.13100000000009</v>
      </c>
      <c r="J56" s="63">
        <f t="shared" si="43"/>
        <v>591.43599999999992</v>
      </c>
      <c r="K56" s="63">
        <f t="shared" si="43"/>
        <v>689.46</v>
      </c>
      <c r="L56" s="63">
        <f t="shared" si="43"/>
        <v>586.75400000000002</v>
      </c>
      <c r="M56" s="63">
        <f t="shared" si="43"/>
        <v>847.68399999999997</v>
      </c>
      <c r="O56" s="46" t="s">
        <v>45</v>
      </c>
      <c r="P56" s="78">
        <v>0.2</v>
      </c>
      <c r="Q56" s="79">
        <v>1.2</v>
      </c>
      <c r="R56" s="79">
        <v>0.04</v>
      </c>
      <c r="S56" s="79">
        <v>0.04</v>
      </c>
      <c r="T56" s="79">
        <v>0.04</v>
      </c>
      <c r="U56" s="79">
        <v>4</v>
      </c>
      <c r="V56" s="68">
        <v>5</v>
      </c>
      <c r="W56" s="68">
        <v>5</v>
      </c>
      <c r="X56" s="76"/>
    </row>
    <row r="57" spans="1:24" x14ac:dyDescent="0.35">
      <c r="A57" s="10" t="s">
        <v>109</v>
      </c>
      <c r="B57" s="10"/>
      <c r="C57" s="10"/>
      <c r="D57" s="10"/>
      <c r="E57" s="10"/>
      <c r="F57" s="65">
        <f t="shared" ref="F57:M57" si="44">P30</f>
        <v>19.952999999999999</v>
      </c>
      <c r="G57" s="63">
        <f t="shared" si="44"/>
        <v>21.536000000000001</v>
      </c>
      <c r="H57" s="63">
        <f t="shared" si="44"/>
        <v>22.99</v>
      </c>
      <c r="I57" s="63">
        <f t="shared" si="44"/>
        <v>16.276</v>
      </c>
      <c r="J57" s="63">
        <f t="shared" si="44"/>
        <v>18.254000000000001</v>
      </c>
      <c r="K57" s="63">
        <f t="shared" si="44"/>
        <v>26.167000000000002</v>
      </c>
      <c r="L57" s="63">
        <f t="shared" si="44"/>
        <v>41.728999999999999</v>
      </c>
      <c r="M57" s="63">
        <f t="shared" si="44"/>
        <v>17.713999999999999</v>
      </c>
      <c r="O57" s="46" t="s">
        <v>46</v>
      </c>
      <c r="P57" s="74">
        <f t="shared" ref="P57" si="45">(P53/P54)</f>
        <v>-13.345521023765997</v>
      </c>
      <c r="Q57" s="74">
        <f>(Q53/Q54)</f>
        <v>-20.462328767123289</v>
      </c>
      <c r="R57" s="80" t="s">
        <v>115</v>
      </c>
      <c r="S57" s="74">
        <f>(S53/S54)</f>
        <v>-6.7491166077738516</v>
      </c>
      <c r="T57" s="74">
        <f>(T53/T54)</f>
        <v>-459.99999999999994</v>
      </c>
      <c r="U57" s="74">
        <f>(U53/U54)</f>
        <v>30.942726811961478</v>
      </c>
      <c r="V57" s="74">
        <f>(V53/V54)</f>
        <v>27.254516889238019</v>
      </c>
      <c r="W57" s="74">
        <f>(W53/W54)</f>
        <v>29.730017006802722</v>
      </c>
      <c r="X57" s="82"/>
    </row>
    <row r="58" spans="1:24" x14ac:dyDescent="0.35">
      <c r="A58" s="10" t="s">
        <v>110</v>
      </c>
      <c r="B58" s="10"/>
      <c r="C58" s="10"/>
      <c r="D58" s="10"/>
      <c r="E58" s="10"/>
      <c r="F58" s="32">
        <f t="shared" ref="F58:J58" si="46">F55+F56-F57</f>
        <v>1456.42175</v>
      </c>
      <c r="G58" s="32">
        <f t="shared" si="46"/>
        <v>1247.3118125000001</v>
      </c>
      <c r="H58" s="32">
        <f t="shared" si="46"/>
        <v>1051.2045000000001</v>
      </c>
      <c r="I58" s="32">
        <f t="shared" si="46"/>
        <v>821.44172500000013</v>
      </c>
      <c r="J58" s="32">
        <f t="shared" si="46"/>
        <v>888.36479999999995</v>
      </c>
      <c r="K58" s="32">
        <f t="shared" ref="K58:L58" si="47">K55+K56-K57</f>
        <v>3277.6829375000002</v>
      </c>
      <c r="L58" s="32">
        <f t="shared" si="47"/>
        <v>3516.5650125000002</v>
      </c>
      <c r="M58" s="32">
        <f t="shared" ref="M58" si="48">M55+M56-M57</f>
        <v>12807.772874999999</v>
      </c>
      <c r="O58" s="46" t="s">
        <v>47</v>
      </c>
      <c r="P58" s="74">
        <f t="shared" ref="P58:Q58" si="49">(P53/P55)</f>
        <v>1.0465972815078926</v>
      </c>
      <c r="Q58" s="74">
        <f t="shared" si="49"/>
        <v>0.71757524990990762</v>
      </c>
      <c r="R58" s="74">
        <f t="shared" ref="R58:W58" si="50">(R53/R55)</f>
        <v>0.50460672407770835</v>
      </c>
      <c r="S58" s="74">
        <f t="shared" si="50"/>
        <v>0.2449156050550132</v>
      </c>
      <c r="T58" s="74">
        <f t="shared" si="50"/>
        <v>0.47209626975662938</v>
      </c>
      <c r="U58" s="74">
        <f t="shared" si="50"/>
        <v>3.3764124672288878</v>
      </c>
      <c r="V58" s="74">
        <f t="shared" si="50"/>
        <v>3.095860481870472</v>
      </c>
      <c r="W58" s="74">
        <f>(W53/W55)</f>
        <v>9.3740044162946639</v>
      </c>
      <c r="X58" s="82"/>
    </row>
    <row r="59" spans="1:24" x14ac:dyDescent="0.35">
      <c r="O59" s="46" t="s">
        <v>48</v>
      </c>
      <c r="P59" s="74">
        <f t="shared" ref="P59:W59" si="51">F58/F14</f>
        <v>93.462218443174748</v>
      </c>
      <c r="Q59" s="81">
        <f t="shared" si="51"/>
        <v>12.583094369791986</v>
      </c>
      <c r="R59" s="81">
        <f t="shared" si="51"/>
        <v>6.8570380227392764</v>
      </c>
      <c r="S59" s="81">
        <f t="shared" si="51"/>
        <v>9.4805438859714961</v>
      </c>
      <c r="T59" s="81">
        <f t="shared" si="51"/>
        <v>5.1071591595044428</v>
      </c>
      <c r="U59" s="81">
        <f t="shared" si="51"/>
        <v>8.877701589094384</v>
      </c>
      <c r="V59" s="81">
        <f t="shared" si="51"/>
        <v>9.5681553854400274</v>
      </c>
      <c r="W59" s="81">
        <f>M58/M14</f>
        <v>20.454342432653416</v>
      </c>
      <c r="X59" s="84"/>
    </row>
    <row r="60" spans="1:24" x14ac:dyDescent="0.35">
      <c r="G60" s="97"/>
      <c r="H60" s="97"/>
      <c r="I60" s="97"/>
      <c r="O60" s="83" t="s">
        <v>49</v>
      </c>
      <c r="P60" s="26">
        <f t="shared" ref="P60:W60" si="52">(F26/P6)</f>
        <v>-0.15690252598804783</v>
      </c>
      <c r="Q60" s="26">
        <f t="shared" si="52"/>
        <v>-7.0082744753259138E-2</v>
      </c>
      <c r="R60" s="26">
        <f t="shared" si="52"/>
        <v>-5.2183354351614244E-4</v>
      </c>
      <c r="S60" s="26">
        <f t="shared" si="52"/>
        <v>-7.252545547369417E-2</v>
      </c>
      <c r="T60" s="26">
        <f t="shared" si="52"/>
        <v>-2.0685295915066873E-3</v>
      </c>
      <c r="U60" s="26">
        <f t="shared" si="52"/>
        <v>0.21822267567253384</v>
      </c>
      <c r="V60" s="26">
        <f t="shared" si="52"/>
        <v>0.22711318413532186</v>
      </c>
      <c r="W60" s="26">
        <f>(M26/W6)</f>
        <v>0.31529589095986132</v>
      </c>
      <c r="X60" s="84"/>
    </row>
    <row r="61" spans="1:24" x14ac:dyDescent="0.35">
      <c r="H61" s="98"/>
      <c r="I61" s="98"/>
      <c r="J61" s="98"/>
      <c r="K61" s="98"/>
      <c r="L61" s="98"/>
      <c r="M61" s="98"/>
      <c r="O61" s="83" t="s">
        <v>50</v>
      </c>
      <c r="P61" s="26">
        <f t="shared" ref="P61:W61" si="53">(F19+F23)/(P11+P9)</f>
        <v>-2.0948046270494038E-2</v>
      </c>
      <c r="Q61" s="26">
        <f t="shared" si="53"/>
        <v>2.5820802468483488E-2</v>
      </c>
      <c r="R61" s="26">
        <f t="shared" si="53"/>
        <v>7.3138693956255399E-2</v>
      </c>
      <c r="S61" s="26">
        <f t="shared" si="53"/>
        <v>2.1650002512184081E-2</v>
      </c>
      <c r="T61" s="26">
        <f t="shared" si="53"/>
        <v>7.5733592804278146E-2</v>
      </c>
      <c r="U61" s="26">
        <f t="shared" si="53"/>
        <v>0.2060619370704436</v>
      </c>
      <c r="V61" s="26">
        <f>(L19+L23)/(V12)</f>
        <v>0.28541409001495915</v>
      </c>
      <c r="W61" s="26">
        <f>(M19+M23)/(W12)</f>
        <v>0.32750951801015993</v>
      </c>
      <c r="X61" s="87"/>
    </row>
    <row r="62" spans="1:24" x14ac:dyDescent="0.35">
      <c r="E62" s="105"/>
      <c r="O62" s="46" t="s">
        <v>51</v>
      </c>
      <c r="P62" s="85">
        <f t="shared" ref="P62:W62" si="54">(P10/P6)</f>
        <v>1.4247777833576056</v>
      </c>
      <c r="Q62" s="86">
        <f t="shared" si="54"/>
        <v>1.0616231769442073</v>
      </c>
      <c r="R62" s="86">
        <f t="shared" si="54"/>
        <v>1.0022500564618284</v>
      </c>
      <c r="S62" s="86">
        <f t="shared" si="54"/>
        <v>1.0092823959361072</v>
      </c>
      <c r="T62" s="86">
        <f t="shared" si="54"/>
        <v>0.88588187362946791</v>
      </c>
      <c r="U62" s="86">
        <f t="shared" si="54"/>
        <v>0.89041856620733295</v>
      </c>
      <c r="V62" s="86">
        <f>(V10/V6)</f>
        <v>0.61130205669052129</v>
      </c>
      <c r="W62" s="86">
        <f t="shared" si="54"/>
        <v>0.66340994609350046</v>
      </c>
      <c r="X62" s="90"/>
    </row>
    <row r="63" spans="1:24" x14ac:dyDescent="0.35">
      <c r="O63" s="46" t="s">
        <v>52</v>
      </c>
      <c r="P63" s="86">
        <f t="shared" ref="P63:W63" si="55">(P10-P30)/P6</f>
        <v>1.3913774920905941</v>
      </c>
      <c r="Q63" s="86">
        <f t="shared" si="55"/>
        <v>1.0314250578764563</v>
      </c>
      <c r="R63" s="86">
        <f t="shared" si="55"/>
        <v>0.97000018236118457</v>
      </c>
      <c r="S63" s="86">
        <f t="shared" si="55"/>
        <v>0.98491460944319109</v>
      </c>
      <c r="T63" s="86">
        <f t="shared" si="55"/>
        <v>0.85854013636418081</v>
      </c>
      <c r="U63" s="86">
        <f t="shared" si="55"/>
        <v>0.85662460771525606</v>
      </c>
      <c r="V63" s="86">
        <f>(V10-V30)/V6</f>
        <v>0.56782723841294869</v>
      </c>
      <c r="W63" s="86">
        <f t="shared" si="55"/>
        <v>0.64954670957482108</v>
      </c>
      <c r="X63" s="90"/>
    </row>
    <row r="64" spans="1:24" x14ac:dyDescent="0.35">
      <c r="O64" s="46" t="s">
        <v>53</v>
      </c>
      <c r="P64" s="88">
        <f t="shared" ref="P64:Q64" si="56">(P56/10)</f>
        <v>0.02</v>
      </c>
      <c r="Q64" s="89">
        <f t="shared" si="56"/>
        <v>0.12</v>
      </c>
      <c r="R64" s="89">
        <f>(R56/R53)</f>
        <v>9.5238095238095238E-4</v>
      </c>
      <c r="S64" s="89">
        <f t="shared" ref="S64:W64" si="57">(S56/S53)</f>
        <v>2.0942408376963349E-3</v>
      </c>
      <c r="T64" s="89">
        <f t="shared" si="57"/>
        <v>1.0869565217391304E-3</v>
      </c>
      <c r="U64" s="89">
        <f t="shared" si="57"/>
        <v>1.3104013104013105E-2</v>
      </c>
      <c r="V64" s="89">
        <f t="shared" si="57"/>
        <v>1.4411298457991065E-2</v>
      </c>
      <c r="W64" s="89">
        <f>(W56/W53)</f>
        <v>7.1505184125849122E-3</v>
      </c>
      <c r="X64" s="92"/>
    </row>
    <row r="65" spans="7:24" x14ac:dyDescent="0.35">
      <c r="O65" s="46" t="s">
        <v>54</v>
      </c>
      <c r="P65" s="91">
        <f>(AVERAGE(P29:P29)/F4*365)</f>
        <v>99.703936712777292</v>
      </c>
      <c r="Q65" s="91">
        <f t="shared" ref="Q65:W65" si="58">(AVERAGE(P29:Q29)/G4*365)</f>
        <v>84.037103795266304</v>
      </c>
      <c r="R65" s="91">
        <f t="shared" si="58"/>
        <v>71.685790753057404</v>
      </c>
      <c r="S65" s="91">
        <f t="shared" si="58"/>
        <v>69.203658830699425</v>
      </c>
      <c r="T65" s="91">
        <f t="shared" si="58"/>
        <v>67.062195586070089</v>
      </c>
      <c r="U65" s="91">
        <f t="shared" si="58"/>
        <v>46.001845700969405</v>
      </c>
      <c r="V65" s="91">
        <f t="shared" si="58"/>
        <v>40.127406774560761</v>
      </c>
      <c r="W65" s="91">
        <f>(AVERAGE(V29:W29)/M4*365)</f>
        <v>31.110331021298634</v>
      </c>
      <c r="X65" s="92"/>
    </row>
    <row r="66" spans="7:24" x14ac:dyDescent="0.35">
      <c r="O66" s="46" t="s">
        <v>55</v>
      </c>
      <c r="P66" s="91">
        <f t="shared" ref="P66:W66" si="59">AVERAGE(O37:P37)/(F7)*365</f>
        <v>18.842010064889706</v>
      </c>
      <c r="Q66" s="91">
        <f t="shared" si="59"/>
        <v>22.680329892205549</v>
      </c>
      <c r="R66" s="91">
        <f t="shared" si="59"/>
        <v>22.676637704625652</v>
      </c>
      <c r="S66" s="91">
        <f t="shared" si="59"/>
        <v>21.134371216643999</v>
      </c>
      <c r="T66" s="91">
        <f t="shared" si="59"/>
        <v>27.620150704262851</v>
      </c>
      <c r="U66" s="91">
        <f t="shared" si="59"/>
        <v>34.213756077269061</v>
      </c>
      <c r="V66" s="91">
        <f t="shared" si="59"/>
        <v>33.345406215968914</v>
      </c>
      <c r="W66" s="91">
        <f>AVERAGE(V37:W37)/(M7)*365</f>
        <v>33.674931327551931</v>
      </c>
      <c r="X66" s="92"/>
    </row>
    <row r="67" spans="7:24" x14ac:dyDescent="0.35">
      <c r="K67"/>
      <c r="O67" s="46" t="s">
        <v>56</v>
      </c>
      <c r="P67" s="93">
        <f>(AVERAGE(P28:P28)/(F7)*365)</f>
        <v>155.73667501939556</v>
      </c>
      <c r="Q67" s="93">
        <f t="shared" ref="Q67:W67" si="60">(AVERAGE(P28:Q28)/(G7)*365)</f>
        <v>112.42489367778559</v>
      </c>
      <c r="R67" s="93">
        <f t="shared" si="60"/>
        <v>82.479183350877264</v>
      </c>
      <c r="S67" s="93">
        <f t="shared" si="60"/>
        <v>73.517923847646188</v>
      </c>
      <c r="T67" s="93">
        <f t="shared" si="60"/>
        <v>71.332456887752841</v>
      </c>
      <c r="U67" s="93">
        <f t="shared" si="60"/>
        <v>51.828140030678831</v>
      </c>
      <c r="V67" s="93">
        <f t="shared" si="60"/>
        <v>49.197674220819707</v>
      </c>
      <c r="W67" s="93">
        <f>(AVERAGE(V28:W28)/(M7)*365)</f>
        <v>49.555949237645962</v>
      </c>
      <c r="X67" s="87"/>
    </row>
    <row r="68" spans="7:24" x14ac:dyDescent="0.35">
      <c r="O68" s="46" t="s">
        <v>65</v>
      </c>
      <c r="P68" s="93">
        <f t="shared" ref="P68:R68" si="61">(P67+P65-P66)</f>
        <v>236.59860166728313</v>
      </c>
      <c r="Q68" s="93">
        <f t="shared" si="61"/>
        <v>173.78166758084635</v>
      </c>
      <c r="R68" s="93">
        <f t="shared" si="61"/>
        <v>131.48833639930902</v>
      </c>
      <c r="S68" s="93">
        <f>(S67+S65-S66)</f>
        <v>121.58721146170161</v>
      </c>
      <c r="T68" s="93">
        <f>(T67+T65-T66)</f>
        <v>110.77450176956008</v>
      </c>
      <c r="U68" s="93">
        <f>(U67+U65-U66)</f>
        <v>63.616229654379175</v>
      </c>
      <c r="V68" s="93">
        <f>(V67+V65-V66)</f>
        <v>55.979674779411546</v>
      </c>
      <c r="W68" s="93">
        <f>(W67+W65-W66)</f>
        <v>46.991348931392665</v>
      </c>
      <c r="X68" s="94"/>
    </row>
    <row r="69" spans="7:24" ht="13.5" customHeight="1" x14ac:dyDescent="0.35">
      <c r="O69" s="46" t="s">
        <v>57</v>
      </c>
      <c r="P69" s="93">
        <f>AVERAGE(P43:P43)/F4*365</f>
        <v>-50.010233622934919</v>
      </c>
      <c r="Q69" s="93">
        <f t="shared" ref="Q69:W69" si="62">AVERAGE(P43:Q43)/G4*365</f>
        <v>-31.266563392757377</v>
      </c>
      <c r="R69" s="93">
        <f t="shared" si="62"/>
        <v>-23.506794778193477</v>
      </c>
      <c r="S69" s="93">
        <f t="shared" si="62"/>
        <v>-33.250178028438917</v>
      </c>
      <c r="T69" s="93">
        <f t="shared" si="62"/>
        <v>-38.193869627226277</v>
      </c>
      <c r="U69" s="93">
        <f t="shared" si="62"/>
        <v>-6.3833291018751863</v>
      </c>
      <c r="V69" s="93">
        <f t="shared" si="62"/>
        <v>16.683985672492156</v>
      </c>
      <c r="W69" s="93">
        <f>(AVERAGE(V43:W43)/M4)*365</f>
        <v>14.371193819760459</v>
      </c>
      <c r="X69" s="99"/>
    </row>
    <row r="70" spans="7:24" x14ac:dyDescent="0.35">
      <c r="G70" s="40"/>
      <c r="O70" s="40" t="s">
        <v>70</v>
      </c>
      <c r="P70" s="89">
        <f t="shared" ref="P70:W70" si="63">F19/P10</f>
        <v>0.1253871242134153</v>
      </c>
      <c r="Q70" s="89">
        <f t="shared" si="63"/>
        <v>0.12971005304423169</v>
      </c>
      <c r="R70" s="89">
        <f t="shared" si="63"/>
        <v>0.1444053325868645</v>
      </c>
      <c r="S70" s="89">
        <f t="shared" si="63"/>
        <v>0.13965979905982664</v>
      </c>
      <c r="T70" s="89">
        <f t="shared" si="63"/>
        <v>0.16164217261039235</v>
      </c>
      <c r="U70" s="89">
        <f t="shared" si="63"/>
        <v>0.13015838482290487</v>
      </c>
      <c r="V70" s="89">
        <f t="shared" si="63"/>
        <v>0.12991304703504364</v>
      </c>
      <c r="W70" s="89">
        <f>M19/W10</f>
        <v>8.2695910268449094E-2</v>
      </c>
    </row>
    <row r="71" spans="7:24" x14ac:dyDescent="0.35">
      <c r="O71" s="40" t="s">
        <v>80</v>
      </c>
      <c r="P71" s="95">
        <f>(F4)/(P15+P16)</f>
        <v>0.82168237818895362</v>
      </c>
      <c r="Q71" s="95">
        <f>(G4)/(Q15+Q16)</f>
        <v>1.2592505131148899</v>
      </c>
      <c r="R71" s="95">
        <f>(H4)/(R15+R16)</f>
        <v>1.6740174125821778</v>
      </c>
      <c r="S71" s="95">
        <f>(I4)/((S15+S16)+(R15+R16)/2)</f>
        <v>1.0850533008701067</v>
      </c>
      <c r="T71" s="95">
        <f>(J4)/((T15+T16)+(S15+16)/2)</f>
        <v>1.2113765483840924</v>
      </c>
      <c r="U71" s="95">
        <f>(K4)/((U15+U16)+(T15+T16)/2)</f>
        <v>2.1674523886515646</v>
      </c>
      <c r="V71" s="95">
        <f>(L4)/((V15+V16)+(U15+U16)/2)</f>
        <v>2.8673168714853898</v>
      </c>
      <c r="W71" s="95">
        <f>(M4)/((W15+W16)+(V15+V16)/2)</f>
        <v>2.2162766554630209</v>
      </c>
    </row>
    <row r="72" spans="7:24" x14ac:dyDescent="0.35">
      <c r="O72" s="40" t="s">
        <v>114</v>
      </c>
      <c r="P72" s="74">
        <f t="shared" ref="P72:W72" si="64">(F23+F19)/F19</f>
        <v>-0.29273914713791677</v>
      </c>
      <c r="Q72" s="74">
        <f t="shared" si="64"/>
        <v>0.39811005661683813</v>
      </c>
      <c r="R72" s="74">
        <f t="shared" si="64"/>
        <v>1.0448078004148342</v>
      </c>
      <c r="S72" s="74">
        <f t="shared" si="64"/>
        <v>0.3203751500281467</v>
      </c>
      <c r="T72" s="74">
        <f t="shared" si="64"/>
        <v>1.0339745400152711</v>
      </c>
      <c r="U72" s="74">
        <f t="shared" si="64"/>
        <v>3.5444678456412451</v>
      </c>
      <c r="V72" s="74">
        <f t="shared" si="64"/>
        <v>4.7681530166476414</v>
      </c>
      <c r="W72" s="74">
        <f>(M23+M19)/M19</f>
        <v>8.5164621968616281</v>
      </c>
    </row>
    <row r="73" spans="7:24" x14ac:dyDescent="0.35">
      <c r="O73" s="114"/>
      <c r="P73" s="114"/>
      <c r="Q73" s="114"/>
      <c r="R73" s="114"/>
      <c r="S73" s="114"/>
      <c r="T73" s="114"/>
    </row>
  </sheetData>
  <mergeCells count="3">
    <mergeCell ref="A1:T1"/>
    <mergeCell ref="V1:AQ1"/>
    <mergeCell ref="O73:T73"/>
  </mergeCells>
  <printOptions horizontalCentered="1" verticalCentered="1"/>
  <pageMargins left="0" right="0" top="0" bottom="0" header="0" footer="0"/>
  <pageSetup paperSize="9" scale="46" orientation="landscape" r:id="rId1"/>
  <colBreaks count="1" manualBreakCount="1">
    <brk id="24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D11"/>
  <sheetViews>
    <sheetView workbookViewId="0">
      <selection activeCell="A2" sqref="A2:D10"/>
    </sheetView>
  </sheetViews>
  <sheetFormatPr defaultColWidth="8.81640625" defaultRowHeight="14.5" x14ac:dyDescent="0.35"/>
  <sheetData>
    <row r="3" spans="1:4" x14ac:dyDescent="0.35">
      <c r="A3" t="s">
        <v>117</v>
      </c>
      <c r="B3">
        <v>36000</v>
      </c>
    </row>
    <row r="4" spans="1:4" x14ac:dyDescent="0.35">
      <c r="B4" t="s">
        <v>118</v>
      </c>
      <c r="C4" t="s">
        <v>119</v>
      </c>
      <c r="D4" t="s">
        <v>120</v>
      </c>
    </row>
    <row r="5" spans="1:4" x14ac:dyDescent="0.35">
      <c r="A5" s="1" t="s">
        <v>121</v>
      </c>
      <c r="B5">
        <v>13000</v>
      </c>
      <c r="C5">
        <f>B5*100000/B3</f>
        <v>36111.111111111109</v>
      </c>
    </row>
    <row r="6" spans="1:4" x14ac:dyDescent="0.35">
      <c r="A6" t="s">
        <v>122</v>
      </c>
      <c r="B6">
        <v>1393</v>
      </c>
      <c r="C6">
        <f>B6*100000/$B$3</f>
        <v>3869.4444444444443</v>
      </c>
      <c r="D6" s="2">
        <f>C6/$C$5</f>
        <v>0.10715384615384616</v>
      </c>
    </row>
    <row r="7" spans="1:4" x14ac:dyDescent="0.35">
      <c r="A7" t="s">
        <v>123</v>
      </c>
      <c r="B7">
        <v>5096</v>
      </c>
      <c r="C7">
        <f t="shared" ref="C7:C9" si="0">B7*100000/$B$3</f>
        <v>14155.555555555555</v>
      </c>
      <c r="D7" s="2">
        <f t="shared" ref="D7:D10" si="1">C7/$C$5</f>
        <v>0.39200000000000002</v>
      </c>
    </row>
    <row r="8" spans="1:4" x14ac:dyDescent="0.35">
      <c r="A8" t="s">
        <v>124</v>
      </c>
      <c r="B8">
        <v>2074</v>
      </c>
      <c r="C8">
        <f t="shared" si="0"/>
        <v>5761.1111111111113</v>
      </c>
      <c r="D8" s="2">
        <f t="shared" si="1"/>
        <v>0.15953846153846155</v>
      </c>
    </row>
    <row r="9" spans="1:4" x14ac:dyDescent="0.35">
      <c r="A9" t="s">
        <v>125</v>
      </c>
      <c r="B9">
        <v>570</v>
      </c>
      <c r="C9">
        <f t="shared" si="0"/>
        <v>1583.3333333333333</v>
      </c>
      <c r="D9" s="2">
        <f t="shared" si="1"/>
        <v>4.3846153846153847E-2</v>
      </c>
    </row>
    <row r="10" spans="1:4" x14ac:dyDescent="0.35">
      <c r="A10" s="1" t="s">
        <v>126</v>
      </c>
      <c r="B10">
        <f>SUM(B6:B9)</f>
        <v>9133</v>
      </c>
      <c r="C10">
        <f>SUM(C6:C9)</f>
        <v>25369.444444444442</v>
      </c>
      <c r="D10" s="2">
        <f t="shared" si="1"/>
        <v>0.70253846153846145</v>
      </c>
    </row>
    <row r="11" spans="1:4" x14ac:dyDescent="0.35">
      <c r="D1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Consolidated</vt:lpstr>
      <vt:lpstr>Cost</vt:lpstr>
      <vt:lpstr>Consolidated!Print_Area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Voleram3</dc:creator>
  <cp:lastModifiedBy>Dell</cp:lastModifiedBy>
  <cp:lastPrinted>2020-03-05T04:55:11Z</cp:lastPrinted>
  <dcterms:created xsi:type="dcterms:W3CDTF">2017-09-19T08:05:47Z</dcterms:created>
  <dcterms:modified xsi:type="dcterms:W3CDTF">2024-06-04T11:47:08Z</dcterms:modified>
</cp:coreProperties>
</file>