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1600" windowHeight="9735"/>
  </bookViews>
  <sheets>
    <sheet name="Mallcom Consolidated" sheetId="1" r:id="rId1"/>
    <sheet name="Sheet1" sheetId="3" r:id="rId2"/>
    <sheet name="peer sheet" sheetId="2" state="hidden" r:id="rId3"/>
  </sheets>
  <definedNames>
    <definedName name="_xlnm.Print_Area" localSheetId="0">'Mallcom Consolidated'!$B$2:$S$75</definedName>
    <definedName name="_xlnm.Print_Area" localSheetId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2" i="1" l="1"/>
  <c r="R71" i="1"/>
  <c r="R70" i="1"/>
  <c r="Q69" i="1"/>
  <c r="P69" i="1"/>
  <c r="O69" i="1"/>
  <c r="N69" i="1"/>
  <c r="M69" i="1"/>
  <c r="R69" i="1"/>
  <c r="R68" i="1"/>
  <c r="M67" i="1"/>
  <c r="N67" i="1"/>
  <c r="O67" i="1"/>
  <c r="P67" i="1"/>
  <c r="Q67" i="1"/>
  <c r="R67" i="1"/>
  <c r="R65" i="1"/>
  <c r="M66" i="1"/>
  <c r="N66" i="1"/>
  <c r="O66" i="1"/>
  <c r="P66" i="1"/>
  <c r="Q66" i="1"/>
  <c r="R66" i="1"/>
  <c r="R64" i="1"/>
  <c r="R63" i="1"/>
  <c r="R62" i="1"/>
  <c r="R61" i="1"/>
  <c r="R58" i="1"/>
  <c r="R57" i="1"/>
  <c r="R55" i="1"/>
  <c r="R12" i="1"/>
  <c r="R11" i="1"/>
  <c r="I60" i="1"/>
  <c r="I57" i="1"/>
  <c r="I53" i="1"/>
  <c r="I51" i="1"/>
  <c r="I47" i="1"/>
  <c r="I46" i="1"/>
  <c r="I37" i="1"/>
  <c r="I36" i="1"/>
  <c r="I34" i="1"/>
  <c r="I33" i="1"/>
  <c r="I29" i="1"/>
  <c r="I28" i="1"/>
  <c r="I27" i="1"/>
  <c r="I26" i="1"/>
  <c r="I24" i="1"/>
  <c r="I18" i="1"/>
  <c r="H18" i="1"/>
  <c r="R35" i="1" l="1"/>
  <c r="R54" i="1"/>
  <c r="I25" i="1"/>
  <c r="I6" i="1"/>
  <c r="I7" i="1" l="1"/>
  <c r="I8" i="1"/>
  <c r="I15" i="1" l="1"/>
  <c r="N65" i="1" l="1"/>
  <c r="M65" i="1"/>
  <c r="I32" i="1" l="1"/>
  <c r="Q65" i="1" l="1"/>
  <c r="I59" i="1" l="1"/>
  <c r="R43" i="1"/>
  <c r="R7" i="1" l="1"/>
  <c r="R15" i="1"/>
  <c r="R24" i="1"/>
  <c r="R60" i="1" l="1"/>
  <c r="I58" i="1"/>
  <c r="R59" i="1" s="1"/>
  <c r="R48" i="1"/>
  <c r="R13" i="1" s="1"/>
  <c r="R42" i="1"/>
  <c r="R49" i="1"/>
  <c r="Q64" i="1" l="1"/>
  <c r="Q72" i="1" l="1"/>
  <c r="Q43" i="1" l="1"/>
  <c r="H46" i="1" l="1"/>
  <c r="Q54" i="1"/>
  <c r="Q57" i="1" s="1"/>
  <c r="Q35" i="1"/>
  <c r="Q7" i="1"/>
  <c r="H36" i="1"/>
  <c r="H37" i="1"/>
  <c r="H6" i="1"/>
  <c r="H7" i="1"/>
  <c r="Q12" i="1" l="1"/>
  <c r="Q55" i="1"/>
  <c r="Q58" i="1" s="1"/>
  <c r="H57" i="1"/>
  <c r="P72" i="1" l="1"/>
  <c r="Q11" i="1" l="1"/>
  <c r="Q63" i="1" s="1"/>
  <c r="Q24" i="1"/>
  <c r="Q15" i="1"/>
  <c r="Q70" i="1" l="1"/>
  <c r="Q62" i="1"/>
  <c r="Q42" i="1"/>
  <c r="Q48" i="1"/>
  <c r="Q13" i="1" s="1"/>
  <c r="Q49" i="1"/>
  <c r="H59" i="1"/>
  <c r="H58" i="1"/>
  <c r="H51" i="1"/>
  <c r="H53" i="1" s="1"/>
  <c r="O7" i="1"/>
  <c r="O35" i="1"/>
  <c r="O43" i="1"/>
  <c r="P43" i="1"/>
  <c r="L35" i="1"/>
  <c r="O24" i="1"/>
  <c r="O42" i="1" s="1"/>
  <c r="N35" i="1"/>
  <c r="P35" i="1"/>
  <c r="M35" i="1"/>
  <c r="L15" i="1"/>
  <c r="N43" i="1"/>
  <c r="M43" i="1"/>
  <c r="L43" i="1"/>
  <c r="O49" i="1" l="1"/>
  <c r="H60" i="1"/>
  <c r="O12" i="1"/>
  <c r="E25" i="1"/>
  <c r="G8" i="1"/>
  <c r="G15" i="1" s="1"/>
  <c r="P71" i="1" s="1"/>
  <c r="P7" i="1"/>
  <c r="P12" i="1" s="1"/>
  <c r="P15" i="1"/>
  <c r="P24" i="1"/>
  <c r="P42" i="1" s="1"/>
  <c r="H8" i="1"/>
  <c r="H15" i="1" l="1"/>
  <c r="I16" i="1" s="1"/>
  <c r="G24" i="1"/>
  <c r="G26" i="1" s="1"/>
  <c r="P49" i="1"/>
  <c r="P48" i="1"/>
  <c r="P13" i="1" s="1"/>
  <c r="M72" i="1"/>
  <c r="N72" i="1"/>
  <c r="O72" i="1"/>
  <c r="L72" i="1"/>
  <c r="P65" i="1"/>
  <c r="P64" i="1"/>
  <c r="G57" i="1"/>
  <c r="Q59" i="1" l="1"/>
  <c r="Q71" i="1"/>
  <c r="Q68" i="1"/>
  <c r="G27" i="1"/>
  <c r="G32" i="1" s="1"/>
  <c r="Q61" i="1"/>
  <c r="H16" i="1"/>
  <c r="H24" i="1"/>
  <c r="H27" i="1" s="1"/>
  <c r="G37" i="1"/>
  <c r="G36" i="1"/>
  <c r="G7" i="1"/>
  <c r="G6" i="1"/>
  <c r="F42" i="2"/>
  <c r="F43" i="2" s="1"/>
  <c r="G42" i="2"/>
  <c r="G43" i="2" s="1"/>
  <c r="H42" i="2"/>
  <c r="I42" i="2"/>
  <c r="G14" i="2"/>
  <c r="G7" i="2"/>
  <c r="Q60" i="1" l="1"/>
  <c r="H26" i="1"/>
  <c r="H28" i="1"/>
  <c r="H32" i="1"/>
  <c r="H46" i="2"/>
  <c r="H57" i="2" s="1"/>
  <c r="I46" i="2"/>
  <c r="I57" i="2" s="1"/>
  <c r="G30" i="2"/>
  <c r="G31" i="2" s="1"/>
  <c r="G26" i="2"/>
  <c r="F26" i="2"/>
  <c r="F15" i="2"/>
  <c r="G15" i="2"/>
  <c r="F8" i="2"/>
  <c r="F46" i="2" s="1"/>
  <c r="F57" i="2" s="1"/>
  <c r="G8" i="2"/>
  <c r="G10" i="2" s="1"/>
  <c r="H33" i="1" l="1"/>
  <c r="G46" i="2"/>
  <c r="G57" i="2" s="1"/>
  <c r="F11" i="2"/>
  <c r="G11" i="2"/>
  <c r="D27" i="2"/>
  <c r="E27" i="2"/>
  <c r="F44" i="2"/>
  <c r="G44" i="2"/>
  <c r="H44" i="2"/>
  <c r="I44" i="2"/>
  <c r="D49" i="2"/>
  <c r="F48" i="2"/>
  <c r="F45" i="2" s="1"/>
  <c r="G48" i="2"/>
  <c r="G45" i="2" s="1"/>
  <c r="H48" i="2"/>
  <c r="H45" i="2" s="1"/>
  <c r="I48" i="2"/>
  <c r="I45" i="2" s="1"/>
  <c r="E49" i="2"/>
  <c r="F50" i="2"/>
  <c r="G50" i="2"/>
  <c r="H50" i="2"/>
  <c r="I50" i="2"/>
  <c r="F56" i="2"/>
  <c r="G56" i="2"/>
  <c r="H56" i="2"/>
  <c r="I56" i="2"/>
  <c r="F59" i="2"/>
  <c r="G59" i="2"/>
  <c r="H59" i="2"/>
  <c r="I59" i="2"/>
  <c r="D58" i="2"/>
  <c r="E58" i="2"/>
  <c r="F55" i="2"/>
  <c r="G55" i="2"/>
  <c r="H55" i="2"/>
  <c r="I55" i="2"/>
  <c r="F54" i="2"/>
  <c r="G54" i="2"/>
  <c r="H54" i="2"/>
  <c r="I54" i="2"/>
  <c r="D53" i="2"/>
  <c r="E53" i="2"/>
  <c r="D52" i="2"/>
  <c r="E52" i="2"/>
  <c r="D51" i="2"/>
  <c r="E51" i="2"/>
  <c r="D47" i="2"/>
  <c r="E47" i="2"/>
  <c r="E30" i="2"/>
  <c r="D32" i="2"/>
  <c r="E32" i="2"/>
  <c r="F38" i="2"/>
  <c r="G38" i="2"/>
  <c r="H38" i="2"/>
  <c r="I38" i="2"/>
  <c r="F37" i="2"/>
  <c r="G37" i="2"/>
  <c r="H37" i="2"/>
  <c r="I37" i="2"/>
  <c r="D35" i="2"/>
  <c r="E35" i="2"/>
  <c r="F35" i="2"/>
  <c r="G35" i="2"/>
  <c r="H35" i="2"/>
  <c r="I35" i="2"/>
  <c r="I34" i="2"/>
  <c r="F34" i="2"/>
  <c r="G34" i="2"/>
  <c r="H34" i="2"/>
  <c r="D34" i="2"/>
  <c r="E34" i="2"/>
  <c r="D25" i="2"/>
  <c r="D26" i="2" s="1"/>
  <c r="E25" i="2"/>
  <c r="E26" i="2" s="1"/>
  <c r="D21" i="2" l="1"/>
  <c r="E21" i="2"/>
  <c r="D22" i="2"/>
  <c r="E22" i="2"/>
  <c r="D19" i="2"/>
  <c r="D42" i="2" s="1"/>
  <c r="D43" i="2" s="1"/>
  <c r="D37" i="2" s="1"/>
  <c r="E19" i="2"/>
  <c r="D12" i="2"/>
  <c r="E12" i="2"/>
  <c r="D5" i="2"/>
  <c r="D50" i="2" s="1"/>
  <c r="E5" i="2"/>
  <c r="E8" i="2" s="1"/>
  <c r="D8" i="2" l="1"/>
  <c r="D44" i="2"/>
  <c r="E20" i="2"/>
  <c r="E59" i="2" s="1"/>
  <c r="D20" i="2"/>
  <c r="D54" i="2" s="1"/>
  <c r="D46" i="2"/>
  <c r="D38" i="2"/>
  <c r="D59" i="2"/>
  <c r="E14" i="2"/>
  <c r="E44" i="2"/>
  <c r="E42" i="2"/>
  <c r="E43" i="2" s="1"/>
  <c r="E37" i="2" s="1"/>
  <c r="E48" i="2"/>
  <c r="E7" i="2"/>
  <c r="E50" i="2"/>
  <c r="D11" i="2"/>
  <c r="D15" i="2"/>
  <c r="D48" i="2"/>
  <c r="E31" i="2"/>
  <c r="E38" i="2" s="1"/>
  <c r="E55" i="2"/>
  <c r="E10" i="2"/>
  <c r="E46" i="2"/>
  <c r="E11" i="2"/>
  <c r="E15" i="2"/>
  <c r="C56" i="2"/>
  <c r="B56" i="2"/>
  <c r="C50" i="2"/>
  <c r="B50" i="2"/>
  <c r="C48" i="2"/>
  <c r="B48" i="2"/>
  <c r="C46" i="2"/>
  <c r="C45" i="2" s="1"/>
  <c r="B46" i="2"/>
  <c r="C44" i="2"/>
  <c r="B44" i="2"/>
  <c r="C42" i="2"/>
  <c r="C43" i="2" s="1"/>
  <c r="C37" i="2" s="1"/>
  <c r="B42" i="2"/>
  <c r="B43" i="2" s="1"/>
  <c r="B37" i="2" s="1"/>
  <c r="C35" i="2"/>
  <c r="B35" i="2"/>
  <c r="C34" i="2"/>
  <c r="B34" i="2"/>
  <c r="C30" i="2"/>
  <c r="B30" i="2"/>
  <c r="C26" i="2"/>
  <c r="B26" i="2"/>
  <c r="C20" i="2"/>
  <c r="C59" i="2" s="1"/>
  <c r="B20" i="2"/>
  <c r="B59" i="2" s="1"/>
  <c r="C15" i="2"/>
  <c r="B15" i="2"/>
  <c r="C14" i="2"/>
  <c r="C11" i="2"/>
  <c r="B11" i="2"/>
  <c r="C10" i="2"/>
  <c r="C7" i="2"/>
  <c r="L68" i="1"/>
  <c r="D55" i="2" l="1"/>
  <c r="E54" i="2"/>
  <c r="C31" i="2"/>
  <c r="C38" i="2" s="1"/>
  <c r="B45" i="2"/>
  <c r="B31" i="2"/>
  <c r="B38" i="2" s="1"/>
  <c r="E45" i="2"/>
  <c r="E57" i="2"/>
  <c r="E56" i="2" s="1"/>
  <c r="B54" i="2"/>
  <c r="C54" i="2"/>
  <c r="D45" i="2"/>
  <c r="D57" i="2"/>
  <c r="D56" i="2" s="1"/>
  <c r="B55" i="2"/>
  <c r="C55" i="2"/>
  <c r="F57" i="1"/>
  <c r="E57" i="1"/>
  <c r="D57" i="1"/>
  <c r="C57" i="1"/>
  <c r="P54" i="1" l="1"/>
  <c r="P57" i="1" s="1"/>
  <c r="O54" i="1"/>
  <c r="O57" i="1" s="1"/>
  <c r="N54" i="1"/>
  <c r="N57" i="1" s="1"/>
  <c r="M54" i="1"/>
  <c r="M57" i="1" s="1"/>
  <c r="L54" i="1"/>
  <c r="L57" i="1" s="1"/>
  <c r="N64" i="1"/>
  <c r="O64" i="1"/>
  <c r="M64" i="1"/>
  <c r="L64" i="1"/>
  <c r="O65" i="1"/>
  <c r="G59" i="1" l="1"/>
  <c r="G51" i="1"/>
  <c r="G53" i="1" s="1"/>
  <c r="G46" i="1"/>
  <c r="P11" i="1"/>
  <c r="P63" i="1" s="1"/>
  <c r="P55" i="1"/>
  <c r="P58" i="1" s="1"/>
  <c r="P70" i="1" l="1"/>
  <c r="P62" i="1"/>
  <c r="G58" i="1"/>
  <c r="G60" i="1" s="1"/>
  <c r="P59" i="1" s="1"/>
  <c r="F37" i="1"/>
  <c r="E37" i="1"/>
  <c r="F36" i="1"/>
  <c r="E36" i="1"/>
  <c r="D36" i="1"/>
  <c r="F7" i="1"/>
  <c r="F6" i="1"/>
  <c r="E6" i="1"/>
  <c r="D6" i="1"/>
  <c r="F59" i="1"/>
  <c r="E59" i="1"/>
  <c r="D59" i="1"/>
  <c r="C59" i="1"/>
  <c r="L11" i="1"/>
  <c r="M11" i="1"/>
  <c r="D58" i="1" s="1"/>
  <c r="L7" i="1"/>
  <c r="M7" i="1"/>
  <c r="L24" i="1"/>
  <c r="L42" i="1" s="1"/>
  <c r="L69" i="1" s="1"/>
  <c r="M24" i="1"/>
  <c r="M42" i="1" s="1"/>
  <c r="M15" i="1"/>
  <c r="C51" i="1"/>
  <c r="C53" i="1" s="1"/>
  <c r="D51" i="1"/>
  <c r="D53" i="1" s="1"/>
  <c r="C46" i="1"/>
  <c r="D46" i="1"/>
  <c r="E46" i="1"/>
  <c r="C8" i="1"/>
  <c r="C15" i="1" s="1"/>
  <c r="L71" i="1" s="1"/>
  <c r="D8" i="1"/>
  <c r="E51" i="1"/>
  <c r="E53" i="1" s="1"/>
  <c r="F51" i="1"/>
  <c r="F53" i="1" s="1"/>
  <c r="F46" i="1"/>
  <c r="F47" i="1" s="1"/>
  <c r="G42" i="1" s="1"/>
  <c r="G47" i="1" s="1"/>
  <c r="O11" i="1"/>
  <c r="O63" i="1" s="1"/>
  <c r="N11" i="1"/>
  <c r="N15" i="1"/>
  <c r="O15" i="1"/>
  <c r="O48" i="1" s="1"/>
  <c r="N7" i="1"/>
  <c r="N24" i="1"/>
  <c r="N42" i="1" s="1"/>
  <c r="E8" i="1"/>
  <c r="F8" i="1"/>
  <c r="H42" i="1" l="1"/>
  <c r="H47" i="1" s="1"/>
  <c r="I42" i="1" s="1"/>
  <c r="N48" i="1"/>
  <c r="N13" i="1" s="1"/>
  <c r="N12" i="1"/>
  <c r="N49" i="1"/>
  <c r="M12" i="1"/>
  <c r="M49" i="1"/>
  <c r="N63" i="1"/>
  <c r="L12" i="1"/>
  <c r="L61" i="1" s="1"/>
  <c r="L49" i="1"/>
  <c r="O55" i="1"/>
  <c r="O58" i="1" s="1"/>
  <c r="N55" i="1"/>
  <c r="N58" i="1" s="1"/>
  <c r="L55" i="1"/>
  <c r="L58" i="1" s="1"/>
  <c r="M55" i="1"/>
  <c r="M58" i="1" s="1"/>
  <c r="D60" i="1"/>
  <c r="M48" i="1"/>
  <c r="M13" i="1" s="1"/>
  <c r="L48" i="1"/>
  <c r="L13" i="1" s="1"/>
  <c r="C18" i="1"/>
  <c r="C24" i="1"/>
  <c r="L63" i="1"/>
  <c r="L62" i="1"/>
  <c r="L70" i="1"/>
  <c r="F15" i="1"/>
  <c r="I17" i="1" s="1"/>
  <c r="C58" i="1"/>
  <c r="C60" i="1" s="1"/>
  <c r="L59" i="1" s="1"/>
  <c r="E15" i="1"/>
  <c r="N62" i="1"/>
  <c r="N70" i="1"/>
  <c r="D15" i="1"/>
  <c r="M71" i="1" s="1"/>
  <c r="M62" i="1"/>
  <c r="M63" i="1"/>
  <c r="M70" i="1"/>
  <c r="E58" i="1"/>
  <c r="E60" i="1" s="1"/>
  <c r="O62" i="1"/>
  <c r="O70" i="1"/>
  <c r="F58" i="1"/>
  <c r="F60" i="1" s="1"/>
  <c r="O13" i="1"/>
  <c r="N71" i="1" l="1"/>
  <c r="H17" i="1"/>
  <c r="F24" i="1"/>
  <c r="F27" i="1" s="1"/>
  <c r="O71" i="1"/>
  <c r="O61" i="1"/>
  <c r="P68" i="1"/>
  <c r="E24" i="1"/>
  <c r="E27" i="1" s="1"/>
  <c r="O59" i="1"/>
  <c r="M61" i="1"/>
  <c r="F18" i="1"/>
  <c r="O68" i="1"/>
  <c r="N59" i="1"/>
  <c r="P61" i="1"/>
  <c r="G17" i="1"/>
  <c r="G16" i="1"/>
  <c r="M68" i="1"/>
  <c r="N61" i="1"/>
  <c r="N68" i="1"/>
  <c r="F16" i="1"/>
  <c r="F17" i="1"/>
  <c r="E18" i="1"/>
  <c r="E16" i="1"/>
  <c r="E17" i="1"/>
  <c r="C26" i="1"/>
  <c r="C27" i="1"/>
  <c r="D18" i="1"/>
  <c r="D16" i="1"/>
  <c r="D24" i="1"/>
  <c r="M59" i="1"/>
  <c r="G18" i="1"/>
  <c r="F28" i="1" l="1"/>
  <c r="F26" i="1"/>
  <c r="E32" i="1"/>
  <c r="H34" i="1" s="1"/>
  <c r="H29" i="1"/>
  <c r="E26" i="1"/>
  <c r="F32" i="1"/>
  <c r="E28" i="1"/>
  <c r="P60" i="1"/>
  <c r="D27" i="1"/>
  <c r="G29" i="1" s="1"/>
  <c r="D26" i="1"/>
  <c r="L60" i="1"/>
  <c r="C32" i="1"/>
  <c r="C28" i="1"/>
  <c r="E29" i="1"/>
  <c r="O60" i="1"/>
  <c r="F29" i="1"/>
  <c r="G28" i="1"/>
  <c r="E34" i="1" l="1"/>
  <c r="F33" i="1"/>
  <c r="G33" i="1"/>
  <c r="F34" i="1"/>
  <c r="M60" i="1"/>
  <c r="D28" i="1"/>
  <c r="D32" i="1"/>
  <c r="G34" i="1" s="1"/>
  <c r="D33" i="1" l="1"/>
  <c r="E33" i="1"/>
</calcChain>
</file>

<file path=xl/sharedStrings.xml><?xml version="1.0" encoding="utf-8"?>
<sst xmlns="http://schemas.openxmlformats.org/spreadsheetml/2006/main" count="303" uniqueCount="166">
  <si>
    <t>Y/E, Mar (Rs. mn)</t>
  </si>
  <si>
    <t>Income</t>
  </si>
  <si>
    <t>Growth (%)</t>
  </si>
  <si>
    <t>CAGR (%) - 3 Years</t>
  </si>
  <si>
    <t>Expenditure</t>
  </si>
  <si>
    <t>Employee Benefit Expense</t>
  </si>
  <si>
    <t>Other Expenses</t>
  </si>
  <si>
    <t>EBITDA</t>
  </si>
  <si>
    <t>EBITDA margin (%)</t>
  </si>
  <si>
    <t>Other Income</t>
  </si>
  <si>
    <t>Depreciation</t>
  </si>
  <si>
    <t>Interest</t>
  </si>
  <si>
    <t>Excp Item</t>
  </si>
  <si>
    <t>Share of profit of associate</t>
  </si>
  <si>
    <t>PBT</t>
  </si>
  <si>
    <t>Tax</t>
  </si>
  <si>
    <t>Effective tax rate (%)</t>
  </si>
  <si>
    <t>PAT</t>
  </si>
  <si>
    <t>PAT margin (%)</t>
  </si>
  <si>
    <t>Minority Interest</t>
  </si>
  <si>
    <t>Other Comprehensive Income</t>
  </si>
  <si>
    <t>PAT After MI</t>
  </si>
  <si>
    <t>EPS</t>
  </si>
  <si>
    <t>FY18</t>
  </si>
  <si>
    <t>FY19</t>
  </si>
  <si>
    <t>FY20</t>
  </si>
  <si>
    <t>FY21</t>
  </si>
  <si>
    <t>Consolidated Income Statement</t>
  </si>
  <si>
    <t>Share Capital</t>
  </si>
  <si>
    <t>Reserves &amp; Surplus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</si>
  <si>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</si>
  <si>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</si>
  <si>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</si>
  <si>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</si>
  <si>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</si>
  <si>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</si>
  <si>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Consolidated Balance Sheet</t>
  </si>
  <si>
    <t>NON-CURRENT ASSETS</t>
  </si>
  <si>
    <t>Property, plant &amp; equipment</t>
  </si>
  <si>
    <t>Financial assets</t>
  </si>
  <si>
    <t>CURRENT ASSETS, LOANS &amp; ADVANCES</t>
  </si>
  <si>
    <t>Inventories</t>
  </si>
  <si>
    <t>(ii) Trade Receivable</t>
  </si>
  <si>
    <t>(iii) Cash and cash equivalents</t>
  </si>
  <si>
    <t>(iv) Other bank balances</t>
  </si>
  <si>
    <t>(v) Loans and Advance</t>
  </si>
  <si>
    <t>Other Current Assets</t>
  </si>
  <si>
    <t>CURRENT LIABILITIES &amp; PROVISIONS</t>
  </si>
  <si>
    <t>Trade Payables</t>
  </si>
  <si>
    <t>Other Financial liabilities</t>
  </si>
  <si>
    <t>Other Current liabilities</t>
  </si>
  <si>
    <t>Liabilities for current tax (net)    </t>
  </si>
  <si>
    <t>NET CURRENT ASSETS</t>
  </si>
  <si>
    <t>Deferred Tax Liability</t>
  </si>
  <si>
    <t>Other non-current liabilities</t>
  </si>
  <si>
    <t>TOTAL ASSETS</t>
  </si>
  <si>
    <t>TOTAL LIABILITIES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</si>
  <si>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</si>
  <si>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</si>
  <si>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</si>
  <si>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</si>
  <si>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</si>
  <si>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</si>
  <si>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</si>
  <si>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</si>
  <si>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</si>
  <si>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</si>
  <si>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</si>
  <si>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</si>
  <si>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</si>
  <si>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</si>
  <si>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</si>
  <si>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</si>
  <si>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</si>
  <si>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</si>
  <si>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</si>
  <si>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Interest Coverage</t>
  </si>
  <si>
    <t>Key Ratios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</si>
  <si>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</si>
  <si>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</si>
  <si>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</si>
  <si>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</si>
  <si>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</si>
  <si>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</si>
  <si>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Cash Flow Statement</t>
  </si>
  <si>
    <t>Our Calculations</t>
  </si>
  <si>
    <t xml:space="preserve">Operating Cash Inflow </t>
  </si>
  <si>
    <t>Capital Expenditure</t>
  </si>
  <si>
    <t>FCF</t>
  </si>
  <si>
    <t>No. of Shares</t>
  </si>
  <si>
    <t>Market Cap</t>
  </si>
  <si>
    <t>Total Debt</t>
  </si>
  <si>
    <t>Cash</t>
  </si>
  <si>
    <t>EV</t>
  </si>
  <si>
    <t>Cost of Material Comsumed</t>
  </si>
  <si>
    <t>Purchase of Traded goods</t>
  </si>
  <si>
    <t>Stock in trade</t>
  </si>
  <si>
    <t>Manufacturing &amp; other operational expense</t>
  </si>
  <si>
    <t>Intangible Assets</t>
  </si>
  <si>
    <t>Capital Work-in-progress</t>
  </si>
  <si>
    <t>Provisions</t>
  </si>
  <si>
    <t>Other Financial Liabilities</t>
  </si>
  <si>
    <t>(ii) Investments</t>
  </si>
  <si>
    <t>Long term provision</t>
  </si>
  <si>
    <t>Mallcom (India) Limited</t>
  </si>
  <si>
    <t>-</t>
  </si>
  <si>
    <t>Y/E, Mar (Rs. Mn)</t>
  </si>
  <si>
    <t>Paticulars</t>
  </si>
  <si>
    <t>FY22</t>
  </si>
  <si>
    <t>Consolidated (In Mn)</t>
  </si>
  <si>
    <t>Phoenix Mills</t>
  </si>
  <si>
    <t>P&amp;L Comparison</t>
  </si>
  <si>
    <t>Total Income/Operational Income</t>
  </si>
  <si>
    <t>Total Income/Operational Income 2019 (FY21 -AR)</t>
  </si>
  <si>
    <t>3 Years CAGR (%)</t>
  </si>
  <si>
    <t xml:space="preserve">EBITDA </t>
  </si>
  <si>
    <t>EBITDA 2019(Calculate from ARFY21/Ratestar)</t>
  </si>
  <si>
    <t>EBITDA Margin (%)</t>
  </si>
  <si>
    <t>PAT 2019 (FY21-AR)</t>
  </si>
  <si>
    <t>PAT Margin (%)</t>
  </si>
  <si>
    <t>Balance Sheet Comparision</t>
  </si>
  <si>
    <t>Total Networth (Total Equity)</t>
  </si>
  <si>
    <t>Long Term</t>
  </si>
  <si>
    <t>Short Term</t>
  </si>
  <si>
    <t>Cash Flow</t>
  </si>
  <si>
    <t>CFO</t>
  </si>
  <si>
    <t>Purchase of Plant &amp; Machinery</t>
  </si>
  <si>
    <t>No. of Shares (In Mn)</t>
  </si>
  <si>
    <t>Enterprise Value</t>
  </si>
  <si>
    <t>Cash &amp; Cash Equvivalents</t>
  </si>
  <si>
    <t>Stock P/E</t>
  </si>
  <si>
    <t>Dividend (Total= interim + Final)</t>
  </si>
  <si>
    <t>P/B</t>
  </si>
  <si>
    <t>EV/ EBITDA</t>
  </si>
  <si>
    <t>Operational Ratios Comparison</t>
  </si>
  <si>
    <t>CMP (As on 31st March FY21 &amp; FY22)</t>
  </si>
  <si>
    <t>Book Value</t>
  </si>
  <si>
    <t>Book Value Per Share</t>
  </si>
  <si>
    <t>ROE</t>
  </si>
  <si>
    <t>ROCE</t>
  </si>
  <si>
    <t>EBIT</t>
  </si>
  <si>
    <t>Capital Employeed</t>
  </si>
  <si>
    <t>Non Current Liabilities</t>
  </si>
  <si>
    <t>Fixed Asset Turnover</t>
  </si>
  <si>
    <t>PPE -Balance Sheet</t>
  </si>
  <si>
    <t>CWIP - Balance Sheet</t>
  </si>
  <si>
    <t>Investment- Balance Sheet</t>
  </si>
  <si>
    <t>Gross Debt/Equity</t>
  </si>
  <si>
    <t>Net Debt/Equity</t>
  </si>
  <si>
    <t>Interest Coverage Ratio</t>
  </si>
  <si>
    <t>Finance Cost</t>
  </si>
  <si>
    <t>Interest Cost (%)</t>
  </si>
  <si>
    <t>Mallcom</t>
  </si>
  <si>
    <t>Arvind</t>
  </si>
  <si>
    <t>Bata</t>
  </si>
  <si>
    <t>Liberty Shoes</t>
  </si>
  <si>
    <t>Asset Turnover Ratio</t>
  </si>
  <si>
    <t xml:space="preserve">  (i) Loans</t>
  </si>
  <si>
    <t>Non Current Tax Assets (Net)</t>
  </si>
  <si>
    <t xml:space="preserve">  (i) Investments</t>
  </si>
  <si>
    <t xml:space="preserve">  (vi) Others</t>
  </si>
  <si>
    <t>NA</t>
  </si>
  <si>
    <t>NON CURRENT LIABILITIES</t>
  </si>
  <si>
    <t>FY23</t>
  </si>
  <si>
    <t>Market Cap (Rs. Mn)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</si>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</sst>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0.0%"/>
    <numFmt numFmtId="166" formatCode="_ * #,##0_ ;_ * \-#,##0_ ;_ * &quot;-&quot;??_ ;_ @_ "/>
    <numFmt numFmtId="167" formatCode="0.000"/>
    <numFmt numFmtId="168" formatCode="_ * #,##0.000_ ;_ * \-#,##0.000_ ;_ * &quot;-&quot;??_ ;_ @_ "/>
    <numFmt numFmtId="169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sz val="10"/>
      <name val="Tahoma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8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6" xfId="0" applyBorder="1"/>
    <xf numFmtId="0" fontId="0" fillId="0" borderId="7" xfId="0" applyBorder="1"/>
    <xf numFmtId="0" fontId="5" fillId="0" borderId="6" xfId="0" applyFont="1" applyBorder="1"/>
    <xf numFmtId="166" fontId="0" fillId="0" borderId="6" xfId="1" applyNumberFormat="1" applyFont="1" applyFill="1" applyBorder="1"/>
    <xf numFmtId="166" fontId="0" fillId="0" borderId="6" xfId="1" applyNumberFormat="1" applyFont="1" applyBorder="1"/>
    <xf numFmtId="166" fontId="0" fillId="0" borderId="7" xfId="1" applyNumberFormat="1" applyFont="1" applyBorder="1"/>
    <xf numFmtId="0" fontId="0" fillId="0" borderId="6" xfId="0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43" fontId="0" fillId="0" borderId="6" xfId="1" applyFont="1" applyBorder="1" applyAlignment="1">
      <alignment horizontal="right"/>
    </xf>
    <xf numFmtId="10" fontId="9" fillId="0" borderId="6" xfId="2" applyNumberFormat="1" applyFont="1" applyFill="1" applyBorder="1"/>
    <xf numFmtId="10" fontId="9" fillId="0" borderId="6" xfId="2" applyNumberFormat="1" applyFont="1" applyBorder="1"/>
    <xf numFmtId="10" fontId="0" fillId="0" borderId="6" xfId="2" applyNumberFormat="1" applyFont="1" applyBorder="1"/>
    <xf numFmtId="43" fontId="0" fillId="0" borderId="6" xfId="1" applyFont="1" applyBorder="1"/>
    <xf numFmtId="43" fontId="0" fillId="0" borderId="7" xfId="1" applyFont="1" applyBorder="1"/>
    <xf numFmtId="166" fontId="0" fillId="0" borderId="6" xfId="0" applyNumberFormat="1" applyBorder="1"/>
    <xf numFmtId="2" fontId="0" fillId="0" borderId="6" xfId="0" applyNumberFormat="1" applyBorder="1"/>
    <xf numFmtId="43" fontId="0" fillId="0" borderId="6" xfId="0" applyNumberFormat="1" applyBorder="1"/>
    <xf numFmtId="10" fontId="0" fillId="0" borderId="6" xfId="2" applyNumberFormat="1" applyFont="1" applyFill="1" applyBorder="1"/>
    <xf numFmtId="43" fontId="0" fillId="0" borderId="6" xfId="1" applyFont="1" applyFill="1" applyBorder="1"/>
    <xf numFmtId="0" fontId="0" fillId="0" borderId="6" xfId="2" applyNumberFormat="1" applyFont="1" applyFill="1" applyBorder="1"/>
    <xf numFmtId="10" fontId="0" fillId="0" borderId="6" xfId="1" applyNumberFormat="1" applyFont="1" applyBorder="1"/>
    <xf numFmtId="10" fontId="0" fillId="0" borderId="7" xfId="2" applyNumberFormat="1" applyFont="1" applyBorder="1"/>
    <xf numFmtId="10" fontId="0" fillId="0" borderId="7" xfId="1" applyNumberFormat="1" applyFont="1" applyBorder="1"/>
    <xf numFmtId="166" fontId="0" fillId="0" borderId="6" xfId="2" applyNumberFormat="1" applyFont="1" applyFill="1" applyBorder="1"/>
    <xf numFmtId="2" fontId="0" fillId="0" borderId="6" xfId="2" applyNumberFormat="1" applyFont="1" applyBorder="1"/>
    <xf numFmtId="0" fontId="0" fillId="0" borderId="8" xfId="0" applyBorder="1"/>
    <xf numFmtId="0" fontId="0" fillId="0" borderId="8" xfId="2" applyNumberFormat="1" applyFont="1" applyFill="1" applyBorder="1"/>
    <xf numFmtId="10" fontId="0" fillId="0" borderId="9" xfId="2" applyNumberFormat="1" applyFont="1" applyBorder="1"/>
    <xf numFmtId="0" fontId="0" fillId="0" borderId="6" xfId="2" applyNumberFormat="1" applyFont="1" applyBorder="1"/>
    <xf numFmtId="10" fontId="0" fillId="0" borderId="8" xfId="2" applyNumberFormat="1" applyFont="1" applyFill="1" applyBorder="1"/>
    <xf numFmtId="0" fontId="0" fillId="0" borderId="6" xfId="1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2" fillId="2" borderId="15" xfId="0" applyFont="1" applyFill="1" applyBorder="1"/>
    <xf numFmtId="0" fontId="3" fillId="2" borderId="15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0" borderId="17" xfId="0" applyFont="1" applyBorder="1"/>
    <xf numFmtId="0" fontId="4" fillId="0" borderId="17" xfId="0" applyFont="1" applyBorder="1"/>
    <xf numFmtId="0" fontId="2" fillId="2" borderId="16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" fillId="2" borderId="10" xfId="0" applyFont="1" applyFill="1" applyBorder="1"/>
    <xf numFmtId="0" fontId="0" fillId="4" borderId="0" xfId="0" applyFill="1"/>
    <xf numFmtId="0" fontId="1" fillId="2" borderId="20" xfId="0" applyFont="1" applyFill="1" applyBorder="1"/>
    <xf numFmtId="2" fontId="0" fillId="0" borderId="0" xfId="0" applyNumberFormat="1"/>
    <xf numFmtId="167" fontId="0" fillId="0" borderId="0" xfId="0" applyNumberFormat="1"/>
    <xf numFmtId="0" fontId="4" fillId="0" borderId="26" xfId="0" applyFont="1" applyBorder="1" applyAlignment="1">
      <alignment horizontal="left" indent="1"/>
    </xf>
    <xf numFmtId="0" fontId="1" fillId="2" borderId="19" xfId="0" applyFont="1" applyFill="1" applyBorder="1"/>
    <xf numFmtId="3" fontId="0" fillId="0" borderId="0" xfId="0" applyNumberFormat="1"/>
    <xf numFmtId="43" fontId="1" fillId="0" borderId="21" xfId="1" applyFont="1" applyBorder="1" applyAlignment="1">
      <alignment horizontal="right"/>
    </xf>
    <xf numFmtId="168" fontId="0" fillId="0" borderId="0" xfId="0" applyNumberFormat="1"/>
    <xf numFmtId="43" fontId="0" fillId="0" borderId="29" xfId="1" applyFont="1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1" fillId="0" borderId="30" xfId="0" applyFont="1" applyBorder="1"/>
    <xf numFmtId="0" fontId="0" fillId="0" borderId="24" xfId="0" applyBorder="1"/>
    <xf numFmtId="0" fontId="0" fillId="0" borderId="25" xfId="0" applyBorder="1"/>
    <xf numFmtId="0" fontId="1" fillId="2" borderId="18" xfId="0" applyFont="1" applyFill="1" applyBorder="1"/>
    <xf numFmtId="2" fontId="1" fillId="0" borderId="30" xfId="0" applyNumberFormat="1" applyFont="1" applyBorder="1"/>
    <xf numFmtId="2" fontId="0" fillId="0" borderId="24" xfId="0" applyNumberFormat="1" applyBorder="1"/>
    <xf numFmtId="2" fontId="0" fillId="0" borderId="25" xfId="0" applyNumberFormat="1" applyBorder="1"/>
    <xf numFmtId="2" fontId="1" fillId="2" borderId="18" xfId="0" applyNumberFormat="1" applyFont="1" applyFill="1" applyBorder="1"/>
    <xf numFmtId="0" fontId="1" fillId="0" borderId="17" xfId="0" applyFont="1" applyBorder="1"/>
    <xf numFmtId="0" fontId="1" fillId="0" borderId="31" xfId="0" applyFont="1" applyBorder="1"/>
    <xf numFmtId="2" fontId="1" fillId="0" borderId="31" xfId="0" applyNumberFormat="1" applyFont="1" applyBorder="1"/>
    <xf numFmtId="3" fontId="0" fillId="0" borderId="17" xfId="0" applyNumberFormat="1" applyBorder="1"/>
    <xf numFmtId="4" fontId="0" fillId="2" borderId="15" xfId="0" applyNumberFormat="1" applyFill="1" applyBorder="1"/>
    <xf numFmtId="4" fontId="0" fillId="0" borderId="15" xfId="0" applyNumberFormat="1" applyBorder="1"/>
    <xf numFmtId="4" fontId="0" fillId="2" borderId="16" xfId="0" applyNumberFormat="1" applyFill="1" applyBorder="1"/>
    <xf numFmtId="3" fontId="0" fillId="0" borderId="31" xfId="0" applyNumberFormat="1" applyBorder="1"/>
    <xf numFmtId="4" fontId="0" fillId="2" borderId="24" xfId="0" applyNumberFormat="1" applyFill="1" applyBorder="1"/>
    <xf numFmtId="4" fontId="0" fillId="0" borderId="24" xfId="0" applyNumberFormat="1" applyBorder="1"/>
    <xf numFmtId="4" fontId="0" fillId="2" borderId="25" xfId="0" applyNumberFormat="1" applyFill="1" applyBorder="1"/>
    <xf numFmtId="164" fontId="0" fillId="2" borderId="15" xfId="0" applyNumberFormat="1" applyFill="1" applyBorder="1"/>
    <xf numFmtId="10" fontId="0" fillId="2" borderId="15" xfId="0" applyNumberFormat="1" applyFill="1" applyBorder="1"/>
    <xf numFmtId="1" fontId="0" fillId="2" borderId="15" xfId="0" applyNumberFormat="1" applyFill="1" applyBorder="1"/>
    <xf numFmtId="2" fontId="0" fillId="2" borderId="16" xfId="0" applyNumberFormat="1" applyFill="1" applyBorder="1"/>
    <xf numFmtId="10" fontId="0" fillId="2" borderId="24" xfId="0" applyNumberFormat="1" applyFill="1" applyBorder="1"/>
    <xf numFmtId="1" fontId="0" fillId="2" borderId="24" xfId="0" applyNumberFormat="1" applyFill="1" applyBorder="1"/>
    <xf numFmtId="2" fontId="0" fillId="2" borderId="25" xfId="0" applyNumberFormat="1" applyFill="1" applyBorder="1"/>
    <xf numFmtId="43" fontId="0" fillId="0" borderId="14" xfId="1" applyFont="1" applyBorder="1"/>
    <xf numFmtId="43" fontId="0" fillId="0" borderId="30" xfId="1" applyFont="1" applyBorder="1"/>
    <xf numFmtId="43" fontId="0" fillId="0" borderId="16" xfId="1" applyFont="1" applyBorder="1"/>
    <xf numFmtId="43" fontId="0" fillId="0" borderId="25" xfId="1" applyFont="1" applyBorder="1"/>
    <xf numFmtId="43" fontId="1" fillId="2" borderId="19" xfId="1" applyFont="1" applyFill="1" applyBorder="1"/>
    <xf numFmtId="43" fontId="1" fillId="2" borderId="18" xfId="1" applyFont="1" applyFill="1" applyBorder="1"/>
    <xf numFmtId="43" fontId="0" fillId="0" borderId="31" xfId="1" applyFont="1" applyBorder="1"/>
    <xf numFmtId="43" fontId="0" fillId="0" borderId="15" xfId="1" applyFont="1" applyBorder="1"/>
    <xf numFmtId="43" fontId="0" fillId="0" borderId="24" xfId="1" applyFont="1" applyBorder="1"/>
    <xf numFmtId="43" fontId="8" fillId="2" borderId="18" xfId="1" applyFont="1" applyFill="1" applyBorder="1"/>
    <xf numFmtId="43" fontId="1" fillId="0" borderId="14" xfId="1" applyFont="1" applyBorder="1"/>
    <xf numFmtId="0" fontId="7" fillId="2" borderId="15" xfId="0" applyFont="1" applyFill="1" applyBorder="1"/>
    <xf numFmtId="43" fontId="1" fillId="2" borderId="15" xfId="1" applyFont="1" applyFill="1" applyBorder="1"/>
    <xf numFmtId="43" fontId="7" fillId="2" borderId="15" xfId="1" applyFont="1" applyFill="1" applyBorder="1"/>
    <xf numFmtId="10" fontId="1" fillId="2" borderId="15" xfId="2" applyNumberFormat="1" applyFont="1" applyFill="1" applyBorder="1"/>
    <xf numFmtId="10" fontId="0" fillId="2" borderId="15" xfId="2" applyNumberFormat="1" applyFont="1" applyFill="1" applyBorder="1"/>
    <xf numFmtId="43" fontId="0" fillId="0" borderId="15" xfId="1" applyFont="1" applyBorder="1" applyAlignment="1">
      <alignment horizontal="right"/>
    </xf>
    <xf numFmtId="43" fontId="1" fillId="0" borderId="15" xfId="1" applyFont="1" applyBorder="1"/>
    <xf numFmtId="43" fontId="7" fillId="2" borderId="16" xfId="1" applyFont="1" applyFill="1" applyBorder="1"/>
    <xf numFmtId="10" fontId="7" fillId="2" borderId="15" xfId="2" applyNumberFormat="1" applyFont="1" applyFill="1" applyBorder="1"/>
    <xf numFmtId="43" fontId="1" fillId="0" borderId="30" xfId="1" applyFont="1" applyBorder="1"/>
    <xf numFmtId="10" fontId="7" fillId="2" borderId="24" xfId="0" applyNumberFormat="1" applyFont="1" applyFill="1" applyBorder="1"/>
    <xf numFmtId="43" fontId="1" fillId="2" borderId="24" xfId="1" applyFont="1" applyFill="1" applyBorder="1"/>
    <xf numFmtId="10" fontId="7" fillId="2" borderId="24" xfId="2" applyNumberFormat="1" applyFont="1" applyFill="1" applyBorder="1"/>
    <xf numFmtId="10" fontId="1" fillId="2" borderId="24" xfId="2" applyNumberFormat="1" applyFont="1" applyFill="1" applyBorder="1"/>
    <xf numFmtId="43" fontId="0" fillId="0" borderId="24" xfId="1" applyFont="1" applyBorder="1" applyAlignment="1">
      <alignment horizontal="right"/>
    </xf>
    <xf numFmtId="10" fontId="0" fillId="2" borderId="24" xfId="2" applyNumberFormat="1" applyFont="1" applyFill="1" applyBorder="1"/>
    <xf numFmtId="43" fontId="1" fillId="0" borderId="24" xfId="1" applyFont="1" applyBorder="1"/>
    <xf numFmtId="10" fontId="7" fillId="2" borderId="25" xfId="2" applyNumberFormat="1" applyFont="1" applyFill="1" applyBorder="1"/>
    <xf numFmtId="43" fontId="1" fillId="2" borderId="24" xfId="1" applyFont="1" applyFill="1" applyBorder="1" applyAlignment="1">
      <alignment horizontal="right"/>
    </xf>
    <xf numFmtId="10" fontId="1" fillId="2" borderId="24" xfId="2" applyNumberFormat="1" applyFont="1" applyFill="1" applyBorder="1" applyAlignment="1">
      <alignment horizontal="right"/>
    </xf>
    <xf numFmtId="10" fontId="0" fillId="2" borderId="24" xfId="2" applyNumberFormat="1" applyFont="1" applyFill="1" applyBorder="1" applyAlignment="1">
      <alignment horizontal="right"/>
    </xf>
    <xf numFmtId="43" fontId="1" fillId="0" borderId="24" xfId="1" applyFont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9" fontId="0" fillId="0" borderId="0" xfId="2" applyFont="1"/>
    <xf numFmtId="43" fontId="0" fillId="0" borderId="31" xfId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2" fontId="0" fillId="0" borderId="15" xfId="0" applyNumberFormat="1" applyBorder="1"/>
    <xf numFmtId="2" fontId="1" fillId="2" borderId="16" xfId="0" applyNumberFormat="1" applyFont="1" applyFill="1" applyBorder="1"/>
    <xf numFmtId="0" fontId="12" fillId="0" borderId="0" xfId="0" applyFont="1" applyAlignment="1">
      <alignment horizontal="right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8" fontId="0" fillId="0" borderId="24" xfId="1" applyNumberFormat="1" applyFont="1" applyBorder="1" applyAlignment="1">
      <alignment horizontal="right"/>
    </xf>
    <xf numFmtId="0" fontId="4" fillId="0" borderId="14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2" fillId="2" borderId="19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4" fillId="0" borderId="26" xfId="0" applyFont="1" applyBorder="1" applyAlignment="1">
      <alignment horizontal="left" indent="2"/>
    </xf>
    <xf numFmtId="0" fontId="4" fillId="0" borderId="28" xfId="0" applyFont="1" applyBorder="1" applyAlignment="1">
      <alignment horizontal="left" indent="1"/>
    </xf>
    <xf numFmtId="0" fontId="5" fillId="2" borderId="11" xfId="0" applyFont="1" applyFill="1" applyBorder="1" applyAlignment="1">
      <alignment horizontal="left" indent="1"/>
    </xf>
    <xf numFmtId="0" fontId="1" fillId="2" borderId="19" xfId="0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0" fontId="4" fillId="0" borderId="27" xfId="0" applyFont="1" applyBorder="1" applyAlignment="1">
      <alignment horizontal="left" indent="1"/>
    </xf>
    <xf numFmtId="0" fontId="2" fillId="2" borderId="20" xfId="0" applyFont="1" applyFill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164" fontId="2" fillId="0" borderId="14" xfId="0" applyNumberFormat="1" applyFont="1" applyBorder="1" applyAlignment="1">
      <alignment horizontal="left" indent="1"/>
    </xf>
    <xf numFmtId="164" fontId="2" fillId="0" borderId="15" xfId="0" applyNumberFormat="1" applyFont="1" applyBorder="1" applyAlignment="1">
      <alignment horizontal="left" indent="1"/>
    </xf>
    <xf numFmtId="164" fontId="4" fillId="0" borderId="15" xfId="0" applyNumberFormat="1" applyFont="1" applyBorder="1" applyAlignment="1">
      <alignment horizontal="left" indent="1"/>
    </xf>
    <xf numFmtId="165" fontId="4" fillId="0" borderId="15" xfId="0" applyNumberFormat="1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6" fillId="0" borderId="19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1" fillId="2" borderId="19" xfId="0" applyFont="1" applyFill="1" applyBorder="1" applyAlignment="1">
      <alignment horizontal="left"/>
    </xf>
    <xf numFmtId="43" fontId="1" fillId="2" borderId="24" xfId="1" applyNumberFormat="1" applyFont="1" applyFill="1" applyBorder="1" applyAlignment="1">
      <alignment horizontal="right"/>
    </xf>
    <xf numFmtId="43" fontId="1" fillId="2" borderId="10" xfId="1" applyFont="1" applyFill="1" applyBorder="1"/>
    <xf numFmtId="43" fontId="1" fillId="2" borderId="13" xfId="1" applyFont="1" applyFill="1" applyBorder="1"/>
    <xf numFmtId="43" fontId="0" fillId="3" borderId="33" xfId="1" applyFont="1" applyFill="1" applyBorder="1"/>
    <xf numFmtId="43" fontId="0" fillId="3" borderId="32" xfId="1" applyFont="1" applyFill="1" applyBorder="1"/>
    <xf numFmtId="43" fontId="0" fillId="3" borderId="8" xfId="1" applyFont="1" applyFill="1" applyBorder="1"/>
    <xf numFmtId="43" fontId="0" fillId="0" borderId="22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3" fontId="0" fillId="0" borderId="2" xfId="1" applyFont="1" applyBorder="1"/>
    <xf numFmtId="43" fontId="0" fillId="0" borderId="44" xfId="1" applyFont="1" applyBorder="1" applyAlignment="1">
      <alignment horizontal="center"/>
    </xf>
    <xf numFmtId="43" fontId="0" fillId="0" borderId="45" xfId="1" applyFont="1" applyBorder="1" applyAlignment="1">
      <alignment horizontal="center"/>
    </xf>
    <xf numFmtId="43" fontId="0" fillId="0" borderId="46" xfId="1" applyFont="1" applyBorder="1" applyAlignment="1">
      <alignment horizontal="center"/>
    </xf>
    <xf numFmtId="43" fontId="1" fillId="2" borderId="38" xfId="1" applyFont="1" applyFill="1" applyBorder="1"/>
    <xf numFmtId="43" fontId="1" fillId="2" borderId="39" xfId="1" applyFont="1" applyFill="1" applyBorder="1"/>
    <xf numFmtId="43" fontId="1" fillId="2" borderId="40" xfId="1" applyFont="1" applyFill="1" applyBorder="1"/>
    <xf numFmtId="43" fontId="1" fillId="2" borderId="41" xfId="1" applyFont="1" applyFill="1" applyBorder="1"/>
    <xf numFmtId="43" fontId="1" fillId="2" borderId="42" xfId="1" applyFont="1" applyFill="1" applyBorder="1"/>
    <xf numFmtId="43" fontId="0" fillId="0" borderId="33" xfId="1" applyFont="1" applyBorder="1"/>
    <xf numFmtId="43" fontId="1" fillId="2" borderId="43" xfId="1" applyFont="1" applyFill="1" applyBorder="1"/>
    <xf numFmtId="43" fontId="0" fillId="0" borderId="32" xfId="1" applyFont="1" applyBorder="1"/>
    <xf numFmtId="43" fontId="0" fillId="0" borderId="8" xfId="1" applyFont="1" applyBorder="1"/>
    <xf numFmtId="43" fontId="0" fillId="0" borderId="22" xfId="1" applyFont="1" applyBorder="1"/>
    <xf numFmtId="43" fontId="0" fillId="0" borderId="1" xfId="1" applyFont="1" applyBorder="1"/>
    <xf numFmtId="43" fontId="0" fillId="0" borderId="23" xfId="1" applyFont="1" applyBorder="1"/>
    <xf numFmtId="43" fontId="0" fillId="0" borderId="36" xfId="1" applyFont="1" applyBorder="1"/>
    <xf numFmtId="43" fontId="0" fillId="0" borderId="36" xfId="1" applyFont="1" applyBorder="1" applyAlignment="1">
      <alignment horizontal="center"/>
    </xf>
    <xf numFmtId="43" fontId="0" fillId="0" borderId="37" xfId="1" applyFont="1" applyBorder="1" applyAlignment="1">
      <alignment horizontal="right"/>
    </xf>
    <xf numFmtId="43" fontId="0" fillId="0" borderId="35" xfId="1" applyFont="1" applyBorder="1"/>
    <xf numFmtId="43" fontId="0" fillId="0" borderId="26" xfId="1" applyFont="1" applyBorder="1"/>
    <xf numFmtId="43" fontId="0" fillId="0" borderId="26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28" xfId="1" applyFont="1" applyBorder="1"/>
    <xf numFmtId="43" fontId="0" fillId="2" borderId="24" xfId="1" applyFont="1" applyFill="1" applyBorder="1"/>
    <xf numFmtId="43" fontId="0" fillId="2" borderId="15" xfId="1" applyFont="1" applyFill="1" applyBorder="1"/>
    <xf numFmtId="169" fontId="0" fillId="2" borderId="15" xfId="1" applyNumberFormat="1" applyFont="1" applyFill="1" applyBorder="1"/>
    <xf numFmtId="169" fontId="0" fillId="2" borderId="24" xfId="1" applyNumberFormat="1" applyFont="1" applyFill="1" applyBorder="1"/>
    <xf numFmtId="166" fontId="0" fillId="2" borderId="15" xfId="1" applyNumberFormat="1" applyFont="1" applyFill="1" applyBorder="1"/>
    <xf numFmtId="166" fontId="0" fillId="2" borderId="24" xfId="1" applyNumberFormat="1" applyFont="1" applyFill="1" applyBorder="1"/>
    <xf numFmtId="166" fontId="0" fillId="2" borderId="24" xfId="1" applyNumberFormat="1" applyFont="1" applyFill="1" applyBorder="1" applyAlignment="1">
      <alignment horizontal="right"/>
    </xf>
    <xf numFmtId="169" fontId="0" fillId="0" borderId="14" xfId="1" applyNumberFormat="1" applyFont="1" applyBorder="1"/>
    <xf numFmtId="169" fontId="0" fillId="0" borderId="30" xfId="1" applyNumberFormat="1" applyFont="1" applyBorder="1"/>
    <xf numFmtId="169" fontId="0" fillId="0" borderId="30" xfId="1" applyNumberFormat="1" applyFont="1" applyFill="1" applyBorder="1"/>
    <xf numFmtId="43" fontId="0" fillId="0" borderId="30" xfId="1" applyFont="1" applyFill="1" applyBorder="1"/>
    <xf numFmtId="43" fontId="0" fillId="0" borderId="25" xfId="1" applyFont="1" applyFill="1" applyBorder="1"/>
    <xf numFmtId="43" fontId="0" fillId="0" borderId="24" xfId="1" applyFont="1" applyFill="1" applyBorder="1"/>
    <xf numFmtId="43" fontId="0" fillId="0" borderId="24" xfId="1" applyFont="1" applyFill="1" applyBorder="1" applyAlignment="1">
      <alignment horizontal="right"/>
    </xf>
    <xf numFmtId="43" fontId="0" fillId="0" borderId="25" xfId="1" applyFont="1" applyFill="1" applyBorder="1" applyAlignment="1">
      <alignment horizontal="center"/>
    </xf>
    <xf numFmtId="43" fontId="0" fillId="0" borderId="33" xfId="1" applyFont="1" applyFill="1" applyBorder="1"/>
    <xf numFmtId="43" fontId="0" fillId="0" borderId="2" xfId="1" applyFont="1" applyFill="1" applyBorder="1"/>
    <xf numFmtId="43" fontId="0" fillId="0" borderId="2" xfId="1" applyFont="1" applyFill="1" applyBorder="1" applyAlignment="1">
      <alignment horizontal="right"/>
    </xf>
    <xf numFmtId="43" fontId="0" fillId="0" borderId="2" xfId="1" applyFont="1" applyFill="1" applyBorder="1" applyAlignment="1">
      <alignment horizontal="center"/>
    </xf>
    <xf numFmtId="43" fontId="0" fillId="0" borderId="37" xfId="1" applyFont="1" applyFill="1" applyBorder="1"/>
    <xf numFmtId="43" fontId="0" fillId="0" borderId="37" xfId="1" applyFont="1" applyFill="1" applyBorder="1" applyAlignment="1">
      <alignment horizontal="right"/>
    </xf>
    <xf numFmtId="43" fontId="0" fillId="0" borderId="46" xfId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tabSelected="1" zoomScale="91" zoomScaleNormal="91" workbookViewId="0">
      <selection activeCell="H16" sqref="H16"/>
    </sheetView>
  </sheetViews>
  <sheetFormatPr defaultRowHeight="15" x14ac:dyDescent="0.25"/>
  <cols>
    <col min="2" max="2" width="48.28515625" customWidth="1"/>
    <col min="3" max="7" width="9.7109375" bestFit="1" customWidth="1"/>
    <col min="8" max="9" width="10.28515625" bestFit="1" customWidth="1"/>
    <col min="10" max="10" width="3.140625" customWidth="1"/>
    <col min="11" max="11" width="43.7109375" style="160" bestFit="1" customWidth="1"/>
    <col min="12" max="18" width="10.42578125" customWidth="1"/>
    <col min="19" max="19" width="9.28515625" bestFit="1" customWidth="1"/>
    <col min="20" max="20" width="10.28515625" bestFit="1" customWidth="1"/>
  </cols>
  <sheetData>
    <row r="1" spans="1:21" ht="15.75" thickBot="1" x14ac:dyDescent="0.3"/>
    <row r="2" spans="1:21" ht="15.75" thickBot="1" x14ac:dyDescent="0.3">
      <c r="B2" s="218" t="s">
        <v>104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21" ht="15.75" thickBot="1" x14ac:dyDescent="0.3">
      <c r="B3" s="221" t="s">
        <v>27</v>
      </c>
      <c r="C3" s="222"/>
      <c r="D3" s="222"/>
      <c r="E3" s="222"/>
      <c r="F3" s="222"/>
      <c r="G3" s="222"/>
      <c r="H3" s="222"/>
      <c r="I3" s="223"/>
      <c r="J3" s="47"/>
      <c r="K3" s="221" t="s">
        <v>36</v>
      </c>
      <c r="L3" s="222"/>
      <c r="M3" s="222"/>
      <c r="N3" s="222"/>
      <c r="O3" s="222"/>
      <c r="P3" s="222"/>
      <c r="Q3" s="222"/>
      <c r="R3" s="223"/>
    </row>
    <row r="4" spans="1:21" ht="15.75" thickBot="1" x14ac:dyDescent="0.3">
      <c r="B4" s="48" t="s">
        <v>0</v>
      </c>
      <c r="C4" s="120" t="s">
        <v>23</v>
      </c>
      <c r="D4" s="121" t="s">
        <v>24</v>
      </c>
      <c r="E4" s="121" t="s">
        <v>25</v>
      </c>
      <c r="F4" s="121" t="s">
        <v>26</v>
      </c>
      <c r="G4" s="121" t="s">
        <v>108</v>
      </c>
      <c r="H4" s="121" t="s">
        <v>163</v>
      </c>
      <c r="I4" s="119" t="s">
        <v>165</v>
      </c>
      <c r="J4" s="47"/>
      <c r="K4" s="161" t="s">
        <v>0</v>
      </c>
      <c r="L4" s="120" t="s">
        <v>23</v>
      </c>
      <c r="M4" s="121" t="s">
        <v>24</v>
      </c>
      <c r="N4" s="121" t="s">
        <v>25</v>
      </c>
      <c r="O4" s="121" t="s">
        <v>26</v>
      </c>
      <c r="P4" s="121" t="s">
        <v>108</v>
      </c>
      <c r="Q4" s="121" t="s">
        <v>163</v>
      </c>
      <c r="R4" s="121" t="s">
        <v>165</v>
      </c>
    </row>
    <row r="5" spans="1:21" x14ac:dyDescent="0.25">
      <c r="B5" s="34" t="s">
        <v>1</v>
      </c>
      <c r="C5" s="96">
        <v>2479.4</v>
      </c>
      <c r="D5" s="96">
        <v>3007.88</v>
      </c>
      <c r="E5" s="106">
        <v>2876.9090000000001</v>
      </c>
      <c r="F5" s="106">
        <v>3168.8449999999998</v>
      </c>
      <c r="G5" s="106">
        <v>3572.2849999999999</v>
      </c>
      <c r="H5" s="54">
        <v>4105.5389999999998</v>
      </c>
      <c r="I5" s="54">
        <v>4207.1620000000003</v>
      </c>
      <c r="J5" s="47"/>
      <c r="K5" s="137" t="s">
        <v>28</v>
      </c>
      <c r="L5" s="86">
        <v>62.4</v>
      </c>
      <c r="M5" s="87">
        <v>62.4</v>
      </c>
      <c r="N5" s="87">
        <v>62.4</v>
      </c>
      <c r="O5" s="87">
        <v>62.4</v>
      </c>
      <c r="P5" s="87">
        <v>62.4</v>
      </c>
      <c r="Q5" s="87">
        <v>62.4</v>
      </c>
      <c r="R5" s="206">
        <v>62.4</v>
      </c>
    </row>
    <row r="6" spans="1:21" ht="15.75" thickBot="1" x14ac:dyDescent="0.3">
      <c r="A6" s="50"/>
      <c r="B6" s="38" t="s">
        <v>2</v>
      </c>
      <c r="C6" s="97" t="s">
        <v>161</v>
      </c>
      <c r="D6" s="105">
        <f t="shared" ref="D6:I6" si="0">D5/C5-1</f>
        <v>0.21314834234088886</v>
      </c>
      <c r="E6" s="107">
        <f t="shared" si="0"/>
        <v>-4.3542628030373565E-2</v>
      </c>
      <c r="F6" s="107">
        <f t="shared" si="0"/>
        <v>0.10147557673878449</v>
      </c>
      <c r="G6" s="109">
        <f t="shared" si="0"/>
        <v>0.12731452627061279</v>
      </c>
      <c r="H6" s="109">
        <f t="shared" si="0"/>
        <v>0.14927532377735808</v>
      </c>
      <c r="I6" s="109">
        <f t="shared" si="0"/>
        <v>2.4752657324653482E-2</v>
      </c>
      <c r="J6" s="47"/>
      <c r="K6" s="138" t="s">
        <v>29</v>
      </c>
      <c r="L6" s="88">
        <v>727.74</v>
      </c>
      <c r="M6" s="89">
        <v>869.74</v>
      </c>
      <c r="N6" s="89">
        <v>1039.615</v>
      </c>
      <c r="O6" s="89">
        <v>1352.5119999999999</v>
      </c>
      <c r="P6" s="89">
        <v>1617.153</v>
      </c>
      <c r="Q6" s="89">
        <v>1969.8889999999999</v>
      </c>
      <c r="R6" s="207">
        <v>2312.7289999999998</v>
      </c>
    </row>
    <row r="7" spans="1:21" ht="15.75" thickBot="1" x14ac:dyDescent="0.3">
      <c r="B7" s="38" t="s">
        <v>3</v>
      </c>
      <c r="C7" s="97" t="s">
        <v>161</v>
      </c>
      <c r="D7" s="97" t="s">
        <v>161</v>
      </c>
      <c r="E7" s="97" t="s">
        <v>161</v>
      </c>
      <c r="F7" s="107">
        <f>+((F5/C5)^(1/3)-1)</f>
        <v>8.5220860404775278E-2</v>
      </c>
      <c r="G7" s="109">
        <f>+((G5/D5)^(1/3)-1)</f>
        <v>5.8998141644728053E-2</v>
      </c>
      <c r="H7" s="109">
        <f>+((H5/E5)^(1/3)-1)</f>
        <v>0.12585212632138298</v>
      </c>
      <c r="I7" s="109">
        <f>+((I5/F5)^(1/3)-1)</f>
        <v>9.9080272670956315E-2</v>
      </c>
      <c r="J7" s="47"/>
      <c r="K7" s="139" t="s">
        <v>30</v>
      </c>
      <c r="L7" s="90">
        <f>L5+L6</f>
        <v>790.14</v>
      </c>
      <c r="M7" s="91">
        <f>M5+M6</f>
        <v>932.14</v>
      </c>
      <c r="N7" s="91">
        <f>N5+N6</f>
        <v>1102.0150000000001</v>
      </c>
      <c r="O7" s="91">
        <f>O5+O6+O8</f>
        <v>1467.8320000000001</v>
      </c>
      <c r="P7" s="91">
        <f>P5+P6+P8</f>
        <v>1721.798</v>
      </c>
      <c r="Q7" s="91">
        <f>Q5+Q6</f>
        <v>2032.289</v>
      </c>
      <c r="R7" s="91">
        <f>R5+R6</f>
        <v>2375.1289999999999</v>
      </c>
    </row>
    <row r="8" spans="1:21" x14ac:dyDescent="0.25">
      <c r="B8" s="37" t="s">
        <v>4</v>
      </c>
      <c r="C8" s="98">
        <f t="shared" ref="C8:H8" si="1">SUM(C9:C14)</f>
        <v>2256.17</v>
      </c>
      <c r="D8" s="98">
        <f t="shared" si="1"/>
        <v>2686.86</v>
      </c>
      <c r="E8" s="108">
        <f t="shared" si="1"/>
        <v>2561.7730000000001</v>
      </c>
      <c r="F8" s="108">
        <f t="shared" si="1"/>
        <v>2752.72</v>
      </c>
      <c r="G8" s="108">
        <f>SUM(G9:G14)</f>
        <v>3075.4490000000001</v>
      </c>
      <c r="H8" s="115">
        <f t="shared" si="1"/>
        <v>3520.7079999999996</v>
      </c>
      <c r="I8" s="162">
        <f t="shared" ref="I8" si="2">SUM(I9:I14)</f>
        <v>3630.297</v>
      </c>
      <c r="J8" s="47"/>
      <c r="K8" s="140" t="s">
        <v>31</v>
      </c>
      <c r="L8" s="124" t="s">
        <v>105</v>
      </c>
      <c r="M8" s="123" t="s">
        <v>105</v>
      </c>
      <c r="N8" s="123" t="s">
        <v>105</v>
      </c>
      <c r="O8" s="92">
        <v>52.92</v>
      </c>
      <c r="P8" s="92">
        <v>42.244999999999997</v>
      </c>
      <c r="Q8" s="123" t="s">
        <v>105</v>
      </c>
      <c r="R8" s="123" t="s">
        <v>105</v>
      </c>
    </row>
    <row r="9" spans="1:21" x14ac:dyDescent="0.25">
      <c r="B9" s="36" t="s">
        <v>94</v>
      </c>
      <c r="C9" s="93">
        <v>1492.79</v>
      </c>
      <c r="D9" s="93">
        <v>1722.99</v>
      </c>
      <c r="E9" s="94">
        <v>1601.6210000000001</v>
      </c>
      <c r="F9" s="94">
        <v>1636.23</v>
      </c>
      <c r="G9" s="94">
        <v>1949.1089999999999</v>
      </c>
      <c r="H9" s="94">
        <v>2116.0549999999998</v>
      </c>
      <c r="I9" s="56">
        <v>2259.1019999999999</v>
      </c>
      <c r="J9" s="47"/>
      <c r="K9" s="141" t="s">
        <v>32</v>
      </c>
      <c r="L9" s="93">
        <v>35.520000000000003</v>
      </c>
      <c r="M9" s="94">
        <v>35.520000000000003</v>
      </c>
      <c r="N9" s="94">
        <v>35.512999999999998</v>
      </c>
      <c r="O9" s="94">
        <v>35.512999999999998</v>
      </c>
      <c r="P9" s="94">
        <v>59.661999999999999</v>
      </c>
      <c r="Q9" s="94">
        <v>39.64</v>
      </c>
      <c r="R9" s="208">
        <v>37.139000000000003</v>
      </c>
    </row>
    <row r="10" spans="1:21" ht="15.75" thickBot="1" x14ac:dyDescent="0.3">
      <c r="B10" s="36" t="s">
        <v>95</v>
      </c>
      <c r="C10" s="93">
        <v>157.16</v>
      </c>
      <c r="D10" s="93">
        <v>200.37</v>
      </c>
      <c r="E10" s="94">
        <v>185.89099999999999</v>
      </c>
      <c r="F10" s="94">
        <v>250.80799999999999</v>
      </c>
      <c r="G10" s="94">
        <v>332.798</v>
      </c>
      <c r="H10" s="94">
        <v>380.02699999999999</v>
      </c>
      <c r="I10" s="111">
        <v>352.49799999999999</v>
      </c>
      <c r="J10" s="47"/>
      <c r="K10" s="142" t="s">
        <v>33</v>
      </c>
      <c r="L10" s="88">
        <v>470.89</v>
      </c>
      <c r="M10" s="89">
        <v>452.94</v>
      </c>
      <c r="N10" s="89">
        <v>323.548</v>
      </c>
      <c r="O10" s="89">
        <v>532.98699999999997</v>
      </c>
      <c r="P10" s="89">
        <v>474.11500000000001</v>
      </c>
      <c r="Q10" s="89">
        <v>867.76400000000001</v>
      </c>
      <c r="R10" s="207">
        <v>889.779</v>
      </c>
    </row>
    <row r="11" spans="1:21" ht="15.75" thickBot="1" x14ac:dyDescent="0.3">
      <c r="B11" s="36" t="s">
        <v>96</v>
      </c>
      <c r="C11" s="93">
        <v>10.18</v>
      </c>
      <c r="D11" s="93">
        <v>-34.770000000000003</v>
      </c>
      <c r="E11" s="94">
        <v>-29.553000000000001</v>
      </c>
      <c r="F11" s="94">
        <v>122.41200000000001</v>
      </c>
      <c r="G11" s="94">
        <v>-128.47499999999999</v>
      </c>
      <c r="H11" s="94">
        <v>11.324999999999999</v>
      </c>
      <c r="I11" s="111">
        <v>-71.122</v>
      </c>
      <c r="J11" s="47"/>
      <c r="K11" s="139" t="s">
        <v>34</v>
      </c>
      <c r="L11" s="90">
        <f t="shared" ref="L11:P11" si="3">L9+L10</f>
        <v>506.40999999999997</v>
      </c>
      <c r="M11" s="91">
        <f t="shared" si="3"/>
        <v>488.46</v>
      </c>
      <c r="N11" s="91">
        <f t="shared" si="3"/>
        <v>359.06099999999998</v>
      </c>
      <c r="O11" s="91">
        <f t="shared" si="3"/>
        <v>568.5</v>
      </c>
      <c r="P11" s="91">
        <f t="shared" si="3"/>
        <v>533.77700000000004</v>
      </c>
      <c r="Q11" s="91">
        <f>Q9+Q10</f>
        <v>907.404</v>
      </c>
      <c r="R11" s="91">
        <f>R9+R10</f>
        <v>926.91800000000001</v>
      </c>
    </row>
    <row r="12" spans="1:21" ht="15.75" thickBot="1" x14ac:dyDescent="0.3">
      <c r="B12" s="36" t="s">
        <v>97</v>
      </c>
      <c r="C12" s="93">
        <v>398.25</v>
      </c>
      <c r="D12" s="93">
        <v>583.6</v>
      </c>
      <c r="E12" s="94">
        <v>660.18499999999995</v>
      </c>
      <c r="F12" s="94">
        <v>582.03399999999999</v>
      </c>
      <c r="G12" s="94">
        <v>730.54600000000005</v>
      </c>
      <c r="H12" s="94">
        <v>773.94500000000005</v>
      </c>
      <c r="I12" s="111">
        <v>833.78499999999997</v>
      </c>
      <c r="J12" s="47"/>
      <c r="K12" s="139" t="s">
        <v>35</v>
      </c>
      <c r="L12" s="90">
        <f t="shared" ref="L12:Q12" si="4">L7+L43</f>
        <v>829.08</v>
      </c>
      <c r="M12" s="91">
        <f t="shared" si="4"/>
        <v>974.09</v>
      </c>
      <c r="N12" s="91">
        <f t="shared" si="4"/>
        <v>1145.9050000000002</v>
      </c>
      <c r="O12" s="91">
        <f t="shared" si="4"/>
        <v>1509.5550000000001</v>
      </c>
      <c r="P12" s="95">
        <f t="shared" si="4"/>
        <v>1844.8009999999999</v>
      </c>
      <c r="Q12" s="95">
        <f t="shared" si="4"/>
        <v>2144.471</v>
      </c>
      <c r="R12" s="95">
        <f>R7+R43</f>
        <v>2493.6329999999998</v>
      </c>
    </row>
    <row r="13" spans="1:21" ht="15.75" thickBot="1" x14ac:dyDescent="0.3">
      <c r="B13" s="36" t="s">
        <v>5</v>
      </c>
      <c r="C13" s="93">
        <v>115.5</v>
      </c>
      <c r="D13" s="93">
        <v>124.73</v>
      </c>
      <c r="E13" s="94">
        <v>106.79900000000001</v>
      </c>
      <c r="F13" s="94">
        <v>124.703</v>
      </c>
      <c r="G13" s="94">
        <v>147.018</v>
      </c>
      <c r="H13" s="94">
        <v>187.245</v>
      </c>
      <c r="I13" s="111">
        <v>191.83500000000001</v>
      </c>
      <c r="J13" s="47"/>
      <c r="K13" s="139" t="s">
        <v>35</v>
      </c>
      <c r="L13" s="90">
        <f>L48-L35</f>
        <v>829.07999999999993</v>
      </c>
      <c r="M13" s="91">
        <f t="shared" ref="M13:N13" si="5">M48-M35</f>
        <v>974.09000000000015</v>
      </c>
      <c r="N13" s="91">
        <f t="shared" si="5"/>
        <v>1145.9049999999997</v>
      </c>
      <c r="O13" s="91">
        <f>O48-O35</f>
        <v>1509.5569999999998</v>
      </c>
      <c r="P13" s="91">
        <f>P48-P35</f>
        <v>1844.8030000000001</v>
      </c>
      <c r="Q13" s="91">
        <f>Q48-Q35</f>
        <v>2144.4709999999995</v>
      </c>
      <c r="R13" s="91">
        <f>R48-R35</f>
        <v>2493.6319999999996</v>
      </c>
    </row>
    <row r="14" spans="1:21" ht="15.75" thickBot="1" x14ac:dyDescent="0.3">
      <c r="B14" s="36" t="s">
        <v>6</v>
      </c>
      <c r="C14" s="93">
        <v>82.29</v>
      </c>
      <c r="D14" s="93">
        <v>89.94</v>
      </c>
      <c r="E14" s="94">
        <v>36.83</v>
      </c>
      <c r="F14" s="94">
        <v>36.533000000000001</v>
      </c>
      <c r="G14" s="94">
        <v>44.453000000000003</v>
      </c>
      <c r="H14" s="94">
        <v>52.110999999999997</v>
      </c>
      <c r="I14" s="111">
        <v>64.198999999999998</v>
      </c>
      <c r="J14" s="47"/>
      <c r="K14" s="143"/>
    </row>
    <row r="15" spans="1:21" ht="15.75" thickBot="1" x14ac:dyDescent="0.3">
      <c r="B15" s="37" t="s">
        <v>7</v>
      </c>
      <c r="C15" s="98">
        <f t="shared" ref="C15:H15" si="6">C5-C8</f>
        <v>223.23000000000002</v>
      </c>
      <c r="D15" s="98">
        <f t="shared" si="6"/>
        <v>321.02</v>
      </c>
      <c r="E15" s="108">
        <f t="shared" si="6"/>
        <v>315.13599999999997</v>
      </c>
      <c r="F15" s="108">
        <f t="shared" si="6"/>
        <v>416.125</v>
      </c>
      <c r="G15" s="108">
        <f>G5-G8</f>
        <v>496.83599999999979</v>
      </c>
      <c r="H15" s="162">
        <f t="shared" si="6"/>
        <v>584.83100000000013</v>
      </c>
      <c r="I15" s="162">
        <f t="shared" ref="I15" si="7">I5-I8</f>
        <v>576.86500000000024</v>
      </c>
      <c r="J15" s="47"/>
      <c r="K15" s="144" t="s">
        <v>37</v>
      </c>
      <c r="L15" s="163">
        <f t="shared" ref="L15:R15" si="8">SUM(L16:L22)</f>
        <v>465.78000000000003</v>
      </c>
      <c r="M15" s="164">
        <f t="shared" si="8"/>
        <v>495.21000000000004</v>
      </c>
      <c r="N15" s="164">
        <f t="shared" si="8"/>
        <v>483.78300000000002</v>
      </c>
      <c r="O15" s="164">
        <f t="shared" si="8"/>
        <v>695.13099999999986</v>
      </c>
      <c r="P15" s="164">
        <f t="shared" si="8"/>
        <v>814.58600000000013</v>
      </c>
      <c r="Q15" s="164">
        <f t="shared" si="8"/>
        <v>1183.808</v>
      </c>
      <c r="R15" s="164">
        <f t="shared" si="8"/>
        <v>1372.6849999999999</v>
      </c>
      <c r="T15" s="55"/>
    </row>
    <row r="16" spans="1:21" x14ac:dyDescent="0.25">
      <c r="B16" s="38" t="s">
        <v>2</v>
      </c>
      <c r="C16" s="99" t="s">
        <v>161</v>
      </c>
      <c r="D16" s="105">
        <f t="shared" ref="D16:I16" si="9">D15/C15-1</f>
        <v>0.43806835998745663</v>
      </c>
      <c r="E16" s="109">
        <f t="shared" si="9"/>
        <v>-1.8329076070026873E-2</v>
      </c>
      <c r="F16" s="109">
        <f t="shared" si="9"/>
        <v>0.32046164195775795</v>
      </c>
      <c r="G16" s="109">
        <f t="shared" si="9"/>
        <v>0.19395854610994245</v>
      </c>
      <c r="H16" s="109">
        <f t="shared" si="9"/>
        <v>0.17711075686947075</v>
      </c>
      <c r="I16" s="109">
        <f t="shared" si="9"/>
        <v>-1.3621028981021688E-2</v>
      </c>
      <c r="J16" s="47"/>
      <c r="K16" s="145" t="s">
        <v>38</v>
      </c>
      <c r="L16" s="86">
        <v>426.39</v>
      </c>
      <c r="M16" s="87">
        <v>452.41</v>
      </c>
      <c r="N16" s="87">
        <v>422.238</v>
      </c>
      <c r="O16" s="87">
        <v>474.47699999999998</v>
      </c>
      <c r="P16" s="87">
        <v>629.18600000000004</v>
      </c>
      <c r="Q16" s="87">
        <v>1069.5889999999999</v>
      </c>
      <c r="R16" s="206">
        <v>1234.8879999999999</v>
      </c>
      <c r="U16" s="122"/>
    </row>
    <row r="17" spans="2:23" x14ac:dyDescent="0.25">
      <c r="B17" s="38" t="s">
        <v>3</v>
      </c>
      <c r="C17" s="99" t="s">
        <v>161</v>
      </c>
      <c r="D17" s="99" t="s">
        <v>161</v>
      </c>
      <c r="E17" s="109">
        <f>+((E15/C15)^(1/2)-1)</f>
        <v>0.18815398649474213</v>
      </c>
      <c r="F17" s="109">
        <f>+((F15/C15)^(1/3)-1)</f>
        <v>0.23071383570129789</v>
      </c>
      <c r="G17" s="109">
        <f>+((G15/D15)^(1/3)-1)</f>
        <v>0.15671665479517327</v>
      </c>
      <c r="H17" s="109">
        <f>+((H15/E15)^(1/3)-1)</f>
        <v>0.22888371472486568</v>
      </c>
      <c r="I17" s="109">
        <f>+((I15/F15)^(1/3)-1)</f>
        <v>0.11502206223918421</v>
      </c>
      <c r="J17" s="47"/>
      <c r="K17" s="51" t="s">
        <v>98</v>
      </c>
      <c r="L17" s="93">
        <v>12.6</v>
      </c>
      <c r="M17" s="94">
        <v>9.31</v>
      </c>
      <c r="N17" s="94">
        <v>3.0489999999999999</v>
      </c>
      <c r="O17" s="94">
        <v>44.578000000000003</v>
      </c>
      <c r="P17" s="94">
        <v>0.51700000000000002</v>
      </c>
      <c r="Q17" s="94">
        <v>0.70799999999999996</v>
      </c>
      <c r="R17" s="208">
        <v>0.42899999999999999</v>
      </c>
    </row>
    <row r="18" spans="2:23" x14ac:dyDescent="0.25">
      <c r="B18" s="37" t="s">
        <v>8</v>
      </c>
      <c r="C18" s="100">
        <f t="shared" ref="C18:G18" si="10">C15/C5</f>
        <v>9.0033879164313949E-2</v>
      </c>
      <c r="D18" s="100">
        <f t="shared" si="10"/>
        <v>0.10672633216750667</v>
      </c>
      <c r="E18" s="110">
        <f t="shared" si="10"/>
        <v>0.1095397873203497</v>
      </c>
      <c r="F18" s="110">
        <f t="shared" si="10"/>
        <v>0.13131756207703438</v>
      </c>
      <c r="G18" s="110">
        <f t="shared" si="10"/>
        <v>0.13908072844131972</v>
      </c>
      <c r="H18" s="116">
        <f>H15/H5</f>
        <v>0.14244926183870135</v>
      </c>
      <c r="I18" s="116">
        <f>I15/I5</f>
        <v>0.13711499580952677</v>
      </c>
      <c r="J18" s="47"/>
      <c r="K18" s="51" t="s">
        <v>99</v>
      </c>
      <c r="L18" s="93">
        <v>1.02</v>
      </c>
      <c r="M18" s="94">
        <v>4.57</v>
      </c>
      <c r="N18" s="94">
        <v>30.427</v>
      </c>
      <c r="O18" s="94">
        <v>145.596</v>
      </c>
      <c r="P18" s="94">
        <v>147.38800000000001</v>
      </c>
      <c r="Q18" s="94">
        <v>82.552999999999997</v>
      </c>
      <c r="R18" s="208">
        <v>102.124</v>
      </c>
    </row>
    <row r="19" spans="2:23" x14ac:dyDescent="0.25">
      <c r="B19" s="36" t="s">
        <v>9</v>
      </c>
      <c r="C19" s="93">
        <v>8.25</v>
      </c>
      <c r="D19" s="93">
        <v>1.87</v>
      </c>
      <c r="E19" s="94">
        <v>4.5860000000000003</v>
      </c>
      <c r="F19" s="94">
        <v>32.212000000000003</v>
      </c>
      <c r="G19" s="94">
        <v>31.381</v>
      </c>
      <c r="H19" s="94">
        <v>31.469000000000001</v>
      </c>
      <c r="I19" s="111">
        <v>41.344000000000001</v>
      </c>
      <c r="J19" s="47"/>
      <c r="K19" s="51" t="s">
        <v>39</v>
      </c>
      <c r="L19" s="93"/>
      <c r="M19" s="94"/>
      <c r="N19" s="94"/>
      <c r="O19" s="94"/>
      <c r="P19" s="94"/>
      <c r="Q19" s="94"/>
      <c r="R19" s="208"/>
    </row>
    <row r="20" spans="2:23" x14ac:dyDescent="0.25">
      <c r="B20" s="36" t="s">
        <v>10</v>
      </c>
      <c r="C20" s="93">
        <v>53.77</v>
      </c>
      <c r="D20" s="93">
        <v>56.52</v>
      </c>
      <c r="E20" s="94">
        <v>56.33</v>
      </c>
      <c r="F20" s="94">
        <v>57.808</v>
      </c>
      <c r="G20" s="94">
        <v>82.884</v>
      </c>
      <c r="H20" s="94">
        <v>82.680999999999997</v>
      </c>
      <c r="I20" s="111">
        <v>78.725999999999999</v>
      </c>
      <c r="J20" s="47"/>
      <c r="K20" s="51" t="s">
        <v>157</v>
      </c>
      <c r="L20" s="93">
        <v>12.35</v>
      </c>
      <c r="M20" s="94">
        <v>12.26</v>
      </c>
      <c r="N20" s="94">
        <v>7.8570000000000002</v>
      </c>
      <c r="O20" s="94">
        <v>10.111000000000001</v>
      </c>
      <c r="P20" s="94">
        <v>9.4649999999999999</v>
      </c>
      <c r="Q20" s="94">
        <v>12.712999999999999</v>
      </c>
      <c r="R20" s="208">
        <v>12.302</v>
      </c>
    </row>
    <row r="21" spans="2:23" x14ac:dyDescent="0.25">
      <c r="B21" s="36" t="s">
        <v>11</v>
      </c>
      <c r="C21" s="93">
        <v>42.3</v>
      </c>
      <c r="D21" s="93">
        <v>39.47</v>
      </c>
      <c r="E21" s="94">
        <v>25.667999999999999</v>
      </c>
      <c r="F21" s="94">
        <v>15.98</v>
      </c>
      <c r="G21" s="94">
        <v>20.431999999999999</v>
      </c>
      <c r="H21" s="94">
        <v>24.579000000000001</v>
      </c>
      <c r="I21" s="111">
        <v>42.466000000000001</v>
      </c>
      <c r="J21" s="47"/>
      <c r="K21" s="146" t="s">
        <v>102</v>
      </c>
      <c r="L21" s="102" t="s">
        <v>105</v>
      </c>
      <c r="M21" s="111" t="s">
        <v>105</v>
      </c>
      <c r="N21" s="94">
        <v>6.0000000000000001E-3</v>
      </c>
      <c r="O21" s="94">
        <v>6.0000000000000001E-3</v>
      </c>
      <c r="P21" s="94">
        <v>6.0000000000000001E-3</v>
      </c>
      <c r="Q21" s="111">
        <v>6.0000000000000001E-3</v>
      </c>
      <c r="R21" s="209">
        <v>6.0000000000000001E-3</v>
      </c>
    </row>
    <row r="22" spans="2:23" ht="15.75" thickBot="1" x14ac:dyDescent="0.3">
      <c r="B22" s="36" t="s">
        <v>12</v>
      </c>
      <c r="C22" s="93"/>
      <c r="D22" s="93"/>
      <c r="E22" s="94">
        <v>15.298999999999999</v>
      </c>
      <c r="F22" s="111" t="s">
        <v>105</v>
      </c>
      <c r="G22" s="111" t="s">
        <v>105</v>
      </c>
      <c r="H22" s="111" t="s">
        <v>105</v>
      </c>
      <c r="I22" s="136" t="s">
        <v>105</v>
      </c>
      <c r="J22" s="47"/>
      <c r="K22" s="147" t="s">
        <v>158</v>
      </c>
      <c r="L22" s="88">
        <v>13.42</v>
      </c>
      <c r="M22" s="89">
        <v>16.66</v>
      </c>
      <c r="N22" s="89">
        <v>20.206</v>
      </c>
      <c r="O22" s="89">
        <v>20.363</v>
      </c>
      <c r="P22" s="89">
        <v>28.024000000000001</v>
      </c>
      <c r="Q22" s="89">
        <v>18.239000000000001</v>
      </c>
      <c r="R22" s="210">
        <v>22.936</v>
      </c>
    </row>
    <row r="23" spans="2:23" ht="15.75" thickBot="1" x14ac:dyDescent="0.3">
      <c r="B23" s="36" t="s">
        <v>13</v>
      </c>
      <c r="C23" s="93"/>
      <c r="D23" s="93"/>
      <c r="E23" s="111" t="s">
        <v>105</v>
      </c>
      <c r="F23" s="111" t="s">
        <v>105</v>
      </c>
      <c r="G23" s="111" t="s">
        <v>105</v>
      </c>
      <c r="H23" s="111" t="s">
        <v>105</v>
      </c>
      <c r="I23" s="136" t="s">
        <v>105</v>
      </c>
      <c r="J23" s="47"/>
    </row>
    <row r="24" spans="2:23" ht="15.75" thickBot="1" x14ac:dyDescent="0.3">
      <c r="B24" s="37" t="s">
        <v>14</v>
      </c>
      <c r="C24" s="98">
        <f>C15+C19-C20-C21</f>
        <v>135.41000000000003</v>
      </c>
      <c r="D24" s="98">
        <f>D15+D19-D20-D21</f>
        <v>226.9</v>
      </c>
      <c r="E24" s="108">
        <f>E15+E19-E20-E21+E22</f>
        <v>253.023</v>
      </c>
      <c r="F24" s="108">
        <f>F15+F19-F20-F21</f>
        <v>374.54899999999998</v>
      </c>
      <c r="G24" s="108">
        <f>G15+G19-G20-G21</f>
        <v>424.90099999999973</v>
      </c>
      <c r="H24" s="115">
        <f>H15+H19-H20-H21</f>
        <v>509.04000000000013</v>
      </c>
      <c r="I24" s="115">
        <f>I15+I19-I20-I21</f>
        <v>497.01700000000028</v>
      </c>
      <c r="J24" s="47"/>
      <c r="K24" s="150" t="s">
        <v>40</v>
      </c>
      <c r="L24" s="163">
        <f>SUM(L25:L33)</f>
        <v>1262.1299999999999</v>
      </c>
      <c r="M24" s="163">
        <f>SUM(M25:M33)</f>
        <v>1491.8500000000001</v>
      </c>
      <c r="N24" s="164">
        <f>SUM(N25:N33)</f>
        <v>1484.9209999999998</v>
      </c>
      <c r="O24" s="164">
        <f>SUM(O25:O33)</f>
        <v>1830.2669999999998</v>
      </c>
      <c r="P24" s="164">
        <f>SUM(P25:P34)</f>
        <v>1933.7940000000001</v>
      </c>
      <c r="Q24" s="164">
        <f>SUM(Q25:Q34)</f>
        <v>2358.4949999999994</v>
      </c>
      <c r="R24" s="164">
        <f>SUM(R25:R34)</f>
        <v>2504.5529999999999</v>
      </c>
    </row>
    <row r="25" spans="2:23" x14ac:dyDescent="0.25">
      <c r="B25" s="36" t="s">
        <v>15</v>
      </c>
      <c r="C25" s="93">
        <v>50.96</v>
      </c>
      <c r="D25" s="93">
        <v>76.989999999999995</v>
      </c>
      <c r="E25" s="94">
        <f>65.305-1.124</f>
        <v>64.181000000000012</v>
      </c>
      <c r="F25" s="94">
        <v>91.427999999999997</v>
      </c>
      <c r="G25" s="94">
        <v>109.33799999999999</v>
      </c>
      <c r="H25" s="111">
        <v>139.66900000000001</v>
      </c>
      <c r="I25" s="111">
        <f>118.191+9.468+6.199</f>
        <v>133.858</v>
      </c>
      <c r="J25" s="47"/>
      <c r="K25" s="151" t="s">
        <v>41</v>
      </c>
      <c r="L25" s="191">
        <v>649.08000000000004</v>
      </c>
      <c r="M25" s="191">
        <v>677.59</v>
      </c>
      <c r="N25" s="191">
        <v>757.34799999999996</v>
      </c>
      <c r="O25" s="191">
        <v>572.11699999999996</v>
      </c>
      <c r="P25" s="191">
        <v>715.19100000000003</v>
      </c>
      <c r="Q25" s="86">
        <v>857.30499999999995</v>
      </c>
      <c r="R25" s="211">
        <v>1068.1969999999999</v>
      </c>
    </row>
    <row r="26" spans="2:23" x14ac:dyDescent="0.25">
      <c r="B26" s="38" t="s">
        <v>16</v>
      </c>
      <c r="C26" s="101">
        <f t="shared" ref="C26:H26" si="11">C25/C24</f>
        <v>0.37633852743519675</v>
      </c>
      <c r="D26" s="101">
        <f t="shared" si="11"/>
        <v>0.33931247245482588</v>
      </c>
      <c r="E26" s="112">
        <f t="shared" si="11"/>
        <v>0.25365678218976145</v>
      </c>
      <c r="F26" s="112">
        <f t="shared" si="11"/>
        <v>0.24410157282491743</v>
      </c>
      <c r="G26" s="112">
        <f>G25/G24</f>
        <v>0.25732582413315119</v>
      </c>
      <c r="H26" s="117">
        <f t="shared" si="11"/>
        <v>0.27437725915448685</v>
      </c>
      <c r="I26" s="117">
        <f>I25/I24</f>
        <v>0.26932277970371221</v>
      </c>
      <c r="J26" s="47"/>
      <c r="K26" s="51" t="s">
        <v>39</v>
      </c>
      <c r="L26" s="192"/>
      <c r="M26" s="192"/>
      <c r="N26" s="192"/>
      <c r="O26" s="192"/>
      <c r="P26" s="192"/>
      <c r="Q26" s="93"/>
      <c r="R26" s="212"/>
    </row>
    <row r="27" spans="2:23" x14ac:dyDescent="0.25">
      <c r="B27" s="37" t="s">
        <v>17</v>
      </c>
      <c r="C27" s="98">
        <f t="shared" ref="C27:H27" si="12">C24-C25</f>
        <v>84.450000000000017</v>
      </c>
      <c r="D27" s="98">
        <f t="shared" si="12"/>
        <v>149.91000000000003</v>
      </c>
      <c r="E27" s="108">
        <f t="shared" si="12"/>
        <v>188.84199999999998</v>
      </c>
      <c r="F27" s="108">
        <f>F24-F25</f>
        <v>283.12099999999998</v>
      </c>
      <c r="G27" s="108">
        <f>G24-G25</f>
        <v>315.56299999999976</v>
      </c>
      <c r="H27" s="115">
        <f t="shared" si="12"/>
        <v>369.37100000000009</v>
      </c>
      <c r="I27" s="162">
        <f>I24-I25</f>
        <v>363.15900000000028</v>
      </c>
      <c r="J27" s="47"/>
      <c r="K27" s="51" t="s">
        <v>159</v>
      </c>
      <c r="L27" s="192">
        <v>2.5</v>
      </c>
      <c r="M27" s="192">
        <v>54.49</v>
      </c>
      <c r="N27" s="192">
        <v>212.51900000000001</v>
      </c>
      <c r="O27" s="192">
        <v>187.858</v>
      </c>
      <c r="P27" s="193" t="s">
        <v>105</v>
      </c>
      <c r="Q27" s="102">
        <v>269.863</v>
      </c>
      <c r="R27" s="213">
        <v>145.35</v>
      </c>
    </row>
    <row r="28" spans="2:23" x14ac:dyDescent="0.25">
      <c r="B28" s="37" t="s">
        <v>18</v>
      </c>
      <c r="C28" s="100">
        <f t="shared" ref="C28:H28" si="13">C27/C5</f>
        <v>3.4060659837057361E-2</v>
      </c>
      <c r="D28" s="100">
        <f t="shared" si="13"/>
        <v>4.9839089325372031E-2</v>
      </c>
      <c r="E28" s="110">
        <f t="shared" si="13"/>
        <v>6.5640588562238145E-2</v>
      </c>
      <c r="F28" s="110">
        <f t="shared" si="13"/>
        <v>8.9345171505706339E-2</v>
      </c>
      <c r="G28" s="110">
        <f t="shared" si="13"/>
        <v>8.833645691763109E-2</v>
      </c>
      <c r="H28" s="116">
        <f t="shared" si="13"/>
        <v>8.9968941958656373E-2</v>
      </c>
      <c r="I28" s="116">
        <f>I27/I5</f>
        <v>8.6319233725727765E-2</v>
      </c>
      <c r="J28" s="47"/>
      <c r="K28" s="146" t="s">
        <v>42</v>
      </c>
      <c r="L28" s="192">
        <v>342.53</v>
      </c>
      <c r="M28" s="192">
        <v>359.15</v>
      </c>
      <c r="N28" s="192">
        <v>222.05600000000001</v>
      </c>
      <c r="O28" s="192">
        <v>482.28899999999999</v>
      </c>
      <c r="P28" s="192">
        <v>694.07299999999998</v>
      </c>
      <c r="Q28" s="93">
        <v>588.04100000000005</v>
      </c>
      <c r="R28" s="212">
        <v>665.06100000000004</v>
      </c>
    </row>
    <row r="29" spans="2:23" x14ac:dyDescent="0.25">
      <c r="B29" s="38" t="s">
        <v>3</v>
      </c>
      <c r="C29" s="99" t="s">
        <v>161</v>
      </c>
      <c r="D29" s="99" t="s">
        <v>161</v>
      </c>
      <c r="E29" s="109">
        <f>+((E27/C27)^(1/2)-1)</f>
        <v>0.4953727721372676</v>
      </c>
      <c r="F29" s="109">
        <f>+((F27/C27)^(1/3)-1)</f>
        <v>0.4966634167035322</v>
      </c>
      <c r="G29" s="109">
        <f>+((G27/D27)^(1/3)-1)</f>
        <v>0.28159800885223119</v>
      </c>
      <c r="H29" s="109">
        <f t="shared" ref="H29" si="14">+((H27/E27)^(1/3)-1)</f>
        <v>0.25060857245335377</v>
      </c>
      <c r="I29" s="109">
        <f>+((I27/F27)^(1/3)-1)</f>
        <v>8.6529634563909497E-2</v>
      </c>
      <c r="J29" s="47"/>
      <c r="K29" s="146" t="s">
        <v>43</v>
      </c>
      <c r="L29" s="192">
        <v>19.170000000000002</v>
      </c>
      <c r="M29" s="192">
        <v>29.41</v>
      </c>
      <c r="N29" s="192">
        <v>52.472999999999999</v>
      </c>
      <c r="O29" s="192">
        <v>40.173999999999999</v>
      </c>
      <c r="P29" s="192">
        <v>38.484999999999999</v>
      </c>
      <c r="Q29" s="93">
        <v>41.683999999999997</v>
      </c>
      <c r="R29" s="212">
        <v>2.4449999999999998</v>
      </c>
    </row>
    <row r="30" spans="2:23" x14ac:dyDescent="0.25">
      <c r="B30" s="36" t="s">
        <v>19</v>
      </c>
      <c r="C30" s="102" t="s">
        <v>105</v>
      </c>
      <c r="D30" s="102" t="s">
        <v>105</v>
      </c>
      <c r="E30" s="111" t="s">
        <v>105</v>
      </c>
      <c r="F30" s="94">
        <v>0.439</v>
      </c>
      <c r="G30" s="111" t="s">
        <v>105</v>
      </c>
      <c r="H30" s="111" t="s">
        <v>105</v>
      </c>
      <c r="I30" s="111" t="s">
        <v>105</v>
      </c>
      <c r="J30" s="47"/>
      <c r="K30" s="146" t="s">
        <v>44</v>
      </c>
      <c r="L30" s="192">
        <v>0.91</v>
      </c>
      <c r="M30" s="192">
        <v>0.74</v>
      </c>
      <c r="N30" s="192">
        <v>0.97099999999999997</v>
      </c>
      <c r="O30" s="192">
        <v>266.92500000000001</v>
      </c>
      <c r="P30" s="192">
        <v>247.41200000000001</v>
      </c>
      <c r="Q30" s="93">
        <v>358.64499999999998</v>
      </c>
      <c r="R30" s="212">
        <v>322.20600000000002</v>
      </c>
    </row>
    <row r="31" spans="2:23" x14ac:dyDescent="0.25">
      <c r="B31" s="36" t="s">
        <v>20</v>
      </c>
      <c r="C31" s="93">
        <v>0.31</v>
      </c>
      <c r="D31" s="93">
        <v>7.58</v>
      </c>
      <c r="E31" s="94">
        <v>0.35099999999999998</v>
      </c>
      <c r="F31" s="94">
        <v>0.26300000000000001</v>
      </c>
      <c r="G31" s="111">
        <v>-10.676</v>
      </c>
      <c r="H31" s="56">
        <v>0.79</v>
      </c>
      <c r="I31" s="56">
        <v>-1.599</v>
      </c>
      <c r="J31" s="47"/>
      <c r="K31" s="146" t="s">
        <v>45</v>
      </c>
      <c r="L31" s="192">
        <v>2.36</v>
      </c>
      <c r="M31" s="192">
        <v>2.95</v>
      </c>
      <c r="N31" s="192">
        <v>2.774</v>
      </c>
      <c r="O31" s="192">
        <v>0.55200000000000005</v>
      </c>
      <c r="P31" s="192">
        <v>1.1639999999999999</v>
      </c>
      <c r="Q31" s="93">
        <v>0.499</v>
      </c>
      <c r="R31" s="212">
        <v>1.804</v>
      </c>
    </row>
    <row r="32" spans="2:23" x14ac:dyDescent="0.25">
      <c r="B32" s="37" t="s">
        <v>21</v>
      </c>
      <c r="C32" s="98">
        <f>C27+C31</f>
        <v>84.760000000000019</v>
      </c>
      <c r="D32" s="98">
        <f>D27+D31</f>
        <v>157.49000000000004</v>
      </c>
      <c r="E32" s="108">
        <f>E27+E31</f>
        <v>189.19299999999998</v>
      </c>
      <c r="F32" s="108">
        <f>F27-F30+F31</f>
        <v>282.94499999999994</v>
      </c>
      <c r="G32" s="108">
        <f>G27-G31</f>
        <v>326.23899999999975</v>
      </c>
      <c r="H32" s="115">
        <f>H27+H31</f>
        <v>370.16100000000012</v>
      </c>
      <c r="I32" s="115">
        <f>I27+I31</f>
        <v>361.56000000000029</v>
      </c>
      <c r="J32" s="47"/>
      <c r="K32" s="51" t="s">
        <v>160</v>
      </c>
      <c r="L32" s="193" t="s">
        <v>105</v>
      </c>
      <c r="M32" s="193" t="s">
        <v>105</v>
      </c>
      <c r="N32" s="193" t="s">
        <v>105</v>
      </c>
      <c r="O32" s="193" t="s">
        <v>105</v>
      </c>
      <c r="P32" s="193" t="s">
        <v>105</v>
      </c>
      <c r="Q32" s="194" t="s">
        <v>105</v>
      </c>
      <c r="R32" s="214" t="s">
        <v>105</v>
      </c>
      <c r="S32" s="49"/>
      <c r="T32" s="49"/>
      <c r="U32" s="49"/>
      <c r="V32" s="49"/>
      <c r="W32" s="49"/>
    </row>
    <row r="33" spans="2:19" ht="15.75" thickBot="1" x14ac:dyDescent="0.3">
      <c r="B33" s="38" t="s">
        <v>2</v>
      </c>
      <c r="C33" s="99" t="s">
        <v>161</v>
      </c>
      <c r="D33" s="105">
        <f t="shared" ref="D33:H33" si="15">D32/C32-1</f>
        <v>0.8580698442661634</v>
      </c>
      <c r="E33" s="109">
        <f t="shared" si="15"/>
        <v>0.20130166994729781</v>
      </c>
      <c r="F33" s="109">
        <f t="shared" si="15"/>
        <v>0.49553630419730088</v>
      </c>
      <c r="G33" s="109">
        <f t="shared" si="15"/>
        <v>0.15301206948346779</v>
      </c>
      <c r="H33" s="109">
        <f t="shared" si="15"/>
        <v>0.1346313592182431</v>
      </c>
      <c r="I33" s="109">
        <f>I32/H32-1</f>
        <v>-2.3235835217648049E-2</v>
      </c>
      <c r="J33" s="47"/>
      <c r="K33" s="147" t="s">
        <v>46</v>
      </c>
      <c r="L33" s="195">
        <v>245.58</v>
      </c>
      <c r="M33" s="195">
        <v>367.52</v>
      </c>
      <c r="N33" s="195">
        <v>236.78</v>
      </c>
      <c r="O33" s="195">
        <v>280.35199999999998</v>
      </c>
      <c r="P33" s="195">
        <v>237.46899999999999</v>
      </c>
      <c r="Q33" s="88">
        <v>242.458</v>
      </c>
      <c r="R33" s="215">
        <v>299.49</v>
      </c>
    </row>
    <row r="34" spans="2:19" ht="15.75" thickBot="1" x14ac:dyDescent="0.3">
      <c r="B34" s="38" t="s">
        <v>3</v>
      </c>
      <c r="C34" s="99" t="s">
        <v>161</v>
      </c>
      <c r="D34" s="99" t="s">
        <v>161</v>
      </c>
      <c r="E34" s="109">
        <f>+((E32/C32)^(1/2)-1)</f>
        <v>0.4940222243312371</v>
      </c>
      <c r="F34" s="109">
        <f>+((F32/C32)^(1/3)-1)</f>
        <v>0.49452674722620538</v>
      </c>
      <c r="G34" s="109">
        <f>+((G32/D32)^(1/3)-1)</f>
        <v>0.27475766320285055</v>
      </c>
      <c r="H34" s="109">
        <f>+((H32/E32)^(1/3)-1)</f>
        <v>0.25072509945115473</v>
      </c>
      <c r="I34" s="109">
        <f>+((I32/F32)^(1/3)-1)</f>
        <v>8.5157520697867195E-2</v>
      </c>
      <c r="J34" s="47"/>
      <c r="K34" s="143"/>
    </row>
    <row r="35" spans="2:19" ht="15.75" thickBot="1" x14ac:dyDescent="0.3">
      <c r="B35" s="35" t="s">
        <v>22</v>
      </c>
      <c r="C35" s="103">
        <v>13.53</v>
      </c>
      <c r="D35" s="103">
        <v>24.02</v>
      </c>
      <c r="E35" s="113">
        <v>30.26</v>
      </c>
      <c r="F35" s="113">
        <v>45.3</v>
      </c>
      <c r="G35" s="113">
        <v>52.28</v>
      </c>
      <c r="H35" s="118">
        <v>59.19</v>
      </c>
      <c r="I35" s="118">
        <v>58.2</v>
      </c>
      <c r="J35" s="47"/>
      <c r="K35" s="144" t="s">
        <v>47</v>
      </c>
      <c r="L35" s="176">
        <f>L36+L37+L38+L40+L10</f>
        <v>898.82999999999993</v>
      </c>
      <c r="M35" s="182">
        <f>M36+M37+M38+M40+M10</f>
        <v>1012.97</v>
      </c>
      <c r="N35" s="182">
        <f>N36+N37+N38+N40+N10</f>
        <v>822.79899999999998</v>
      </c>
      <c r="O35" s="182">
        <f>O36+O37+O38+O40+O10</f>
        <v>1015.8409999999999</v>
      </c>
      <c r="P35" s="182">
        <f>SUM(P36:P38)+P10</f>
        <v>903.577</v>
      </c>
      <c r="Q35" s="164">
        <f>SUM(Q36:Q38)+Q10+Q40</f>
        <v>1397.8320000000001</v>
      </c>
      <c r="R35" s="164">
        <f>SUM(R36:R38)+R10+R40</f>
        <v>1383.606</v>
      </c>
    </row>
    <row r="36" spans="2:19" x14ac:dyDescent="0.25">
      <c r="B36" s="39" t="s">
        <v>2</v>
      </c>
      <c r="C36" s="99" t="s">
        <v>161</v>
      </c>
      <c r="D36" s="105">
        <f t="shared" ref="D36:H36" si="16">D35/C35-1</f>
        <v>0.77531411677753148</v>
      </c>
      <c r="E36" s="109">
        <f t="shared" si="16"/>
        <v>0.25978351373855135</v>
      </c>
      <c r="F36" s="109">
        <f t="shared" si="16"/>
        <v>0.49702577660277569</v>
      </c>
      <c r="G36" s="109">
        <f t="shared" si="16"/>
        <v>0.15408388520971306</v>
      </c>
      <c r="H36" s="109">
        <f t="shared" si="16"/>
        <v>0.13217291507268558</v>
      </c>
      <c r="I36" s="109">
        <f>I35/H35-1</f>
        <v>-1.6725798276735815E-2</v>
      </c>
      <c r="J36" s="47"/>
      <c r="K36" s="151" t="s">
        <v>48</v>
      </c>
      <c r="L36" s="183">
        <v>236.74</v>
      </c>
      <c r="M36" s="184">
        <v>384.05</v>
      </c>
      <c r="N36" s="184">
        <v>343.29199999999997</v>
      </c>
      <c r="O36" s="184">
        <v>363.34300000000002</v>
      </c>
      <c r="P36" s="184">
        <v>354.42700000000002</v>
      </c>
      <c r="Q36" s="181">
        <v>412.74099999999999</v>
      </c>
      <c r="R36" s="211">
        <v>394.48</v>
      </c>
    </row>
    <row r="37" spans="2:19" ht="15.75" thickBot="1" x14ac:dyDescent="0.3">
      <c r="B37" s="40" t="s">
        <v>3</v>
      </c>
      <c r="C37" s="104" t="s">
        <v>161</v>
      </c>
      <c r="D37" s="104" t="s">
        <v>161</v>
      </c>
      <c r="E37" s="114">
        <f>+((E35/C35)^(1/2)-1)</f>
        <v>0.49549705985122272</v>
      </c>
      <c r="F37" s="114">
        <f>+((F35/C35)^(1/3)-1)</f>
        <v>0.4960064585697932</v>
      </c>
      <c r="G37" s="114">
        <f>+((G35/D35)^(1/3)-1)</f>
        <v>0.295947849280914</v>
      </c>
      <c r="H37" s="114">
        <f>+((H35/E35)^(1/3)-1)</f>
        <v>0.25062317462028161</v>
      </c>
      <c r="I37" s="114">
        <f>+((I35/F35)^(1/3)-1)</f>
        <v>8.7113596649447178E-2</v>
      </c>
      <c r="J37" s="47"/>
      <c r="K37" s="51" t="s">
        <v>49</v>
      </c>
      <c r="L37" s="185">
        <v>16.22</v>
      </c>
      <c r="M37" s="186">
        <v>43.86</v>
      </c>
      <c r="N37" s="186">
        <v>40.415999999999997</v>
      </c>
      <c r="O37" s="186">
        <v>36.621000000000002</v>
      </c>
      <c r="P37" s="186">
        <v>9.6769999999999996</v>
      </c>
      <c r="Q37" s="172">
        <v>50.673999999999999</v>
      </c>
      <c r="R37" s="212">
        <v>10.227</v>
      </c>
    </row>
    <row r="38" spans="2:19" x14ac:dyDescent="0.25">
      <c r="J38" s="47"/>
      <c r="K38" s="51" t="s">
        <v>50</v>
      </c>
      <c r="L38" s="185">
        <v>170.83</v>
      </c>
      <c r="M38" s="186">
        <v>127.77</v>
      </c>
      <c r="N38" s="186">
        <v>114.28400000000001</v>
      </c>
      <c r="O38" s="186">
        <v>81.421999999999997</v>
      </c>
      <c r="P38" s="186">
        <v>65.358000000000004</v>
      </c>
      <c r="Q38" s="172">
        <v>66.125</v>
      </c>
      <c r="R38" s="212">
        <v>87.274000000000001</v>
      </c>
    </row>
    <row r="39" spans="2:19" ht="15.75" thickBot="1" x14ac:dyDescent="0.3">
      <c r="J39" s="47"/>
      <c r="K39" s="151" t="s">
        <v>51</v>
      </c>
      <c r="L39" s="168" t="s">
        <v>105</v>
      </c>
      <c r="M39" s="169" t="s">
        <v>105</v>
      </c>
      <c r="N39" s="169" t="s">
        <v>105</v>
      </c>
      <c r="O39" s="169" t="s">
        <v>105</v>
      </c>
      <c r="P39" s="169" t="s">
        <v>105</v>
      </c>
      <c r="Q39" s="170" t="s">
        <v>105</v>
      </c>
      <c r="R39" s="214" t="s">
        <v>105</v>
      </c>
      <c r="S39" s="49"/>
    </row>
    <row r="40" spans="2:19" ht="15.75" thickBot="1" x14ac:dyDescent="0.3">
      <c r="B40" s="130" t="s">
        <v>84</v>
      </c>
      <c r="C40" s="131"/>
      <c r="D40" s="131"/>
      <c r="E40" s="131"/>
      <c r="F40" s="131"/>
      <c r="G40" s="131"/>
      <c r="H40" s="131"/>
      <c r="I40" s="132"/>
      <c r="J40" s="47"/>
      <c r="K40" s="147" t="s">
        <v>100</v>
      </c>
      <c r="L40" s="187">
        <v>4.1500000000000004</v>
      </c>
      <c r="M40" s="188">
        <v>4.3499999999999996</v>
      </c>
      <c r="N40" s="188">
        <v>1.2589999999999999</v>
      </c>
      <c r="O40" s="188">
        <v>1.468</v>
      </c>
      <c r="P40" s="189" t="s">
        <v>105</v>
      </c>
      <c r="Q40" s="190">
        <v>0.52800000000000002</v>
      </c>
      <c r="R40" s="216">
        <v>1.8460000000000001</v>
      </c>
    </row>
    <row r="41" spans="2:19" ht="15.75" thickBot="1" x14ac:dyDescent="0.3">
      <c r="B41" s="48" t="s">
        <v>0</v>
      </c>
      <c r="C41" s="125" t="s">
        <v>23</v>
      </c>
      <c r="D41" s="126" t="s">
        <v>24</v>
      </c>
      <c r="E41" s="126" t="s">
        <v>25</v>
      </c>
      <c r="F41" s="126" t="s">
        <v>26</v>
      </c>
      <c r="G41" s="126" t="s">
        <v>108</v>
      </c>
      <c r="H41" s="126" t="s">
        <v>163</v>
      </c>
      <c r="I41" s="126" t="s">
        <v>165</v>
      </c>
      <c r="J41" s="47"/>
      <c r="K41" s="143"/>
    </row>
    <row r="42" spans="2:19" ht="15.75" thickBot="1" x14ac:dyDescent="0.3">
      <c r="B42" s="34" t="s">
        <v>78</v>
      </c>
      <c r="C42" s="57">
        <v>16.989999999999998</v>
      </c>
      <c r="D42" s="60">
        <v>20.079999999999998</v>
      </c>
      <c r="E42" s="60">
        <v>30.15</v>
      </c>
      <c r="F42" s="64">
        <v>53.444000000000003</v>
      </c>
      <c r="G42" s="64">
        <f>F47</f>
        <v>307.09900000000005</v>
      </c>
      <c r="H42" s="64">
        <f>G47</f>
        <v>285.89800000000002</v>
      </c>
      <c r="I42" s="64">
        <f>H47</f>
        <v>400.33199999999999</v>
      </c>
      <c r="J42" s="47"/>
      <c r="K42" s="144" t="s">
        <v>52</v>
      </c>
      <c r="L42" s="176">
        <f>L24-L35</f>
        <v>363.29999999999995</v>
      </c>
      <c r="M42" s="177">
        <f t="shared" ref="M42:P42" si="17">M24-M35</f>
        <v>478.88000000000011</v>
      </c>
      <c r="N42" s="177">
        <f t="shared" si="17"/>
        <v>662.12199999999984</v>
      </c>
      <c r="O42" s="177">
        <f t="shared" si="17"/>
        <v>814.42599999999993</v>
      </c>
      <c r="P42" s="177">
        <f t="shared" si="17"/>
        <v>1030.2170000000001</v>
      </c>
      <c r="Q42" s="178">
        <f t="shared" ref="Q42:R42" si="18">Q24-Q35</f>
        <v>960.66299999999933</v>
      </c>
      <c r="R42" s="178">
        <f t="shared" si="18"/>
        <v>1120.9469999999999</v>
      </c>
    </row>
    <row r="43" spans="2:19" ht="15.75" thickBot="1" x14ac:dyDescent="0.3">
      <c r="B43" s="36" t="s">
        <v>79</v>
      </c>
      <c r="C43" s="58">
        <v>55.73</v>
      </c>
      <c r="D43" s="61">
        <v>213.53</v>
      </c>
      <c r="E43" s="61">
        <v>376.83</v>
      </c>
      <c r="F43" s="65">
        <v>188.232</v>
      </c>
      <c r="G43" s="65">
        <v>12.46</v>
      </c>
      <c r="H43" s="65">
        <v>534.52499999999998</v>
      </c>
      <c r="I43" s="65">
        <v>63.747</v>
      </c>
      <c r="J43" s="47"/>
      <c r="K43" s="152" t="s">
        <v>162</v>
      </c>
      <c r="L43" s="179">
        <f>L44+L9</f>
        <v>38.940000000000005</v>
      </c>
      <c r="M43" s="180">
        <f>M44+M9</f>
        <v>41.95</v>
      </c>
      <c r="N43" s="180">
        <f>N44+N9</f>
        <v>43.89</v>
      </c>
      <c r="O43" s="180">
        <f>O44+O9</f>
        <v>41.722999999999999</v>
      </c>
      <c r="P43" s="180">
        <f>P44+P9+P46</f>
        <v>123.003</v>
      </c>
      <c r="Q43" s="91">
        <f>Q44+Q9+Q46</f>
        <v>112.18199999999999</v>
      </c>
      <c r="R43" s="91">
        <f>R44+R9+R46</f>
        <v>118.504</v>
      </c>
    </row>
    <row r="44" spans="2:19" x14ac:dyDescent="0.25">
      <c r="B44" s="36" t="s">
        <v>80</v>
      </c>
      <c r="C44" s="58">
        <v>15.8</v>
      </c>
      <c r="D44" s="61">
        <v>-136.85</v>
      </c>
      <c r="E44" s="61">
        <v>-213.49</v>
      </c>
      <c r="F44" s="65">
        <v>-115.556</v>
      </c>
      <c r="G44" s="65">
        <v>-19.59</v>
      </c>
      <c r="H44" s="65">
        <v>-750.41899999999998</v>
      </c>
      <c r="I44" s="65">
        <v>-97.753</v>
      </c>
      <c r="J44" s="47"/>
      <c r="K44" s="151" t="s">
        <v>53</v>
      </c>
      <c r="L44" s="166">
        <v>3.42</v>
      </c>
      <c r="M44" s="167">
        <v>6.43</v>
      </c>
      <c r="N44" s="167">
        <v>8.3770000000000007</v>
      </c>
      <c r="O44" s="167">
        <v>6.21</v>
      </c>
      <c r="P44" s="167">
        <v>3.5369999999999999</v>
      </c>
      <c r="Q44" s="165">
        <v>9.2479999999999993</v>
      </c>
      <c r="R44" s="211">
        <v>18.231000000000002</v>
      </c>
    </row>
    <row r="45" spans="2:19" ht="15.75" thickBot="1" x14ac:dyDescent="0.3">
      <c r="B45" s="36" t="s">
        <v>81</v>
      </c>
      <c r="C45" s="59">
        <v>-68.44</v>
      </c>
      <c r="D45" s="62">
        <v>-66.61</v>
      </c>
      <c r="E45" s="62">
        <v>180.98</v>
      </c>
      <c r="F45" s="66">
        <v>180.97900000000001</v>
      </c>
      <c r="G45" s="66">
        <v>-14.071</v>
      </c>
      <c r="H45" s="66">
        <v>330.32799999999997</v>
      </c>
      <c r="I45" s="66">
        <v>-41.671999999999997</v>
      </c>
      <c r="J45" s="47"/>
      <c r="K45" s="51" t="s">
        <v>103</v>
      </c>
      <c r="L45" s="168" t="s">
        <v>105</v>
      </c>
      <c r="M45" s="169" t="s">
        <v>105</v>
      </c>
      <c r="N45" s="169" t="s">
        <v>105</v>
      </c>
      <c r="O45" s="169" t="s">
        <v>105</v>
      </c>
      <c r="P45" s="169" t="s">
        <v>105</v>
      </c>
      <c r="Q45" s="170" t="s">
        <v>105</v>
      </c>
      <c r="R45" s="214" t="s">
        <v>105</v>
      </c>
    </row>
    <row r="46" spans="2:19" ht="15.75" thickBot="1" x14ac:dyDescent="0.3">
      <c r="B46" s="37" t="s">
        <v>82</v>
      </c>
      <c r="C46" s="52">
        <f t="shared" ref="C46:G46" si="19">C43+C44+C45</f>
        <v>3.0900000000000034</v>
      </c>
      <c r="D46" s="63">
        <f t="shared" si="19"/>
        <v>10.070000000000007</v>
      </c>
      <c r="E46" s="63">
        <f t="shared" si="19"/>
        <v>344.31999999999994</v>
      </c>
      <c r="F46" s="67">
        <f t="shared" si="19"/>
        <v>253.65500000000003</v>
      </c>
      <c r="G46" s="67">
        <f t="shared" si="19"/>
        <v>-21.201000000000001</v>
      </c>
      <c r="H46" s="67">
        <f>H43+H44+H45</f>
        <v>114.43399999999997</v>
      </c>
      <c r="I46" s="67">
        <f>I43+I44+I45</f>
        <v>-75.677999999999997</v>
      </c>
      <c r="J46" s="47"/>
      <c r="K46" s="51" t="s">
        <v>101</v>
      </c>
      <c r="L46" s="168" t="s">
        <v>105</v>
      </c>
      <c r="M46" s="169" t="s">
        <v>105</v>
      </c>
      <c r="N46" s="169" t="s">
        <v>105</v>
      </c>
      <c r="O46" s="169" t="s">
        <v>105</v>
      </c>
      <c r="P46" s="171">
        <v>59.804000000000002</v>
      </c>
      <c r="Q46" s="172">
        <v>63.293999999999997</v>
      </c>
      <c r="R46" s="212">
        <v>63.134</v>
      </c>
    </row>
    <row r="47" spans="2:19" ht="15.75" thickBot="1" x14ac:dyDescent="0.3">
      <c r="B47" s="43" t="s">
        <v>83</v>
      </c>
      <c r="C47" s="52">
        <v>20.079999999999998</v>
      </c>
      <c r="D47" s="63">
        <v>30.15</v>
      </c>
      <c r="E47" s="63">
        <v>53.44</v>
      </c>
      <c r="F47" s="67">
        <f>F42+F46</f>
        <v>307.09900000000005</v>
      </c>
      <c r="G47" s="67">
        <f>G46+G42</f>
        <v>285.89800000000002</v>
      </c>
      <c r="H47" s="67">
        <f>H46+H42</f>
        <v>400.33199999999999</v>
      </c>
      <c r="I47" s="67">
        <f>I46+I42</f>
        <v>324.654</v>
      </c>
      <c r="J47" s="47"/>
      <c r="K47" s="153" t="s">
        <v>54</v>
      </c>
      <c r="L47" s="173" t="s">
        <v>105</v>
      </c>
      <c r="M47" s="174" t="s">
        <v>105</v>
      </c>
      <c r="N47" s="174" t="s">
        <v>105</v>
      </c>
      <c r="O47" s="174" t="s">
        <v>105</v>
      </c>
      <c r="P47" s="174" t="s">
        <v>105</v>
      </c>
      <c r="Q47" s="175" t="s">
        <v>105</v>
      </c>
      <c r="R47" s="217" t="s">
        <v>105</v>
      </c>
    </row>
    <row r="48" spans="2:19" ht="15.75" thickBot="1" x14ac:dyDescent="0.3">
      <c r="J48" s="47"/>
      <c r="K48" s="144" t="s">
        <v>55</v>
      </c>
      <c r="L48" s="176">
        <f t="shared" ref="L48:R48" si="20">L15+L24</f>
        <v>1727.9099999999999</v>
      </c>
      <c r="M48" s="177">
        <f t="shared" si="20"/>
        <v>1987.0600000000002</v>
      </c>
      <c r="N48" s="177">
        <f t="shared" si="20"/>
        <v>1968.7039999999997</v>
      </c>
      <c r="O48" s="177">
        <f t="shared" si="20"/>
        <v>2525.3979999999997</v>
      </c>
      <c r="P48" s="177">
        <f t="shared" si="20"/>
        <v>2748.38</v>
      </c>
      <c r="Q48" s="178">
        <f t="shared" si="20"/>
        <v>3542.3029999999994</v>
      </c>
      <c r="R48" s="178">
        <f t="shared" si="20"/>
        <v>3877.2379999999998</v>
      </c>
    </row>
    <row r="49" spans="2:21" ht="15.75" thickBot="1" x14ac:dyDescent="0.3">
      <c r="B49" s="133" t="s">
        <v>85</v>
      </c>
      <c r="C49" s="134"/>
      <c r="D49" s="134"/>
      <c r="E49" s="134"/>
      <c r="F49" s="134"/>
      <c r="G49" s="134"/>
      <c r="H49" s="134"/>
      <c r="I49" s="135"/>
      <c r="J49" s="47"/>
      <c r="K49" s="152" t="s">
        <v>56</v>
      </c>
      <c r="L49" s="179">
        <f t="shared" ref="L49:R49" si="21">L43+L35+L7</f>
        <v>1727.9099999999999</v>
      </c>
      <c r="M49" s="180">
        <f t="shared" si="21"/>
        <v>1987.06</v>
      </c>
      <c r="N49" s="180">
        <f t="shared" si="21"/>
        <v>1968.7040000000002</v>
      </c>
      <c r="O49" s="180">
        <f t="shared" si="21"/>
        <v>2525.3959999999997</v>
      </c>
      <c r="P49" s="180">
        <f t="shared" si="21"/>
        <v>2748.3779999999997</v>
      </c>
      <c r="Q49" s="91">
        <f t="shared" si="21"/>
        <v>3542.3029999999999</v>
      </c>
      <c r="R49" s="91">
        <f t="shared" si="21"/>
        <v>3877.2389999999996</v>
      </c>
    </row>
    <row r="50" spans="2:21" ht="15.75" thickBot="1" x14ac:dyDescent="0.3">
      <c r="B50" s="52" t="s">
        <v>106</v>
      </c>
      <c r="C50" s="120" t="s">
        <v>23</v>
      </c>
      <c r="D50" s="121" t="s">
        <v>24</v>
      </c>
      <c r="E50" s="121" t="s">
        <v>25</v>
      </c>
      <c r="F50" s="121" t="s">
        <v>26</v>
      </c>
      <c r="G50" s="121" t="s">
        <v>108</v>
      </c>
      <c r="H50" s="121" t="s">
        <v>163</v>
      </c>
      <c r="I50" s="121" t="s">
        <v>165</v>
      </c>
      <c r="J50" s="47"/>
      <c r="K50" s="143"/>
    </row>
    <row r="51" spans="2:21" ht="15.75" thickBot="1" x14ac:dyDescent="0.3">
      <c r="B51" s="41" t="s">
        <v>86</v>
      </c>
      <c r="C51" s="68">
        <f t="shared" ref="C51:H51" si="22">C43</f>
        <v>55.73</v>
      </c>
      <c r="D51" s="69">
        <f t="shared" si="22"/>
        <v>213.53</v>
      </c>
      <c r="E51" s="69">
        <f t="shared" si="22"/>
        <v>376.83</v>
      </c>
      <c r="F51" s="69">
        <f t="shared" si="22"/>
        <v>188.232</v>
      </c>
      <c r="G51" s="70">
        <f t="shared" si="22"/>
        <v>12.46</v>
      </c>
      <c r="H51" s="70">
        <f t="shared" si="22"/>
        <v>534.52499999999998</v>
      </c>
      <c r="I51" s="70">
        <f>I43</f>
        <v>63.747</v>
      </c>
      <c r="J51" s="47"/>
      <c r="K51" s="148" t="s">
        <v>77</v>
      </c>
      <c r="L51" s="131"/>
      <c r="M51" s="131"/>
      <c r="N51" s="131"/>
      <c r="O51" s="131"/>
      <c r="P51" s="131"/>
      <c r="Q51" s="131"/>
      <c r="R51" s="132"/>
    </row>
    <row r="52" spans="2:21" ht="15.75" thickBot="1" x14ac:dyDescent="0.3">
      <c r="B52" s="36" t="s">
        <v>87</v>
      </c>
      <c r="C52" s="127">
        <v>51.131999999999998</v>
      </c>
      <c r="D52" s="127">
        <v>51.131999999999998</v>
      </c>
      <c r="E52" s="127">
        <v>51.131999999999998</v>
      </c>
      <c r="F52" s="127">
        <v>51.131999999999998</v>
      </c>
      <c r="G52" s="127">
        <v>51.131999999999998</v>
      </c>
      <c r="H52" s="127">
        <v>458.44</v>
      </c>
      <c r="I52" s="127">
        <v>263.31700000000001</v>
      </c>
      <c r="J52" s="47"/>
      <c r="K52" s="149" t="s">
        <v>57</v>
      </c>
      <c r="L52" s="120" t="s">
        <v>23</v>
      </c>
      <c r="M52" s="121" t="s">
        <v>24</v>
      </c>
      <c r="N52" s="121" t="s">
        <v>25</v>
      </c>
      <c r="O52" s="121" t="s">
        <v>26</v>
      </c>
      <c r="P52" s="121" t="s">
        <v>108</v>
      </c>
      <c r="Q52" s="121" t="s">
        <v>163</v>
      </c>
      <c r="R52" s="121" t="s">
        <v>165</v>
      </c>
    </row>
    <row r="53" spans="2:21" ht="15.75" thickBot="1" x14ac:dyDescent="0.3">
      <c r="B53" s="43" t="s">
        <v>88</v>
      </c>
      <c r="C53" s="128">
        <f>C51-C52</f>
        <v>4.597999999999999</v>
      </c>
      <c r="D53" s="128">
        <f t="shared" ref="D53:H53" si="23">D51-D52</f>
        <v>162.398</v>
      </c>
      <c r="E53" s="128">
        <f t="shared" si="23"/>
        <v>325.69799999999998</v>
      </c>
      <c r="F53" s="128">
        <f t="shared" si="23"/>
        <v>137.1</v>
      </c>
      <c r="G53" s="128">
        <f t="shared" si="23"/>
        <v>-38.671999999999997</v>
      </c>
      <c r="H53" s="128">
        <f t="shared" si="23"/>
        <v>76.08499999999998</v>
      </c>
      <c r="I53" s="128">
        <f>I51-I52</f>
        <v>-199.57</v>
      </c>
      <c r="J53" s="47"/>
      <c r="K53" s="154" t="s">
        <v>58</v>
      </c>
      <c r="L53" s="203">
        <v>296.7</v>
      </c>
      <c r="M53" s="204">
        <v>231</v>
      </c>
      <c r="N53" s="204">
        <v>139.4</v>
      </c>
      <c r="O53" s="204">
        <v>390</v>
      </c>
      <c r="P53" s="204">
        <v>758.1</v>
      </c>
      <c r="Q53" s="204">
        <v>735.3</v>
      </c>
      <c r="R53" s="205">
        <v>999.85</v>
      </c>
    </row>
    <row r="54" spans="2:21" ht="15.75" thickBot="1" x14ac:dyDescent="0.3">
      <c r="J54" s="47"/>
      <c r="K54" s="155" t="s">
        <v>59</v>
      </c>
      <c r="L54" s="197">
        <f t="shared" ref="L54:R54" si="24">C35</f>
        <v>13.53</v>
      </c>
      <c r="M54" s="196">
        <f t="shared" si="24"/>
        <v>24.02</v>
      </c>
      <c r="N54" s="196">
        <f t="shared" si="24"/>
        <v>30.26</v>
      </c>
      <c r="O54" s="196">
        <f t="shared" si="24"/>
        <v>45.3</v>
      </c>
      <c r="P54" s="196">
        <f t="shared" si="24"/>
        <v>52.28</v>
      </c>
      <c r="Q54" s="196">
        <f t="shared" si="24"/>
        <v>59.19</v>
      </c>
      <c r="R54" s="196">
        <f t="shared" si="24"/>
        <v>58.2</v>
      </c>
    </row>
    <row r="55" spans="2:21" ht="15.75" thickBot="1" x14ac:dyDescent="0.3">
      <c r="B55" s="46" t="s">
        <v>107</v>
      </c>
      <c r="C55" s="44" t="s">
        <v>23</v>
      </c>
      <c r="D55" s="45" t="s">
        <v>24</v>
      </c>
      <c r="E55" s="45" t="s">
        <v>25</v>
      </c>
      <c r="F55" s="45" t="s">
        <v>26</v>
      </c>
      <c r="G55" s="45" t="s">
        <v>108</v>
      </c>
      <c r="H55" s="45" t="s">
        <v>163</v>
      </c>
      <c r="I55" s="45" t="s">
        <v>165</v>
      </c>
      <c r="J55" s="47"/>
      <c r="K55" s="156" t="s">
        <v>60</v>
      </c>
      <c r="L55" s="197">
        <f t="shared" ref="L55:Q55" si="25">L7*1000000/C56</f>
        <v>126.625</v>
      </c>
      <c r="M55" s="196">
        <f t="shared" si="25"/>
        <v>149.38141025641025</v>
      </c>
      <c r="N55" s="196">
        <f t="shared" si="25"/>
        <v>176.60496794871796</v>
      </c>
      <c r="O55" s="196">
        <f t="shared" si="25"/>
        <v>235.22948717948717</v>
      </c>
      <c r="P55" s="196">
        <f t="shared" si="25"/>
        <v>275.92916666666667</v>
      </c>
      <c r="Q55" s="196">
        <f t="shared" si="25"/>
        <v>325.68733974358975</v>
      </c>
      <c r="R55" s="196">
        <f>R7*1000000/I56</f>
        <v>380.62964743589743</v>
      </c>
    </row>
    <row r="56" spans="2:21" x14ac:dyDescent="0.25">
      <c r="B56" s="42" t="s">
        <v>89</v>
      </c>
      <c r="C56" s="71">
        <v>6240000</v>
      </c>
      <c r="D56" s="75">
        <v>6240000</v>
      </c>
      <c r="E56" s="75">
        <v>6240000</v>
      </c>
      <c r="F56" s="75">
        <v>6240000</v>
      </c>
      <c r="G56" s="75">
        <v>6240000</v>
      </c>
      <c r="H56" s="75">
        <v>6240000</v>
      </c>
      <c r="I56" s="75">
        <v>6240000</v>
      </c>
      <c r="J56" s="47"/>
      <c r="K56" s="156" t="s">
        <v>61</v>
      </c>
      <c r="L56" s="200">
        <v>2</v>
      </c>
      <c r="M56" s="201">
        <v>2</v>
      </c>
      <c r="N56" s="201">
        <v>2</v>
      </c>
      <c r="O56" s="201">
        <v>3</v>
      </c>
      <c r="P56" s="201">
        <v>3</v>
      </c>
      <c r="Q56" s="202">
        <v>3</v>
      </c>
      <c r="R56" s="202">
        <v>3</v>
      </c>
    </row>
    <row r="57" spans="2:21" x14ac:dyDescent="0.25">
      <c r="B57" s="39" t="s">
        <v>164</v>
      </c>
      <c r="C57" s="72">
        <f t="shared" ref="C57:H57" si="26">C56*L53/1000000</f>
        <v>1851.4079999999999</v>
      </c>
      <c r="D57" s="76">
        <f t="shared" si="26"/>
        <v>1441.44</v>
      </c>
      <c r="E57" s="76">
        <f t="shared" si="26"/>
        <v>869.85599999999999</v>
      </c>
      <c r="F57" s="76">
        <f t="shared" si="26"/>
        <v>2433.6</v>
      </c>
      <c r="G57" s="76">
        <f t="shared" si="26"/>
        <v>4730.5439999999999</v>
      </c>
      <c r="H57" s="76">
        <f t="shared" si="26"/>
        <v>4588.2719999999999</v>
      </c>
      <c r="I57" s="76">
        <f>I56*R53/1000000</f>
        <v>6239.0640000000003</v>
      </c>
      <c r="J57" s="47"/>
      <c r="K57" s="156" t="s">
        <v>62</v>
      </c>
      <c r="L57" s="198">
        <f>L53/L54</f>
        <v>21.929046563192905</v>
      </c>
      <c r="M57" s="199">
        <f>M53/M54</f>
        <v>9.6169858451290597</v>
      </c>
      <c r="N57" s="199">
        <f t="shared" ref="N57:P57" si="27">N53/N54</f>
        <v>4.606741573033708</v>
      </c>
      <c r="O57" s="199">
        <f t="shared" si="27"/>
        <v>8.6092715231788084</v>
      </c>
      <c r="P57" s="199">
        <f t="shared" si="27"/>
        <v>14.500765110941087</v>
      </c>
      <c r="Q57" s="199">
        <f t="shared" ref="Q57" si="28">Q53/Q54</f>
        <v>12.422706538266599</v>
      </c>
      <c r="R57" s="199">
        <f>R53/R54</f>
        <v>17.179553264604809</v>
      </c>
    </row>
    <row r="58" spans="2:21" x14ac:dyDescent="0.25">
      <c r="B58" s="36" t="s">
        <v>91</v>
      </c>
      <c r="C58" s="73">
        <f t="shared" ref="C58:G58" si="29">L11</f>
        <v>506.40999999999997</v>
      </c>
      <c r="D58" s="77">
        <f t="shared" si="29"/>
        <v>488.46</v>
      </c>
      <c r="E58" s="77">
        <f t="shared" si="29"/>
        <v>359.06099999999998</v>
      </c>
      <c r="F58" s="77">
        <f t="shared" si="29"/>
        <v>568.5</v>
      </c>
      <c r="G58" s="77">
        <f t="shared" si="29"/>
        <v>533.77700000000004</v>
      </c>
      <c r="H58" s="77">
        <f>Q11</f>
        <v>907.404</v>
      </c>
      <c r="I58" s="77">
        <f>R11</f>
        <v>926.91800000000001</v>
      </c>
      <c r="J58" s="47"/>
      <c r="K58" s="156" t="s">
        <v>63</v>
      </c>
      <c r="L58" s="198">
        <f>L53/L55</f>
        <v>2.3431391905231984</v>
      </c>
      <c r="M58" s="199">
        <f>M53/M55</f>
        <v>1.5463771536464481</v>
      </c>
      <c r="N58" s="199">
        <f t="shared" ref="N58:P58" si="30">N53/N55</f>
        <v>0.78933226861703332</v>
      </c>
      <c r="O58" s="199">
        <f t="shared" si="30"/>
        <v>1.6579554063407802</v>
      </c>
      <c r="P58" s="199">
        <f t="shared" si="30"/>
        <v>2.7474442414266949</v>
      </c>
      <c r="Q58" s="199">
        <f t="shared" ref="Q58" si="31">Q53/Q55</f>
        <v>2.2576867758473327</v>
      </c>
      <c r="R58" s="199">
        <f>R53/R55</f>
        <v>2.6268316373552762</v>
      </c>
      <c r="U58" s="129"/>
    </row>
    <row r="59" spans="2:21" x14ac:dyDescent="0.25">
      <c r="B59" s="36" t="s">
        <v>92</v>
      </c>
      <c r="C59" s="73">
        <f t="shared" ref="C59:G59" si="32">L29+L30</f>
        <v>20.080000000000002</v>
      </c>
      <c r="D59" s="77">
        <f t="shared" si="32"/>
        <v>30.15</v>
      </c>
      <c r="E59" s="77">
        <f t="shared" si="32"/>
        <v>53.443999999999996</v>
      </c>
      <c r="F59" s="77">
        <f t="shared" si="32"/>
        <v>307.09899999999999</v>
      </c>
      <c r="G59" s="77">
        <f t="shared" si="32"/>
        <v>285.89699999999999</v>
      </c>
      <c r="H59" s="77">
        <f>Q29+Q30</f>
        <v>400.32899999999995</v>
      </c>
      <c r="I59" s="77">
        <f>R29+R30</f>
        <v>324.65100000000001</v>
      </c>
      <c r="J59" s="47"/>
      <c r="K59" s="156" t="s">
        <v>64</v>
      </c>
      <c r="L59" s="198">
        <f t="shared" ref="L59:R59" si="33">C60/C15</f>
        <v>10.472328988039241</v>
      </c>
      <c r="M59" s="199">
        <f t="shared" si="33"/>
        <v>5.9178555853217869</v>
      </c>
      <c r="N59" s="199">
        <f t="shared" si="33"/>
        <v>3.7300498832250204</v>
      </c>
      <c r="O59" s="199">
        <f t="shared" si="33"/>
        <v>6.4764217482727542</v>
      </c>
      <c r="P59" s="199">
        <f t="shared" si="33"/>
        <v>10.020256181114094</v>
      </c>
      <c r="Q59" s="199">
        <f t="shared" si="33"/>
        <v>8.71251181965388</v>
      </c>
      <c r="R59" s="199">
        <f t="shared" si="33"/>
        <v>11.85950092309292</v>
      </c>
      <c r="U59" s="129"/>
    </row>
    <row r="60" spans="2:21" ht="15.75" thickBot="1" x14ac:dyDescent="0.3">
      <c r="B60" s="40" t="s">
        <v>93</v>
      </c>
      <c r="C60" s="74">
        <f>C57+C58-C59</f>
        <v>2337.7379999999998</v>
      </c>
      <c r="D60" s="78">
        <f>D57+D58-D59</f>
        <v>1899.75</v>
      </c>
      <c r="E60" s="78">
        <f t="shared" ref="E60:H60" si="34">E57+E58-E59</f>
        <v>1175.473</v>
      </c>
      <c r="F60" s="78">
        <f t="shared" si="34"/>
        <v>2695.0009999999997</v>
      </c>
      <c r="G60" s="78">
        <f t="shared" si="34"/>
        <v>4978.424</v>
      </c>
      <c r="H60" s="78">
        <f t="shared" si="34"/>
        <v>5095.3469999999998</v>
      </c>
      <c r="I60" s="78">
        <f>I57+I58-I59</f>
        <v>6841.3310000000001</v>
      </c>
      <c r="J60" s="47"/>
      <c r="K60" s="157" t="s">
        <v>65</v>
      </c>
      <c r="L60" s="80">
        <f>C27/L7</f>
        <v>0.10687979345432458</v>
      </c>
      <c r="M60" s="83">
        <f>D27/M7</f>
        <v>0.16082348145128417</v>
      </c>
      <c r="N60" s="83">
        <v>0.21</v>
      </c>
      <c r="O60" s="83">
        <f>F27/O7</f>
        <v>0.19288379051553581</v>
      </c>
      <c r="P60" s="83">
        <f>G27/P7</f>
        <v>0.18327527387068621</v>
      </c>
      <c r="Q60" s="83">
        <f>H27/Q7</f>
        <v>0.18175121746956269</v>
      </c>
      <c r="R60" s="83">
        <f>I27/R7</f>
        <v>0.15290074770675627</v>
      </c>
      <c r="U60" s="129"/>
    </row>
    <row r="61" spans="2:21" x14ac:dyDescent="0.25">
      <c r="C61" s="53"/>
      <c r="D61" s="53"/>
      <c r="E61" s="53"/>
      <c r="F61" s="53"/>
      <c r="G61" s="53"/>
      <c r="H61" s="53"/>
      <c r="J61" s="47"/>
      <c r="K61" s="157" t="s">
        <v>66</v>
      </c>
      <c r="L61" s="80">
        <f t="shared" ref="L61:Q61" si="35">(C15-C20)/L12</f>
        <v>0.20439523327061321</v>
      </c>
      <c r="M61" s="83">
        <f t="shared" si="35"/>
        <v>0.27153548440082537</v>
      </c>
      <c r="N61" s="83">
        <f t="shared" si="35"/>
        <v>0.22585292847138283</v>
      </c>
      <c r="O61" s="83">
        <f t="shared" si="35"/>
        <v>0.23736597871558174</v>
      </c>
      <c r="P61" s="83">
        <f t="shared" si="35"/>
        <v>0.22438842997157948</v>
      </c>
      <c r="Q61" s="83">
        <f t="shared" si="35"/>
        <v>0.23416031272980617</v>
      </c>
      <c r="R61" s="83">
        <f>(I15-I20)/R12</f>
        <v>0.19976435987172142</v>
      </c>
      <c r="U61" s="129"/>
    </row>
    <row r="62" spans="2:21" x14ac:dyDescent="0.25">
      <c r="J62" s="47"/>
      <c r="K62" s="156" t="s">
        <v>67</v>
      </c>
      <c r="L62" s="197">
        <f t="shared" ref="L62:Q62" si="36">L11/L7</f>
        <v>0.6409117371605032</v>
      </c>
      <c r="M62" s="196">
        <f t="shared" si="36"/>
        <v>0.52401999699615931</v>
      </c>
      <c r="N62" s="196">
        <f t="shared" si="36"/>
        <v>0.32582224379885932</v>
      </c>
      <c r="O62" s="196">
        <f t="shared" si="36"/>
        <v>0.38730590421792138</v>
      </c>
      <c r="P62" s="196">
        <f t="shared" si="36"/>
        <v>0.31001139506492636</v>
      </c>
      <c r="Q62" s="196">
        <f t="shared" si="36"/>
        <v>0.44649358432781949</v>
      </c>
      <c r="R62" s="196">
        <f>R11/R7</f>
        <v>0.39026006587431672</v>
      </c>
    </row>
    <row r="63" spans="2:21" x14ac:dyDescent="0.25">
      <c r="J63" s="47"/>
      <c r="K63" s="156" t="s">
        <v>68</v>
      </c>
      <c r="L63" s="197">
        <f t="shared" ref="L63:Q63" si="37">(L11-SUM(L29:L30))/L7</f>
        <v>0.61549851924975318</v>
      </c>
      <c r="M63" s="196">
        <f t="shared" si="37"/>
        <v>0.49167507026841462</v>
      </c>
      <c r="N63" s="196">
        <f t="shared" si="37"/>
        <v>0.2773256262392072</v>
      </c>
      <c r="O63" s="196">
        <f t="shared" si="37"/>
        <v>0.17808645676071921</v>
      </c>
      <c r="P63" s="196">
        <f t="shared" si="37"/>
        <v>0.14396578460423351</v>
      </c>
      <c r="Q63" s="196">
        <f t="shared" si="37"/>
        <v>0.2495092971521275</v>
      </c>
      <c r="R63" s="196">
        <f>(R11-SUM(R29:R30))/R7</f>
        <v>0.25357233228174136</v>
      </c>
    </row>
    <row r="64" spans="2:21" x14ac:dyDescent="0.25">
      <c r="J64" s="47"/>
      <c r="K64" s="156" t="s">
        <v>69</v>
      </c>
      <c r="L64" s="80">
        <f>L56/L53</f>
        <v>6.740815638692282E-3</v>
      </c>
      <c r="M64" s="83">
        <f>M56/M53</f>
        <v>8.658008658008658E-3</v>
      </c>
      <c r="N64" s="83">
        <f t="shared" ref="N64:P64" si="38">N56/N53</f>
        <v>1.4347202295552367E-2</v>
      </c>
      <c r="O64" s="83">
        <f t="shared" si="38"/>
        <v>7.6923076923076927E-3</v>
      </c>
      <c r="P64" s="83">
        <f t="shared" si="38"/>
        <v>3.9572615749901069E-3</v>
      </c>
      <c r="Q64" s="83">
        <f>3/Q53</f>
        <v>4.0799673602611181E-3</v>
      </c>
      <c r="R64" s="83">
        <f>3/R53</f>
        <v>3.0004500675101264E-3</v>
      </c>
    </row>
    <row r="65" spans="10:18" x14ac:dyDescent="0.25">
      <c r="J65" s="47"/>
      <c r="K65" s="156" t="s">
        <v>70</v>
      </c>
      <c r="L65" s="81">
        <v>49.27</v>
      </c>
      <c r="M65" s="84">
        <f t="shared" ref="M65:Q65" si="39">AVERAGE(L28:M28)/D5*365</f>
        <v>42.573706397861613</v>
      </c>
      <c r="N65" s="84">
        <f t="shared" si="39"/>
        <v>36.869464762354319</v>
      </c>
      <c r="O65" s="84">
        <f t="shared" si="39"/>
        <v>40.564610291762463</v>
      </c>
      <c r="P65" s="84">
        <f t="shared" si="39"/>
        <v>60.097686774711427</v>
      </c>
      <c r="Q65" s="84">
        <f t="shared" si="39"/>
        <v>56.992712771696972</v>
      </c>
      <c r="R65" s="84">
        <f>AVERAGE(Q28:R28)/I5*365</f>
        <v>54.357572872164184</v>
      </c>
    </row>
    <row r="66" spans="10:18" x14ac:dyDescent="0.25">
      <c r="J66" s="47"/>
      <c r="K66" s="156" t="s">
        <v>71</v>
      </c>
      <c r="L66" s="81">
        <v>39.11</v>
      </c>
      <c r="M66" s="84">
        <f t="shared" ref="M66:R66" si="40">AVERAGE(L36:M36)/(D8-D13-D14)*365</f>
        <v>45.827454605026304</v>
      </c>
      <c r="N66" s="84">
        <f t="shared" si="40"/>
        <v>54.893304534386694</v>
      </c>
      <c r="O66" s="84">
        <f t="shared" si="40"/>
        <v>49.763335409363904</v>
      </c>
      <c r="P66" s="84">
        <f t="shared" si="40"/>
        <v>45.420951546787109</v>
      </c>
      <c r="Q66" s="84">
        <f t="shared" si="40"/>
        <v>42.667827163925118</v>
      </c>
      <c r="R66" s="84">
        <f t="shared" si="40"/>
        <v>43.659262037369352</v>
      </c>
    </row>
    <row r="67" spans="10:18" x14ac:dyDescent="0.25">
      <c r="J67" s="47"/>
      <c r="K67" s="156" t="s">
        <v>72</v>
      </c>
      <c r="L67" s="81">
        <v>87.72</v>
      </c>
      <c r="M67" s="84">
        <f t="shared" ref="M67:R67" si="41">AVERAGE(L25:M25)/(D8-D13-D14)*365</f>
        <v>97.936354001917337</v>
      </c>
      <c r="N67" s="84">
        <f t="shared" si="41"/>
        <v>108.29635662723148</v>
      </c>
      <c r="O67" s="84">
        <f t="shared" si="41"/>
        <v>93.624873817472917</v>
      </c>
      <c r="P67" s="84">
        <f t="shared" si="41"/>
        <v>81.461685907451439</v>
      </c>
      <c r="Q67" s="84">
        <f t="shared" si="41"/>
        <v>87.458011210013439</v>
      </c>
      <c r="R67" s="84">
        <f t="shared" si="41"/>
        <v>104.14247940957773</v>
      </c>
    </row>
    <row r="68" spans="10:18" x14ac:dyDescent="0.25">
      <c r="J68" s="47"/>
      <c r="K68" s="156" t="s">
        <v>73</v>
      </c>
      <c r="L68" s="81">
        <f t="shared" ref="L68:P68" si="42">L67+L65-L66</f>
        <v>97.88000000000001</v>
      </c>
      <c r="M68" s="84">
        <f t="shared" si="42"/>
        <v>94.682605794752646</v>
      </c>
      <c r="N68" s="84">
        <f t="shared" si="42"/>
        <v>90.272516855199115</v>
      </c>
      <c r="O68" s="84">
        <f t="shared" si="42"/>
        <v>84.426148699871462</v>
      </c>
      <c r="P68" s="84">
        <f t="shared" si="42"/>
        <v>96.138421135375751</v>
      </c>
      <c r="Q68" s="84">
        <f t="shared" ref="Q68" si="43">Q67+Q65-Q66</f>
        <v>101.78289681778529</v>
      </c>
      <c r="R68" s="84">
        <f>R67+R65-R66</f>
        <v>114.84079024437256</v>
      </c>
    </row>
    <row r="69" spans="10:18" x14ac:dyDescent="0.25">
      <c r="J69" s="47"/>
      <c r="K69" s="156" t="s">
        <v>74</v>
      </c>
      <c r="L69" s="84">
        <f>L42/C5*365</f>
        <v>53.482495765104453</v>
      </c>
      <c r="M69" s="84">
        <f t="shared" ref="M69:Q69" si="44">AVERAGE(M42,L42)/D5*365</f>
        <v>51.098398207375297</v>
      </c>
      <c r="N69" s="84">
        <f t="shared" si="44"/>
        <v>72.380761782871815</v>
      </c>
      <c r="O69" s="84">
        <f t="shared" si="44"/>
        <v>85.037295923278037</v>
      </c>
      <c r="P69" s="84">
        <f t="shared" si="44"/>
        <v>94.238658869603071</v>
      </c>
      <c r="Q69" s="84">
        <f t="shared" si="44"/>
        <v>88.498879197104188</v>
      </c>
      <c r="R69" s="84">
        <f>AVERAGE(R42,Q42)/I5*365</f>
        <v>90.296932944345812</v>
      </c>
    </row>
    <row r="70" spans="10:18" x14ac:dyDescent="0.25">
      <c r="J70" s="47"/>
      <c r="K70" s="158" t="s">
        <v>75</v>
      </c>
      <c r="L70" s="80">
        <f t="shared" ref="L70:P70" si="45">C21/L11</f>
        <v>8.3529156217294287E-2</v>
      </c>
      <c r="M70" s="83">
        <f t="shared" si="45"/>
        <v>8.080497891331942E-2</v>
      </c>
      <c r="N70" s="83">
        <f t="shared" si="45"/>
        <v>7.1486460517850736E-2</v>
      </c>
      <c r="O70" s="83">
        <f t="shared" si="45"/>
        <v>2.8109058927000882E-2</v>
      </c>
      <c r="P70" s="83">
        <f t="shared" si="45"/>
        <v>3.8278157357847932E-2</v>
      </c>
      <c r="Q70" s="83">
        <f>H21/Q11</f>
        <v>2.708716293955063E-2</v>
      </c>
      <c r="R70" s="83">
        <f>I21/R11</f>
        <v>4.58141928412222E-2</v>
      </c>
    </row>
    <row r="71" spans="10:18" x14ac:dyDescent="0.25">
      <c r="J71" s="47"/>
      <c r="K71" s="141" t="s">
        <v>76</v>
      </c>
      <c r="L71" s="79">
        <f t="shared" ref="L71:P71" si="46">(C15-C20)/C21</f>
        <v>4.0061465721040195</v>
      </c>
      <c r="M71" s="79">
        <f t="shared" si="46"/>
        <v>6.7012921205979223</v>
      </c>
      <c r="N71" s="79">
        <f t="shared" si="46"/>
        <v>10.082826866136823</v>
      </c>
      <c r="O71" s="79">
        <f t="shared" si="46"/>
        <v>22.422841051314144</v>
      </c>
      <c r="P71" s="79">
        <f t="shared" si="46"/>
        <v>20.259984338292863</v>
      </c>
      <c r="Q71" s="79">
        <f>(H15-H20)/H21</f>
        <v>20.430041905691855</v>
      </c>
      <c r="R71" s="79">
        <f>(I15-I20)/I21</f>
        <v>11.730301888569684</v>
      </c>
    </row>
    <row r="72" spans="10:18" ht="15.75" thickBot="1" x14ac:dyDescent="0.3">
      <c r="J72" s="47"/>
      <c r="K72" s="159" t="s">
        <v>156</v>
      </c>
      <c r="L72" s="82">
        <f t="shared" ref="L72:P72" si="47">C5/(L16+L18)</f>
        <v>5.8009873423644747</v>
      </c>
      <c r="M72" s="85">
        <f t="shared" si="47"/>
        <v>6.5820823668431876</v>
      </c>
      <c r="N72" s="85">
        <f t="shared" si="47"/>
        <v>6.3554924723581454</v>
      </c>
      <c r="O72" s="85">
        <f t="shared" si="47"/>
        <v>5.1104386096475736</v>
      </c>
      <c r="P72" s="85">
        <f t="shared" si="47"/>
        <v>4.6000574317450749</v>
      </c>
      <c r="Q72" s="85">
        <f>H5/(Q16+Q18)</f>
        <v>3.5633966993651827</v>
      </c>
      <c r="R72" s="85">
        <f>I5/(R16+R18)</f>
        <v>3.1466897828890095</v>
      </c>
    </row>
  </sheetData>
  <mergeCells count="3">
    <mergeCell ref="B2:R2"/>
    <mergeCell ref="B3:I3"/>
    <mergeCell ref="K3:R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Q70 O65:P65 Q64:Q65 N63:P63 M63 M64:P64 L63 L65:N65 Q63:R63 L64 L68:P68 L66:L67 Q68 M66:R66 R65 M67:R67" formulaRange="1"/>
    <ignoredError sqref="E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H13" sqref="H13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D26" sqref="D26"/>
    </sheetView>
  </sheetViews>
  <sheetFormatPr defaultRowHeight="15" x14ac:dyDescent="0.25"/>
  <cols>
    <col min="1" max="1" width="45" customWidth="1"/>
    <col min="2" max="10" width="15.140625" customWidth="1"/>
  </cols>
  <sheetData>
    <row r="1" spans="1:11" x14ac:dyDescent="0.25">
      <c r="B1" s="1" t="s">
        <v>26</v>
      </c>
      <c r="C1" s="1" t="s">
        <v>108</v>
      </c>
      <c r="D1" s="1" t="s">
        <v>26</v>
      </c>
      <c r="E1" s="1" t="s">
        <v>108</v>
      </c>
      <c r="F1" s="1" t="s">
        <v>26</v>
      </c>
      <c r="G1" s="1" t="s">
        <v>108</v>
      </c>
      <c r="H1" s="1" t="s">
        <v>26</v>
      </c>
      <c r="I1" s="1" t="s">
        <v>108</v>
      </c>
      <c r="J1" s="1" t="s">
        <v>26</v>
      </c>
      <c r="K1" s="1" t="s">
        <v>108</v>
      </c>
    </row>
    <row r="2" spans="1:11" x14ac:dyDescent="0.25">
      <c r="A2" s="2" t="s">
        <v>109</v>
      </c>
      <c r="B2" s="224" t="s">
        <v>152</v>
      </c>
      <c r="C2" s="225"/>
      <c r="D2" s="224" t="s">
        <v>153</v>
      </c>
      <c r="E2" s="225"/>
      <c r="F2" s="224" t="s">
        <v>154</v>
      </c>
      <c r="G2" s="225"/>
      <c r="H2" s="226" t="s">
        <v>155</v>
      </c>
      <c r="I2" s="227"/>
      <c r="J2" s="224" t="s">
        <v>110</v>
      </c>
      <c r="K2" s="225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x14ac:dyDescent="0.25">
      <c r="A4" s="5" t="s">
        <v>111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x14ac:dyDescent="0.25">
      <c r="A5" s="3" t="s">
        <v>112</v>
      </c>
      <c r="B5" s="6"/>
      <c r="C5" s="6"/>
      <c r="D5" s="7">
        <f>5072.98*10</f>
        <v>50729.799999999996</v>
      </c>
      <c r="E5" s="7">
        <f>8033.73*10</f>
        <v>80337.299999999988</v>
      </c>
      <c r="F5" s="7">
        <v>17084.8</v>
      </c>
      <c r="G5" s="7">
        <v>23877.19</v>
      </c>
      <c r="H5" s="7"/>
      <c r="I5" s="7"/>
      <c r="J5" s="8"/>
      <c r="K5" s="8"/>
    </row>
    <row r="6" spans="1:11" x14ac:dyDescent="0.25">
      <c r="A6" s="3" t="s">
        <v>113</v>
      </c>
      <c r="B6" s="6"/>
      <c r="C6" s="9" t="s">
        <v>105</v>
      </c>
      <c r="D6" s="7"/>
      <c r="E6" s="10">
        <v>73690</v>
      </c>
      <c r="F6" s="7"/>
      <c r="G6" s="11">
        <v>30561.14</v>
      </c>
      <c r="H6" s="7"/>
      <c r="I6" s="11"/>
      <c r="J6" s="8"/>
      <c r="K6" s="11"/>
    </row>
    <row r="7" spans="1:11" x14ac:dyDescent="0.25">
      <c r="A7" s="3" t="s">
        <v>114</v>
      </c>
      <c r="C7" s="12" t="e">
        <f>(C5/C6)^(1/3)-1</f>
        <v>#VALUE!</v>
      </c>
      <c r="D7" s="12"/>
      <c r="E7" s="12">
        <f t="shared" ref="E7" si="0">(E5/E6)^(1/3)-1</f>
        <v>2.9207380125174875E-2</v>
      </c>
      <c r="F7" s="12"/>
      <c r="G7" s="12">
        <f t="shared" ref="G7" si="1">(G5/G6)^(1/3)-1</f>
        <v>-7.8975417929668112E-2</v>
      </c>
      <c r="H7" s="13"/>
      <c r="I7" s="11"/>
      <c r="J7" s="13"/>
      <c r="K7" s="11"/>
    </row>
    <row r="8" spans="1:11" x14ac:dyDescent="0.25">
      <c r="A8" s="3" t="s">
        <v>115</v>
      </c>
      <c r="B8" s="6"/>
      <c r="C8" s="6"/>
      <c r="D8" s="7">
        <f>D5-46104</f>
        <v>4625.7999999999956</v>
      </c>
      <c r="E8" s="7">
        <f>E5-72454</f>
        <v>7883.2999999999884</v>
      </c>
      <c r="F8" s="7">
        <f>F5-15463</f>
        <v>1621.7999999999993</v>
      </c>
      <c r="G8" s="7">
        <f>G5-19692</f>
        <v>4185.1899999999987</v>
      </c>
      <c r="H8" s="7"/>
      <c r="I8" s="7"/>
      <c r="J8" s="8"/>
      <c r="K8" s="8"/>
    </row>
    <row r="9" spans="1:11" x14ac:dyDescent="0.25">
      <c r="A9" s="3" t="s">
        <v>116</v>
      </c>
      <c r="B9" s="6"/>
      <c r="C9" s="9" t="s">
        <v>105</v>
      </c>
      <c r="D9" s="7"/>
      <c r="E9" s="10">
        <v>4791.8900000000003</v>
      </c>
      <c r="F9" s="7"/>
      <c r="G9" s="11">
        <v>8431</v>
      </c>
      <c r="H9" s="7"/>
      <c r="I9" s="11"/>
      <c r="J9" s="8"/>
      <c r="K9" s="11"/>
    </row>
    <row r="10" spans="1:11" x14ac:dyDescent="0.25">
      <c r="A10" s="3" t="s">
        <v>114</v>
      </c>
      <c r="B10" s="12"/>
      <c r="C10" s="12" t="e">
        <f>(C8/C9)^(1/3)-1</f>
        <v>#VALUE!</v>
      </c>
      <c r="D10" s="12"/>
      <c r="E10" s="12">
        <f t="shared" ref="E10" si="2">(E8/E9)^(1/3)-1</f>
        <v>0.18050293538614959</v>
      </c>
      <c r="F10" s="12"/>
      <c r="G10" s="12">
        <f t="shared" ref="G10" si="3">(G8/G9)^(1/3)-1</f>
        <v>-0.20820632193304767</v>
      </c>
      <c r="H10" s="13"/>
      <c r="I10" s="11"/>
      <c r="J10" s="13"/>
      <c r="K10" s="11"/>
    </row>
    <row r="11" spans="1:11" x14ac:dyDescent="0.25">
      <c r="A11" s="3" t="s">
        <v>117</v>
      </c>
      <c r="B11" s="12" t="e">
        <f t="shared" ref="B11:C11" si="4">B8/B5</f>
        <v>#DIV/0!</v>
      </c>
      <c r="C11" s="12" t="e">
        <f t="shared" si="4"/>
        <v>#DIV/0!</v>
      </c>
      <c r="D11" s="14">
        <f>D8/D5</f>
        <v>9.1185062823034901E-2</v>
      </c>
      <c r="E11" s="13">
        <f>E8/E5</f>
        <v>9.8127519844455682E-2</v>
      </c>
      <c r="F11" s="14">
        <f>F8/F5</f>
        <v>9.4926484360367075E-2</v>
      </c>
      <c r="G11" s="13">
        <f>G8/G5</f>
        <v>0.17527983820541693</v>
      </c>
      <c r="H11" s="14"/>
      <c r="I11" s="13"/>
      <c r="J11" s="14"/>
      <c r="K11" s="13"/>
    </row>
    <row r="12" spans="1:11" x14ac:dyDescent="0.25">
      <c r="A12" s="3" t="s">
        <v>17</v>
      </c>
      <c r="B12" s="6"/>
      <c r="C12" s="6"/>
      <c r="D12" s="7">
        <f>-27.39*10</f>
        <v>-273.89999999999998</v>
      </c>
      <c r="E12" s="7">
        <f>241.58*10</f>
        <v>2415.8000000000002</v>
      </c>
      <c r="F12" s="7">
        <v>-893</v>
      </c>
      <c r="G12" s="7">
        <v>1030</v>
      </c>
      <c r="H12" s="7"/>
      <c r="I12" s="7"/>
      <c r="J12" s="8"/>
      <c r="K12" s="8"/>
    </row>
    <row r="13" spans="1:11" x14ac:dyDescent="0.25">
      <c r="A13" s="3" t="s">
        <v>118</v>
      </c>
      <c r="B13" s="6"/>
      <c r="C13" s="9" t="s">
        <v>105</v>
      </c>
      <c r="D13" s="7"/>
      <c r="E13" s="10">
        <v>921</v>
      </c>
      <c r="F13" s="7"/>
      <c r="G13" s="11">
        <v>3290</v>
      </c>
      <c r="H13" s="7"/>
      <c r="I13" s="11"/>
      <c r="J13" s="8"/>
      <c r="K13" s="11"/>
    </row>
    <row r="14" spans="1:11" x14ac:dyDescent="0.25">
      <c r="A14" s="3" t="s">
        <v>114</v>
      </c>
      <c r="B14" s="12"/>
      <c r="C14" s="12" t="e">
        <f>(C12/C13)^(1/3)-1</f>
        <v>#VALUE!</v>
      </c>
      <c r="D14" s="12"/>
      <c r="E14" s="12">
        <f t="shared" ref="E14" si="5">(E12/E13)^(1/3)-1</f>
        <v>0.37911489455415204</v>
      </c>
      <c r="F14" s="12"/>
      <c r="G14" s="12">
        <f t="shared" ref="G14" si="6">(G12/G13)^(1/3)-1</f>
        <v>-0.32098332089922066</v>
      </c>
      <c r="H14" s="13"/>
      <c r="I14" s="11"/>
      <c r="J14" s="13"/>
      <c r="K14" s="11"/>
    </row>
    <row r="15" spans="1:11" x14ac:dyDescent="0.25">
      <c r="A15" s="3" t="s">
        <v>119</v>
      </c>
      <c r="B15" s="12" t="e">
        <f t="shared" ref="B15:C15" si="7">B12/B5</f>
        <v>#DIV/0!</v>
      </c>
      <c r="C15" s="12" t="e">
        <f t="shared" si="7"/>
        <v>#DIV/0!</v>
      </c>
      <c r="D15" s="14">
        <f>D12/D5</f>
        <v>-5.3991933735201003E-3</v>
      </c>
      <c r="E15" s="13">
        <f>E12/E5</f>
        <v>3.0070714350619209E-2</v>
      </c>
      <c r="F15" s="23">
        <f>F12/F5</f>
        <v>-5.2268683274021357E-2</v>
      </c>
      <c r="G15" s="13">
        <f>G12/G5</f>
        <v>4.3137404359558228E-2</v>
      </c>
      <c r="H15" s="14"/>
      <c r="I15" s="13"/>
      <c r="J15" s="14"/>
      <c r="K15" s="13"/>
    </row>
    <row r="16" spans="1:11" x14ac:dyDescent="0.25">
      <c r="A16" s="3" t="s">
        <v>22</v>
      </c>
      <c r="B16" s="3"/>
      <c r="C16" s="3"/>
      <c r="D16" s="15">
        <v>0.64</v>
      </c>
      <c r="E16" s="15">
        <v>9.1300000000000008</v>
      </c>
      <c r="F16" s="15">
        <v>-6.95</v>
      </c>
      <c r="G16" s="15">
        <v>8.01</v>
      </c>
      <c r="H16" s="15"/>
      <c r="I16" s="15"/>
      <c r="J16" s="16"/>
      <c r="K16" s="16"/>
    </row>
    <row r="17" spans="1:11" x14ac:dyDescent="0.25">
      <c r="A17" s="3"/>
      <c r="B17" s="3"/>
      <c r="C17" s="3"/>
      <c r="D17" s="7"/>
      <c r="E17" s="3"/>
      <c r="F17" s="7"/>
      <c r="G17" s="15"/>
      <c r="H17" s="7"/>
      <c r="I17" s="15"/>
      <c r="J17" s="8"/>
      <c r="K17" s="16"/>
    </row>
    <row r="18" spans="1:11" x14ac:dyDescent="0.25">
      <c r="A18" s="5" t="s">
        <v>120</v>
      </c>
      <c r="B18" s="3"/>
      <c r="C18" s="3"/>
      <c r="D18" s="7"/>
      <c r="E18" s="3"/>
      <c r="F18" s="7"/>
      <c r="G18" s="15"/>
      <c r="H18" s="7"/>
      <c r="I18" s="15"/>
      <c r="J18" s="8"/>
      <c r="K18" s="16"/>
    </row>
    <row r="19" spans="1:11" x14ac:dyDescent="0.25">
      <c r="A19" s="3" t="s">
        <v>121</v>
      </c>
      <c r="B19" s="6"/>
      <c r="C19" s="6"/>
      <c r="D19" s="7">
        <f>2719.29*10</f>
        <v>27192.9</v>
      </c>
      <c r="E19" s="7">
        <f>2950.53*10</f>
        <v>29505.300000000003</v>
      </c>
      <c r="F19" s="7">
        <v>17580.91</v>
      </c>
      <c r="G19" s="7">
        <v>18146.52</v>
      </c>
      <c r="H19" s="7"/>
      <c r="I19" s="7"/>
      <c r="J19" s="8"/>
      <c r="K19" s="8"/>
    </row>
    <row r="20" spans="1:11" x14ac:dyDescent="0.25">
      <c r="A20" s="3" t="s">
        <v>91</v>
      </c>
      <c r="B20" s="6">
        <f>SUM(B21:B22)</f>
        <v>0</v>
      </c>
      <c r="C20" s="6">
        <f>SUM(C21:C22)</f>
        <v>0</v>
      </c>
      <c r="D20" s="7">
        <f>SUM(D21:D22)</f>
        <v>20021.5</v>
      </c>
      <c r="E20" s="15">
        <f>SUM(E21:E22)</f>
        <v>17594.5</v>
      </c>
      <c r="F20" s="7"/>
      <c r="G20" s="7"/>
      <c r="H20" s="7"/>
      <c r="I20" s="7"/>
      <c r="J20" s="8"/>
      <c r="K20" s="8"/>
    </row>
    <row r="21" spans="1:11" x14ac:dyDescent="0.25">
      <c r="A21" s="3" t="s">
        <v>122</v>
      </c>
      <c r="B21" s="6"/>
      <c r="C21" s="6"/>
      <c r="D21" s="7">
        <f>1141.9*10</f>
        <v>11419</v>
      </c>
      <c r="E21" s="15">
        <f>757.73*10</f>
        <v>7577.3</v>
      </c>
      <c r="F21" s="7"/>
      <c r="G21" s="7"/>
      <c r="H21" s="7"/>
      <c r="I21" s="7"/>
      <c r="J21" s="8"/>
      <c r="K21" s="8"/>
    </row>
    <row r="22" spans="1:11" x14ac:dyDescent="0.25">
      <c r="A22" s="3" t="s">
        <v>123</v>
      </c>
      <c r="B22" s="6"/>
      <c r="C22" s="6"/>
      <c r="D22" s="7">
        <f>860.25*10</f>
        <v>8602.5</v>
      </c>
      <c r="E22" s="15">
        <f>1001.72*10</f>
        <v>10017.200000000001</v>
      </c>
      <c r="F22" s="7"/>
      <c r="G22" s="7"/>
      <c r="H22" s="7"/>
      <c r="I22" s="7"/>
      <c r="J22" s="8"/>
      <c r="K22" s="8"/>
    </row>
    <row r="23" spans="1:11" x14ac:dyDescent="0.25">
      <c r="A23" s="3"/>
      <c r="B23" s="3"/>
      <c r="C23" s="3"/>
      <c r="D23" s="7"/>
      <c r="E23" s="3"/>
      <c r="F23" s="7"/>
      <c r="G23" s="15"/>
      <c r="H23" s="7"/>
      <c r="I23" s="15"/>
      <c r="J23" s="8"/>
      <c r="K23" s="16"/>
    </row>
    <row r="24" spans="1:11" x14ac:dyDescent="0.25">
      <c r="A24" s="5" t="s">
        <v>124</v>
      </c>
      <c r="B24" s="3"/>
      <c r="C24" s="3"/>
      <c r="D24" s="7"/>
      <c r="E24" s="3"/>
      <c r="F24" s="7"/>
      <c r="G24" s="15"/>
      <c r="H24" s="7"/>
      <c r="I24" s="15"/>
      <c r="J24" s="8"/>
      <c r="K24" s="16"/>
    </row>
    <row r="25" spans="1:11" x14ac:dyDescent="0.25">
      <c r="A25" s="3" t="s">
        <v>125</v>
      </c>
      <c r="B25" s="6"/>
      <c r="C25" s="6"/>
      <c r="D25" s="7">
        <f>776.28*10</f>
        <v>7762.7999999999993</v>
      </c>
      <c r="E25" s="7">
        <f>594.57*10</f>
        <v>5945.7000000000007</v>
      </c>
      <c r="F25" s="7">
        <v>4610.54</v>
      </c>
      <c r="G25" s="7">
        <v>2115.08</v>
      </c>
      <c r="H25" s="7"/>
      <c r="I25" s="7"/>
      <c r="J25" s="8"/>
      <c r="K25" s="8"/>
    </row>
    <row r="26" spans="1:11" x14ac:dyDescent="0.25">
      <c r="A26" s="3" t="s">
        <v>88</v>
      </c>
      <c r="B26" s="6">
        <f t="shared" ref="B26:G26" si="8">B25-B27</f>
        <v>0</v>
      </c>
      <c r="C26" s="6">
        <f t="shared" si="8"/>
        <v>0</v>
      </c>
      <c r="D26" s="7">
        <f t="shared" si="8"/>
        <v>6604.1999999999989</v>
      </c>
      <c r="E26" s="7">
        <f t="shared" si="8"/>
        <v>4087.8000000000011</v>
      </c>
      <c r="F26" s="7">
        <f t="shared" si="8"/>
        <v>4978.04</v>
      </c>
      <c r="G26" s="7">
        <f t="shared" si="8"/>
        <v>2600.92</v>
      </c>
      <c r="H26" s="7"/>
      <c r="I26" s="7"/>
      <c r="J26" s="8"/>
      <c r="K26" s="8"/>
    </row>
    <row r="27" spans="1:11" x14ac:dyDescent="0.25">
      <c r="A27" s="3" t="s">
        <v>126</v>
      </c>
      <c r="B27" s="3"/>
      <c r="C27" s="3"/>
      <c r="D27" s="7">
        <f>115.86*10</f>
        <v>1158.5999999999999</v>
      </c>
      <c r="E27" s="3">
        <f>185.79*10</f>
        <v>1857.8999999999999</v>
      </c>
      <c r="F27" s="7">
        <v>-367.5</v>
      </c>
      <c r="G27" s="15">
        <v>-485.84</v>
      </c>
      <c r="H27" s="7"/>
      <c r="I27" s="15"/>
      <c r="J27" s="8"/>
      <c r="K27" s="16"/>
    </row>
    <row r="28" spans="1:11" x14ac:dyDescent="0.25">
      <c r="A28" s="3"/>
      <c r="B28" s="3"/>
      <c r="C28" s="3"/>
      <c r="D28" s="7"/>
      <c r="E28" s="3"/>
      <c r="F28" s="7"/>
      <c r="G28" s="15"/>
      <c r="H28" s="7"/>
      <c r="I28" s="15"/>
      <c r="J28" s="8"/>
      <c r="K28" s="16"/>
    </row>
    <row r="29" spans="1:11" x14ac:dyDescent="0.25">
      <c r="A29" s="3" t="s">
        <v>127</v>
      </c>
      <c r="B29" s="6"/>
      <c r="C29" s="6"/>
      <c r="D29" s="15">
        <v>260585819</v>
      </c>
      <c r="E29" s="15">
        <v>260585819</v>
      </c>
      <c r="F29" s="15">
        <v>128527540</v>
      </c>
      <c r="G29" s="15">
        <v>128527540</v>
      </c>
      <c r="H29" s="7"/>
      <c r="I29" s="7"/>
      <c r="J29" s="8"/>
      <c r="K29" s="8"/>
    </row>
    <row r="30" spans="1:11" x14ac:dyDescent="0.25">
      <c r="A30" s="3" t="s">
        <v>90</v>
      </c>
      <c r="B30" s="6">
        <f>B29*B41</f>
        <v>0</v>
      </c>
      <c r="C30" s="6">
        <f>C29*C41</f>
        <v>0</v>
      </c>
      <c r="D30" s="7"/>
      <c r="E30" s="15">
        <f>2517.26*10</f>
        <v>25172.600000000002</v>
      </c>
      <c r="F30" s="7"/>
      <c r="G30" s="7">
        <f>22797.57*10</f>
        <v>227975.7</v>
      </c>
      <c r="H30" s="7"/>
      <c r="I30" s="7"/>
      <c r="J30" s="7"/>
      <c r="K30" s="7"/>
    </row>
    <row r="31" spans="1:11" x14ac:dyDescent="0.25">
      <c r="A31" s="3" t="s">
        <v>128</v>
      </c>
      <c r="B31" s="6">
        <f>B30+B20-B32</f>
        <v>0</v>
      </c>
      <c r="C31" s="6">
        <f>C30+C20-C32</f>
        <v>0</v>
      </c>
      <c r="D31" s="7"/>
      <c r="E31" s="17">
        <f>E30+E20-E32</f>
        <v>42169.3</v>
      </c>
      <c r="F31" s="7"/>
      <c r="G31" s="7">
        <f>G30+G20-G32</f>
        <v>227797.98</v>
      </c>
      <c r="H31" s="7"/>
      <c r="I31" s="7"/>
      <c r="J31" s="8"/>
      <c r="K31" s="8"/>
    </row>
    <row r="32" spans="1:11" x14ac:dyDescent="0.25">
      <c r="A32" s="3" t="s">
        <v>129</v>
      </c>
      <c r="B32" s="3"/>
      <c r="C32" s="3"/>
      <c r="D32" s="7">
        <f>27.12*10</f>
        <v>271.2</v>
      </c>
      <c r="E32" s="3">
        <f>59.78*10</f>
        <v>597.79999999999995</v>
      </c>
      <c r="F32" s="7">
        <v>544.9</v>
      </c>
      <c r="G32" s="15">
        <v>177.72</v>
      </c>
      <c r="H32" s="7"/>
      <c r="I32" s="15"/>
      <c r="J32" s="8"/>
      <c r="K32" s="16"/>
    </row>
    <row r="33" spans="1:11" x14ac:dyDescent="0.25">
      <c r="A33" s="3"/>
      <c r="B33" s="3"/>
      <c r="C33" s="3"/>
      <c r="D33" s="7"/>
      <c r="E33" s="3"/>
      <c r="F33" s="7"/>
      <c r="G33" s="15"/>
      <c r="H33" s="7"/>
      <c r="I33" s="15"/>
      <c r="J33" s="8"/>
      <c r="K33" s="16"/>
    </row>
    <row r="34" spans="1:11" x14ac:dyDescent="0.25">
      <c r="A34" s="3" t="s">
        <v>130</v>
      </c>
      <c r="B34" s="18" t="e">
        <f>B41/B16</f>
        <v>#DIV/0!</v>
      </c>
      <c r="C34" s="18" t="e">
        <f>C41/C16</f>
        <v>#DIV/0!</v>
      </c>
      <c r="D34" s="18">
        <f>D41/D16</f>
        <v>102.65625</v>
      </c>
      <c r="E34" s="18">
        <f>E41/E16</f>
        <v>12.650602409638553</v>
      </c>
      <c r="F34" s="18">
        <f t="shared" ref="F34:I34" si="9">F41/F16</f>
        <v>-202.10791366906474</v>
      </c>
      <c r="G34" s="18">
        <f t="shared" si="9"/>
        <v>244.93757802746569</v>
      </c>
      <c r="H34" s="18" t="e">
        <f t="shared" si="9"/>
        <v>#DIV/0!</v>
      </c>
      <c r="I34" s="18" t="e">
        <f t="shared" si="9"/>
        <v>#DIV/0!</v>
      </c>
      <c r="J34" s="18"/>
      <c r="K34" s="19"/>
    </row>
    <row r="35" spans="1:11" x14ac:dyDescent="0.25">
      <c r="A35" s="3" t="s">
        <v>69</v>
      </c>
      <c r="B35" s="20">
        <f>B36/B41</f>
        <v>0</v>
      </c>
      <c r="C35" s="20">
        <f>C36/C41</f>
        <v>0</v>
      </c>
      <c r="D35" s="20">
        <f t="shared" ref="D35:I35" si="10">D36/D41</f>
        <v>0</v>
      </c>
      <c r="E35" s="20">
        <f t="shared" si="10"/>
        <v>0</v>
      </c>
      <c r="F35" s="20">
        <f t="shared" si="10"/>
        <v>2.8476844765599968E-3</v>
      </c>
      <c r="G35" s="20">
        <f t="shared" si="10"/>
        <v>2.5484849257116642E-3</v>
      </c>
      <c r="H35" s="20">
        <f t="shared" si="10"/>
        <v>0</v>
      </c>
      <c r="I35" s="20">
        <f t="shared" si="10"/>
        <v>0</v>
      </c>
      <c r="J35" s="8"/>
      <c r="K35" s="16"/>
    </row>
    <row r="36" spans="1:11" x14ac:dyDescent="0.25">
      <c r="A36" s="3" t="s">
        <v>131</v>
      </c>
      <c r="B36" s="20"/>
      <c r="C36" s="21"/>
      <c r="D36" s="7"/>
      <c r="E36" s="15"/>
      <c r="F36" s="7">
        <v>4</v>
      </c>
      <c r="G36" s="15">
        <v>5</v>
      </c>
      <c r="H36" s="7"/>
      <c r="I36" s="15"/>
      <c r="J36" s="8"/>
      <c r="K36" s="16"/>
    </row>
    <row r="37" spans="1:11" x14ac:dyDescent="0.25">
      <c r="A37" s="3" t="s">
        <v>132</v>
      </c>
      <c r="B37" s="18" t="e">
        <f>B41/B43</f>
        <v>#DIV/0!</v>
      </c>
      <c r="C37" s="21" t="e">
        <f>C41/C43</f>
        <v>#DIV/0!</v>
      </c>
      <c r="D37" s="18">
        <f t="shared" ref="D37:I37" si="11">D41/D43</f>
        <v>629594.0597839877</v>
      </c>
      <c r="E37" s="21">
        <f t="shared" si="11"/>
        <v>1020076.4640420533</v>
      </c>
      <c r="F37" s="18">
        <f t="shared" si="11"/>
        <v>10268877.382399432</v>
      </c>
      <c r="G37" s="21">
        <f t="shared" si="11"/>
        <v>13896031.145530934</v>
      </c>
      <c r="H37" s="18" t="e">
        <f t="shared" si="11"/>
        <v>#DIV/0!</v>
      </c>
      <c r="I37" s="21" t="e">
        <f t="shared" si="11"/>
        <v>#DIV/0!</v>
      </c>
      <c r="J37" s="15"/>
      <c r="K37" s="15"/>
    </row>
    <row r="38" spans="1:11" x14ac:dyDescent="0.25">
      <c r="A38" s="3" t="s">
        <v>133</v>
      </c>
      <c r="B38" s="18" t="e">
        <f>B31/B8</f>
        <v>#DIV/0!</v>
      </c>
      <c r="C38" s="18" t="e">
        <f>C31/C8</f>
        <v>#DIV/0!</v>
      </c>
      <c r="D38" s="18">
        <f t="shared" ref="D38:I38" si="12">D31/D8</f>
        <v>0</v>
      </c>
      <c r="E38" s="18">
        <f t="shared" si="12"/>
        <v>5.3491938655131817</v>
      </c>
      <c r="F38" s="18">
        <f t="shared" si="12"/>
        <v>0</v>
      </c>
      <c r="G38" s="18">
        <f t="shared" si="12"/>
        <v>54.429543222649407</v>
      </c>
      <c r="H38" s="18" t="e">
        <f t="shared" si="12"/>
        <v>#DIV/0!</v>
      </c>
      <c r="I38" s="18" t="e">
        <f t="shared" si="12"/>
        <v>#DIV/0!</v>
      </c>
      <c r="J38" s="18"/>
      <c r="K38" s="15"/>
    </row>
    <row r="39" spans="1:11" x14ac:dyDescent="0.25">
      <c r="A39" s="3"/>
      <c r="B39" s="3"/>
      <c r="C39" s="3"/>
      <c r="D39" s="7"/>
      <c r="E39" s="3"/>
      <c r="F39" s="7"/>
      <c r="G39" s="15"/>
      <c r="H39" s="7"/>
      <c r="I39" s="15"/>
      <c r="J39" s="8"/>
      <c r="K39" s="16"/>
    </row>
    <row r="40" spans="1:11" x14ac:dyDescent="0.25">
      <c r="A40" s="5" t="s">
        <v>134</v>
      </c>
      <c r="B40" s="3"/>
      <c r="C40" s="3"/>
      <c r="D40" s="7"/>
      <c r="E40" s="3"/>
      <c r="F40" s="7"/>
      <c r="G40" s="15"/>
      <c r="H40" s="7"/>
      <c r="I40" s="15"/>
      <c r="J40" s="8"/>
      <c r="K40" s="16"/>
    </row>
    <row r="41" spans="1:11" x14ac:dyDescent="0.25">
      <c r="A41" s="3" t="s">
        <v>135</v>
      </c>
      <c r="B41" s="18">
        <v>390</v>
      </c>
      <c r="C41" s="3">
        <v>758.1</v>
      </c>
      <c r="D41" s="15">
        <v>65.7</v>
      </c>
      <c r="E41" s="3">
        <v>115.5</v>
      </c>
      <c r="F41" s="15">
        <v>1404.65</v>
      </c>
      <c r="G41" s="15">
        <v>1961.95</v>
      </c>
      <c r="H41" s="15">
        <v>127.25</v>
      </c>
      <c r="I41" s="15">
        <v>146.4</v>
      </c>
      <c r="J41" s="16"/>
      <c r="K41" s="16"/>
    </row>
    <row r="42" spans="1:11" x14ac:dyDescent="0.25">
      <c r="A42" s="3" t="s">
        <v>136</v>
      </c>
      <c r="B42" s="17">
        <f>B19</f>
        <v>0</v>
      </c>
      <c r="C42" s="17">
        <f>C19</f>
        <v>0</v>
      </c>
      <c r="D42" s="17">
        <f t="shared" ref="D42:I42" si="13">D19</f>
        <v>27192.9</v>
      </c>
      <c r="E42" s="17">
        <f t="shared" si="13"/>
        <v>29505.300000000003</v>
      </c>
      <c r="F42" s="17">
        <f t="shared" si="13"/>
        <v>17580.91</v>
      </c>
      <c r="G42" s="17">
        <f t="shared" si="13"/>
        <v>18146.52</v>
      </c>
      <c r="H42" s="17">
        <f t="shared" si="13"/>
        <v>0</v>
      </c>
      <c r="I42" s="17">
        <f t="shared" si="13"/>
        <v>0</v>
      </c>
      <c r="J42" s="8"/>
      <c r="K42" s="8"/>
    </row>
    <row r="43" spans="1:11" x14ac:dyDescent="0.25">
      <c r="A43" s="3" t="s">
        <v>137</v>
      </c>
      <c r="B43" s="18" t="e">
        <f>B42/B29</f>
        <v>#DIV/0!</v>
      </c>
      <c r="C43" s="18" t="e">
        <f>C42/C29</f>
        <v>#DIV/0!</v>
      </c>
      <c r="D43" s="18">
        <f t="shared" ref="D43:G43" si="14">D42/D29</f>
        <v>1.0435295406462622E-4</v>
      </c>
      <c r="E43" s="18">
        <f t="shared" si="14"/>
        <v>1.1322680609876166E-4</v>
      </c>
      <c r="F43" s="18">
        <f t="shared" si="14"/>
        <v>1.3678710414904074E-4</v>
      </c>
      <c r="G43" s="18">
        <f t="shared" si="14"/>
        <v>1.4118779523828123E-4</v>
      </c>
      <c r="H43" s="15"/>
      <c r="I43" s="19"/>
      <c r="J43" s="15"/>
      <c r="K43" s="19"/>
    </row>
    <row r="44" spans="1:11" x14ac:dyDescent="0.25">
      <c r="A44" s="3" t="s">
        <v>138</v>
      </c>
      <c r="B44" s="20" t="e">
        <f>B12/B19</f>
        <v>#DIV/0!</v>
      </c>
      <c r="C44" s="20" t="e">
        <f>C12/C19</f>
        <v>#DIV/0!</v>
      </c>
      <c r="D44" s="20">
        <f t="shared" ref="D44:I44" si="15">D12/D19</f>
        <v>-1.0072482155268469E-2</v>
      </c>
      <c r="E44" s="20">
        <f t="shared" si="15"/>
        <v>8.187681535181815E-2</v>
      </c>
      <c r="F44" s="20">
        <f t="shared" si="15"/>
        <v>-5.0793730244907687E-2</v>
      </c>
      <c r="G44" s="20">
        <f t="shared" si="15"/>
        <v>5.6760194241099668E-2</v>
      </c>
      <c r="H44" s="20" t="e">
        <f t="shared" si="15"/>
        <v>#DIV/0!</v>
      </c>
      <c r="I44" s="20" t="e">
        <f t="shared" si="15"/>
        <v>#DIV/0!</v>
      </c>
      <c r="J44" s="14"/>
      <c r="K44" s="14"/>
    </row>
    <row r="45" spans="1:11" x14ac:dyDescent="0.25">
      <c r="A45" s="3" t="s">
        <v>139</v>
      </c>
      <c r="B45" s="22" t="e">
        <f>B46/B48</f>
        <v>#DIV/0!</v>
      </c>
      <c r="C45" s="22" t="e">
        <f>C46/C48</f>
        <v>#DIV/0!</v>
      </c>
      <c r="D45" s="20">
        <f t="shared" ref="D45:I45" si="16">D46/D48</f>
        <v>4.351825053836747E-2</v>
      </c>
      <c r="E45" s="20">
        <f t="shared" si="16"/>
        <v>0.12866794091920591</v>
      </c>
      <c r="F45" s="22">
        <f t="shared" si="16"/>
        <v>6.0894450763792907E-2</v>
      </c>
      <c r="G45" s="22">
        <f t="shared" si="16"/>
        <v>0.22817654052125738</v>
      </c>
      <c r="H45" s="22" t="e">
        <f t="shared" si="16"/>
        <v>#DIV/0!</v>
      </c>
      <c r="I45" s="22" t="e">
        <f t="shared" si="16"/>
        <v>#DIV/0!</v>
      </c>
      <c r="J45" s="24"/>
      <c r="K45" s="25"/>
    </row>
    <row r="46" spans="1:11" x14ac:dyDescent="0.25">
      <c r="A46" s="3" t="s">
        <v>140</v>
      </c>
      <c r="B46" s="26">
        <f>B8-B47</f>
        <v>0</v>
      </c>
      <c r="C46" s="26">
        <f>C8-C47</f>
        <v>0</v>
      </c>
      <c r="D46" s="26">
        <f>D8-D47</f>
        <v>1774.2999999999956</v>
      </c>
      <c r="E46" s="17">
        <f>E8-E47</f>
        <v>5163.199999999988</v>
      </c>
      <c r="F46" s="26">
        <f t="shared" ref="F46:I46" si="17">F8-F47</f>
        <v>1595.3249999999994</v>
      </c>
      <c r="G46" s="17">
        <f t="shared" si="17"/>
        <v>4160.9935999999989</v>
      </c>
      <c r="H46" s="26">
        <f t="shared" si="17"/>
        <v>0</v>
      </c>
      <c r="I46" s="17">
        <f t="shared" si="17"/>
        <v>0</v>
      </c>
      <c r="J46" s="24"/>
      <c r="K46" s="25"/>
    </row>
    <row r="47" spans="1:11" x14ac:dyDescent="0.25">
      <c r="A47" s="3" t="s">
        <v>10</v>
      </c>
      <c r="B47" s="20"/>
      <c r="C47" s="20"/>
      <c r="D47" s="31">
        <f>285.15*10</f>
        <v>2851.5</v>
      </c>
      <c r="E47" s="3">
        <f>272.01*10</f>
        <v>2720.1</v>
      </c>
      <c r="F47" s="31">
        <v>26.475000000000001</v>
      </c>
      <c r="G47" s="33">
        <v>24.196400000000001</v>
      </c>
      <c r="H47" s="14"/>
      <c r="I47" s="23"/>
      <c r="J47" s="24"/>
      <c r="K47" s="25"/>
    </row>
    <row r="48" spans="1:11" x14ac:dyDescent="0.25">
      <c r="A48" s="3" t="s">
        <v>141</v>
      </c>
      <c r="B48" s="26">
        <f>B19+B49</f>
        <v>0</v>
      </c>
      <c r="C48" s="26">
        <f>C19+C49</f>
        <v>0</v>
      </c>
      <c r="D48" s="26">
        <f t="shared" ref="D48:I48" si="18">D19+D49</f>
        <v>40771.4</v>
      </c>
      <c r="E48" s="26">
        <f t="shared" si="18"/>
        <v>40128.100000000006</v>
      </c>
      <c r="F48" s="26">
        <f t="shared" si="18"/>
        <v>26198.2</v>
      </c>
      <c r="G48" s="26">
        <f t="shared" si="18"/>
        <v>18235.851900000001</v>
      </c>
      <c r="H48" s="26">
        <f t="shared" si="18"/>
        <v>0</v>
      </c>
      <c r="I48" s="26">
        <f t="shared" si="18"/>
        <v>0</v>
      </c>
      <c r="J48" s="24"/>
      <c r="K48" s="25"/>
    </row>
    <row r="49" spans="1:11" x14ac:dyDescent="0.25">
      <c r="A49" s="3" t="s">
        <v>142</v>
      </c>
      <c r="B49" s="20"/>
      <c r="C49" s="20"/>
      <c r="D49" s="31">
        <f>1357.85*10</f>
        <v>13578.5</v>
      </c>
      <c r="E49" s="3">
        <f>1062.28*10</f>
        <v>10622.8</v>
      </c>
      <c r="F49" s="31">
        <v>8617.2900000000009</v>
      </c>
      <c r="G49" s="33">
        <v>89.331900000000005</v>
      </c>
      <c r="H49" s="14"/>
      <c r="I49" s="23"/>
      <c r="J49" s="24"/>
      <c r="K49" s="25"/>
    </row>
    <row r="50" spans="1:11" x14ac:dyDescent="0.25">
      <c r="A50" s="3" t="s">
        <v>143</v>
      </c>
      <c r="B50" s="3" t="e">
        <f>B5/SUM(B51:B53)</f>
        <v>#DIV/0!</v>
      </c>
      <c r="C50" s="3" t="e">
        <f>C5/SUM(C51:C53)</f>
        <v>#DIV/0!</v>
      </c>
      <c r="D50" s="3">
        <f t="shared" ref="D50:I50" si="19">D5/SUM(D51:D53)</f>
        <v>1.4275567662180146</v>
      </c>
      <c r="E50" s="3">
        <f t="shared" si="19"/>
        <v>2.4337703805582649</v>
      </c>
      <c r="F50" s="3">
        <f t="shared" si="19"/>
        <v>5.4660865113898129</v>
      </c>
      <c r="G50" s="3">
        <f t="shared" si="19"/>
        <v>8.1706840502344029</v>
      </c>
      <c r="H50" s="3" t="e">
        <f t="shared" si="19"/>
        <v>#DIV/0!</v>
      </c>
      <c r="I50" s="3" t="e">
        <f t="shared" si="19"/>
        <v>#DIV/0!</v>
      </c>
      <c r="J50" s="16"/>
      <c r="K50" s="16"/>
    </row>
    <row r="51" spans="1:11" x14ac:dyDescent="0.25">
      <c r="A51" s="3" t="s">
        <v>144</v>
      </c>
      <c r="B51" s="18"/>
      <c r="C51" s="18"/>
      <c r="D51" s="15">
        <f>3405.38*10</f>
        <v>34053.800000000003</v>
      </c>
      <c r="E51" s="3">
        <f>3189.36*10</f>
        <v>31893.600000000002</v>
      </c>
      <c r="F51" s="15">
        <v>2834.12</v>
      </c>
      <c r="G51" s="15">
        <v>2885.07</v>
      </c>
      <c r="H51" s="15"/>
      <c r="I51" s="15"/>
      <c r="J51" s="16"/>
      <c r="K51" s="16"/>
    </row>
    <row r="52" spans="1:11" x14ac:dyDescent="0.25">
      <c r="A52" s="3" t="s">
        <v>145</v>
      </c>
      <c r="B52" s="18"/>
      <c r="C52" s="18"/>
      <c r="D52" s="15">
        <f>77.95*10</f>
        <v>779.5</v>
      </c>
      <c r="E52" s="3">
        <f>45.32*10</f>
        <v>453.2</v>
      </c>
      <c r="F52" s="15">
        <v>291.48</v>
      </c>
      <c r="G52" s="15">
        <v>37.229999999999997</v>
      </c>
      <c r="H52" s="15"/>
      <c r="I52" s="15"/>
      <c r="J52" s="16"/>
      <c r="K52" s="16"/>
    </row>
    <row r="53" spans="1:11" x14ac:dyDescent="0.25">
      <c r="A53" s="3" t="s">
        <v>146</v>
      </c>
      <c r="B53" s="18"/>
      <c r="C53" s="18"/>
      <c r="D53" s="15">
        <f>70.28*10</f>
        <v>702.8</v>
      </c>
      <c r="E53" s="3">
        <f>66.26*10</f>
        <v>662.6</v>
      </c>
      <c r="F53" s="15">
        <v>0</v>
      </c>
      <c r="G53" s="15">
        <v>0</v>
      </c>
      <c r="H53" s="15"/>
      <c r="I53" s="15"/>
      <c r="J53" s="16"/>
      <c r="K53" s="16"/>
    </row>
    <row r="54" spans="1:11" x14ac:dyDescent="0.25">
      <c r="A54" s="3" t="s">
        <v>147</v>
      </c>
      <c r="B54" s="18" t="e">
        <f>B20/B19</f>
        <v>#DIV/0!</v>
      </c>
      <c r="C54" s="18" t="e">
        <f>C20/C19</f>
        <v>#DIV/0!</v>
      </c>
      <c r="D54" s="18">
        <f t="shared" ref="D54:I54" si="20">D20/D19</f>
        <v>0.73627674871014126</v>
      </c>
      <c r="E54" s="18">
        <f t="shared" si="20"/>
        <v>0.5963165939678633</v>
      </c>
      <c r="F54" s="18">
        <f t="shared" si="20"/>
        <v>0</v>
      </c>
      <c r="G54" s="18">
        <f t="shared" si="20"/>
        <v>0</v>
      </c>
      <c r="H54" s="18" t="e">
        <f t="shared" si="20"/>
        <v>#DIV/0!</v>
      </c>
      <c r="I54" s="18" t="e">
        <f t="shared" si="20"/>
        <v>#DIV/0!</v>
      </c>
      <c r="J54" s="15"/>
      <c r="K54" s="15"/>
    </row>
    <row r="55" spans="1:11" x14ac:dyDescent="0.25">
      <c r="A55" s="3" t="s">
        <v>148</v>
      </c>
      <c r="B55" s="3" t="e">
        <f>(B20-B32)/B19</f>
        <v>#DIV/0!</v>
      </c>
      <c r="C55" s="3" t="e">
        <f>(C20-C32)/C19</f>
        <v>#DIV/0!</v>
      </c>
      <c r="D55" s="3">
        <f t="shared" ref="D55:I55" si="21">(D20-D32)/D19</f>
        <v>0.72630355717852813</v>
      </c>
      <c r="E55" s="3">
        <f t="shared" si="21"/>
        <v>0.57605582725815363</v>
      </c>
      <c r="F55" s="3">
        <f t="shared" si="21"/>
        <v>-3.099384502849966E-2</v>
      </c>
      <c r="G55" s="3">
        <f t="shared" si="21"/>
        <v>-9.7936133209011976E-3</v>
      </c>
      <c r="H55" s="3" t="e">
        <f t="shared" si="21"/>
        <v>#DIV/0!</v>
      </c>
      <c r="I55" s="3" t="e">
        <f t="shared" si="21"/>
        <v>#DIV/0!</v>
      </c>
      <c r="J55" s="16"/>
      <c r="K55" s="16"/>
    </row>
    <row r="56" spans="1:11" x14ac:dyDescent="0.25">
      <c r="A56" s="3" t="s">
        <v>149</v>
      </c>
      <c r="B56" s="18" t="e">
        <f>B57/B58</f>
        <v>#DIV/0!</v>
      </c>
      <c r="C56" s="18" t="e">
        <f>C57/C58</f>
        <v>#DIV/0!</v>
      </c>
      <c r="D56" s="18">
        <f t="shared" ref="D56:I56" si="22">D57/D58</f>
        <v>0.790298873101419</v>
      </c>
      <c r="E56" s="18">
        <f t="shared" si="22"/>
        <v>2.9264864252111247</v>
      </c>
      <c r="F56" s="18">
        <f t="shared" si="22"/>
        <v>1.718766834019263</v>
      </c>
      <c r="G56" s="18">
        <f t="shared" si="22"/>
        <v>4.0185364817229212</v>
      </c>
      <c r="H56" s="18" t="e">
        <f t="shared" si="22"/>
        <v>#DIV/0!</v>
      </c>
      <c r="I56" s="18" t="e">
        <f t="shared" si="22"/>
        <v>#DIV/0!</v>
      </c>
      <c r="J56" s="16"/>
      <c r="K56" s="16"/>
    </row>
    <row r="57" spans="1:11" x14ac:dyDescent="0.25">
      <c r="A57" s="3" t="s">
        <v>140</v>
      </c>
      <c r="B57" s="18"/>
      <c r="C57" s="18"/>
      <c r="D57" s="15">
        <f>D46</f>
        <v>1774.2999999999956</v>
      </c>
      <c r="E57" s="15">
        <f>E46</f>
        <v>5163.199999999988</v>
      </c>
      <c r="F57" s="15">
        <f t="shared" ref="F57:I57" si="23">F46</f>
        <v>1595.3249999999994</v>
      </c>
      <c r="G57" s="15">
        <f t="shared" si="23"/>
        <v>4160.9935999999989</v>
      </c>
      <c r="H57" s="15">
        <f t="shared" si="23"/>
        <v>0</v>
      </c>
      <c r="I57" s="15">
        <f t="shared" si="23"/>
        <v>0</v>
      </c>
      <c r="J57" s="16"/>
      <c r="K57" s="16"/>
    </row>
    <row r="58" spans="1:11" x14ac:dyDescent="0.25">
      <c r="A58" s="3" t="s">
        <v>150</v>
      </c>
      <c r="B58" s="18"/>
      <c r="C58" s="18"/>
      <c r="D58" s="15">
        <f>224.51*10</f>
        <v>2245.1</v>
      </c>
      <c r="E58" s="15">
        <f>176.43*10</f>
        <v>1764.3000000000002</v>
      </c>
      <c r="F58" s="15">
        <v>928.18</v>
      </c>
      <c r="G58" s="15">
        <v>1035.45</v>
      </c>
      <c r="H58" s="27"/>
      <c r="I58" s="15"/>
      <c r="J58" s="16"/>
      <c r="K58" s="16"/>
    </row>
    <row r="59" spans="1:11" x14ac:dyDescent="0.25">
      <c r="A59" s="28" t="s">
        <v>151</v>
      </c>
      <c r="B59" s="29" t="e">
        <f>B58/B20</f>
        <v>#DIV/0!</v>
      </c>
      <c r="C59" s="29" t="e">
        <f>C58/C20</f>
        <v>#DIV/0!</v>
      </c>
      <c r="D59" s="32">
        <f t="shared" ref="D59:I59" si="24">D58/D20</f>
        <v>0.11213445546038009</v>
      </c>
      <c r="E59" s="32">
        <f t="shared" si="24"/>
        <v>0.10027565432379437</v>
      </c>
      <c r="F59" s="29" t="e">
        <f t="shared" si="24"/>
        <v>#DIV/0!</v>
      </c>
      <c r="G59" s="29" t="e">
        <f t="shared" si="24"/>
        <v>#DIV/0!</v>
      </c>
      <c r="H59" s="29" t="e">
        <f t="shared" si="24"/>
        <v>#DIV/0!</v>
      </c>
      <c r="I59" s="29" t="e">
        <f t="shared" si="24"/>
        <v>#DIV/0!</v>
      </c>
      <c r="J59" s="30"/>
      <c r="K59" s="30"/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Mallcom Consolidated</vt:lpstr>
      <vt:lpstr>Sheet1</vt:lpstr>
      <vt:lpstr>peer sheet</vt:lpstr>
      <vt:lpstr>'Mallcom Consolidated'!Print_Area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 gala</dc:creator>
  <cp:lastModifiedBy>Lenovo</cp:lastModifiedBy>
  <cp:lastPrinted>2024-03-06T13:13:44Z</cp:lastPrinted>
  <dcterms:created xsi:type="dcterms:W3CDTF">2022-02-14T05:39:32Z</dcterms:created>
  <dcterms:modified xsi:type="dcterms:W3CDTF">2024-06-11T11:54:27Z</dcterms:modified>
</cp:coreProperties>
</file>