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mir\Summary shhet\"/>
    </mc:Choice>
  </mc:AlternateContent>
  <xr:revisionPtr revIDLastSave="0" documentId="13_ncr:1_{A32D174B-B274-42EA-A8DB-FEBEE420550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3" sheetId="3" r:id="rId2"/>
    <sheet name="Sheet2" sheetId="2" r:id="rId3"/>
    <sheet name="Peer Analysis" sheetId="4" r:id="rId4"/>
    <sheet name="Sheet4" sheetId="5" r:id="rId5"/>
  </sheets>
  <definedNames>
    <definedName name="_xlnm.Print_Area" localSheetId="0">Sheet1!$A$1:$T$74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I17" i="1"/>
  <c r="I16" i="1"/>
  <c r="I15" i="1"/>
  <c r="I6" i="1"/>
  <c r="H6" i="1"/>
  <c r="I5" i="1"/>
  <c r="T71" i="1"/>
  <c r="T70" i="1"/>
  <c r="T69" i="1"/>
  <c r="S68" i="1"/>
  <c r="S67" i="1"/>
  <c r="S62" i="1"/>
  <c r="S66" i="1"/>
  <c r="S65" i="1"/>
  <c r="S64" i="1"/>
  <c r="S63" i="1"/>
  <c r="N62" i="1"/>
  <c r="O62" i="1"/>
  <c r="P62" i="1"/>
  <c r="Q62" i="1"/>
  <c r="R62" i="1"/>
  <c r="T62" i="1"/>
  <c r="M62" i="1"/>
  <c r="T61" i="1"/>
  <c r="T60" i="1"/>
  <c r="T59" i="1"/>
  <c r="T58" i="1"/>
  <c r="S6" i="1"/>
  <c r="S56" i="1"/>
  <c r="I37" i="1"/>
  <c r="H37" i="1"/>
  <c r="I36" i="1"/>
  <c r="H36" i="1"/>
  <c r="G22" i="1"/>
  <c r="F22" i="1"/>
  <c r="E22" i="1"/>
  <c r="D22" i="1"/>
  <c r="C22" i="1"/>
  <c r="B22" i="1"/>
  <c r="H8" i="1"/>
  <c r="T65" i="1"/>
  <c r="T24" i="1"/>
  <c r="T14" i="1"/>
  <c r="T9" i="1"/>
  <c r="T8" i="1"/>
  <c r="I19" i="1"/>
  <c r="I18" i="1"/>
  <c r="I13" i="1"/>
  <c r="I12" i="1"/>
  <c r="I11" i="1"/>
  <c r="I8" i="1"/>
  <c r="I4" i="1"/>
  <c r="I49" i="1"/>
  <c r="I53" i="1"/>
  <c r="I42" i="1"/>
  <c r="I41" i="1"/>
  <c r="I44" i="1" s="1"/>
  <c r="I43" i="1"/>
  <c r="T10" i="1" l="1"/>
  <c r="I48" i="1"/>
  <c r="I50" i="1" s="1"/>
  <c r="T31" i="1"/>
  <c r="T32" i="1"/>
  <c r="T33" i="1"/>
  <c r="T34" i="1"/>
  <c r="T30" i="1"/>
  <c r="I56" i="1" s="1"/>
  <c r="T29" i="1"/>
  <c r="T28" i="1"/>
  <c r="T26" i="1"/>
  <c r="T23" i="1"/>
  <c r="T21" i="1"/>
  <c r="T20" i="1"/>
  <c r="T17" i="1"/>
  <c r="T16" i="1"/>
  <c r="T15" i="1"/>
  <c r="T5" i="1"/>
  <c r="I20" i="1"/>
  <c r="S58" i="1"/>
  <c r="T4" i="1"/>
  <c r="H49" i="1"/>
  <c r="I54" i="1"/>
  <c r="K62" i="4"/>
  <c r="K59" i="4"/>
  <c r="K57" i="4"/>
  <c r="J57" i="4"/>
  <c r="K43" i="4"/>
  <c r="K39" i="4"/>
  <c r="K20" i="4"/>
  <c r="K14" i="4"/>
  <c r="K16" i="4" s="1"/>
  <c r="K11" i="4"/>
  <c r="K10" i="4"/>
  <c r="K13" i="4" s="1"/>
  <c r="K9" i="4"/>
  <c r="H59" i="4"/>
  <c r="I59" i="4"/>
  <c r="H57" i="4"/>
  <c r="H55" i="4" s="1"/>
  <c r="I57" i="4"/>
  <c r="I54" i="4"/>
  <c r="I53" i="4"/>
  <c r="I46" i="4" s="1"/>
  <c r="I43" i="4"/>
  <c r="H43" i="4"/>
  <c r="I37" i="4"/>
  <c r="I20" i="4"/>
  <c r="I17" i="4"/>
  <c r="I16" i="4"/>
  <c r="I11" i="4"/>
  <c r="I12" i="4" s="1"/>
  <c r="I10" i="4"/>
  <c r="I56" i="4" s="1"/>
  <c r="I65" i="4" s="1"/>
  <c r="I9" i="4"/>
  <c r="E11" i="4"/>
  <c r="E10" i="4"/>
  <c r="E56" i="4" s="1"/>
  <c r="E65" i="4" s="1"/>
  <c r="F59" i="4"/>
  <c r="G59" i="4"/>
  <c r="G58" i="4"/>
  <c r="G57" i="4" s="1"/>
  <c r="F57" i="4"/>
  <c r="F55" i="4" s="1"/>
  <c r="G54" i="4"/>
  <c r="F54" i="4"/>
  <c r="G43" i="4"/>
  <c r="G39" i="4"/>
  <c r="G20" i="4"/>
  <c r="F17" i="4"/>
  <c r="G17" i="4"/>
  <c r="G16" i="4"/>
  <c r="G11" i="4"/>
  <c r="G10" i="4"/>
  <c r="G56" i="4" s="1"/>
  <c r="F10" i="4"/>
  <c r="G9" i="4"/>
  <c r="D65" i="4"/>
  <c r="D59" i="4"/>
  <c r="E58" i="4"/>
  <c r="E57" i="4" s="1"/>
  <c r="D57" i="4"/>
  <c r="D55" i="4" s="1"/>
  <c r="D54" i="4"/>
  <c r="E53" i="4"/>
  <c r="E46" i="4" s="1"/>
  <c r="E43" i="4"/>
  <c r="D43" i="4"/>
  <c r="E37" i="4"/>
  <c r="E38" i="4" s="1"/>
  <c r="E47" i="4" s="1"/>
  <c r="E24" i="4"/>
  <c r="E64" i="4" s="1"/>
  <c r="E20" i="4"/>
  <c r="D13" i="4"/>
  <c r="D12" i="4"/>
  <c r="E8" i="4"/>
  <c r="E14" i="4"/>
  <c r="E54" i="4" s="1"/>
  <c r="E7" i="4"/>
  <c r="C36" i="4"/>
  <c r="C45" i="4" s="1"/>
  <c r="C51" i="4"/>
  <c r="B51" i="4"/>
  <c r="B33" i="4"/>
  <c r="C19" i="4"/>
  <c r="B19" i="4"/>
  <c r="C18" i="4"/>
  <c r="B18" i="4"/>
  <c r="H54" i="1"/>
  <c r="H42" i="1"/>
  <c r="H43" i="1"/>
  <c r="H41" i="1"/>
  <c r="H48" i="1" s="1"/>
  <c r="H50" i="1" s="1"/>
  <c r="G42" i="1"/>
  <c r="G41" i="1"/>
  <c r="R24" i="1"/>
  <c r="R65" i="1"/>
  <c r="S16" i="1"/>
  <c r="S42" i="1"/>
  <c r="S41" i="1"/>
  <c r="S38" i="1"/>
  <c r="S35" i="1"/>
  <c r="S34" i="1"/>
  <c r="S33" i="1"/>
  <c r="S32" i="1"/>
  <c r="S31" i="1"/>
  <c r="S30" i="1"/>
  <c r="H56" i="1" s="1"/>
  <c r="S29" i="1"/>
  <c r="S28" i="1"/>
  <c r="S26" i="1"/>
  <c r="S20" i="1"/>
  <c r="S21" i="1"/>
  <c r="S17" i="1"/>
  <c r="S15" i="1"/>
  <c r="S9" i="1"/>
  <c r="C26" i="4" s="1"/>
  <c r="S14" i="1"/>
  <c r="S8" i="1"/>
  <c r="S7" i="1"/>
  <c r="S5" i="1"/>
  <c r="G20" i="1"/>
  <c r="G19" i="1"/>
  <c r="H30" i="1"/>
  <c r="H24" i="1"/>
  <c r="H12" i="1"/>
  <c r="H11" i="1"/>
  <c r="H9" i="1"/>
  <c r="H18" i="1"/>
  <c r="H19" i="1"/>
  <c r="H20" i="1"/>
  <c r="H4" i="1"/>
  <c r="G48" i="1" l="1"/>
  <c r="E12" i="4"/>
  <c r="K54" i="4"/>
  <c r="C25" i="4"/>
  <c r="S10" i="1"/>
  <c r="H55" i="1" s="1"/>
  <c r="T25" i="1"/>
  <c r="C39" i="4"/>
  <c r="T13" i="1"/>
  <c r="H7" i="1"/>
  <c r="H14" i="1" s="1"/>
  <c r="H21" i="1" s="1"/>
  <c r="H23" i="1" s="1"/>
  <c r="H25" i="1" s="1"/>
  <c r="H31" i="1" s="1"/>
  <c r="T66" i="1"/>
  <c r="H44" i="1"/>
  <c r="I13" i="4"/>
  <c r="T6" i="1"/>
  <c r="G12" i="4"/>
  <c r="G55" i="4"/>
  <c r="G65" i="4"/>
  <c r="I57" i="1"/>
  <c r="G13" i="4"/>
  <c r="K17" i="4"/>
  <c r="E9" i="4"/>
  <c r="T36" i="1"/>
  <c r="K56" i="4"/>
  <c r="K65" i="4" s="1"/>
  <c r="E67" i="4"/>
  <c r="K12" i="4"/>
  <c r="I7" i="1"/>
  <c r="C20" i="4"/>
  <c r="S36" i="1"/>
  <c r="C43" i="4"/>
  <c r="C7" i="4"/>
  <c r="C59" i="4" s="1"/>
  <c r="S25" i="1"/>
  <c r="C37" i="4"/>
  <c r="B43" i="4"/>
  <c r="K55" i="4"/>
  <c r="I55" i="4"/>
  <c r="E17" i="4"/>
  <c r="E13" i="4"/>
  <c r="E16" i="4"/>
  <c r="E59" i="4"/>
  <c r="E63" i="4"/>
  <c r="E55" i="4"/>
  <c r="G43" i="1"/>
  <c r="G44" i="1" s="1"/>
  <c r="T49" i="1" l="1"/>
  <c r="T11" i="1" s="1"/>
  <c r="T50" i="1"/>
  <c r="I55" i="1"/>
  <c r="I58" i="1" s="1"/>
  <c r="T63" i="1"/>
  <c r="T64" i="1"/>
  <c r="T68" i="1"/>
  <c r="T67" i="1"/>
  <c r="I14" i="1"/>
  <c r="T56" i="1"/>
  <c r="T44" i="1"/>
  <c r="K36" i="4"/>
  <c r="K33" i="4"/>
  <c r="K24" i="4"/>
  <c r="I33" i="4"/>
  <c r="I24" i="4"/>
  <c r="G36" i="4"/>
  <c r="I21" i="1" l="1"/>
  <c r="K53" i="4"/>
  <c r="K46" i="4" s="1"/>
  <c r="K37" i="4"/>
  <c r="K38" i="4" s="1"/>
  <c r="K47" i="4" s="1"/>
  <c r="G37" i="4"/>
  <c r="G53" i="4"/>
  <c r="G46" i="4" s="1"/>
  <c r="K67" i="4"/>
  <c r="K64" i="4"/>
  <c r="K63" i="4"/>
  <c r="I63" i="4"/>
  <c r="I67" i="4"/>
  <c r="I64" i="4"/>
  <c r="I38" i="4"/>
  <c r="I47" i="4" s="1"/>
  <c r="G33" i="4"/>
  <c r="G24" i="4"/>
  <c r="C24" i="4"/>
  <c r="I23" i="1" l="1"/>
  <c r="I25" i="1" s="1"/>
  <c r="G38" i="4"/>
  <c r="G47" i="4" s="1"/>
  <c r="G64" i="4"/>
  <c r="G63" i="4"/>
  <c r="G67" i="4"/>
  <c r="C67" i="4"/>
  <c r="C38" i="4"/>
  <c r="C33" i="4"/>
  <c r="E33" i="4"/>
  <c r="R42" i="1"/>
  <c r="H57" i="1"/>
  <c r="S24" i="1"/>
  <c r="S13" i="1" s="1"/>
  <c r="S4" i="1"/>
  <c r="I26" i="1" l="1"/>
  <c r="I31" i="1"/>
  <c r="S59" i="1"/>
  <c r="S49" i="1"/>
  <c r="S11" i="1" s="1"/>
  <c r="H58" i="1"/>
  <c r="S44" i="1"/>
  <c r="S50" i="1"/>
  <c r="I32" i="1" l="1"/>
  <c r="C23" i="4"/>
  <c r="J36" i="4"/>
  <c r="J45" i="4" s="1"/>
  <c r="J33" i="4"/>
  <c r="J24" i="4"/>
  <c r="H36" i="4"/>
  <c r="H33" i="4"/>
  <c r="H53" i="4" l="1"/>
  <c r="H46" i="4" s="1"/>
  <c r="H45" i="4"/>
  <c r="C57" i="4"/>
  <c r="C53" i="4"/>
  <c r="C46" i="4" s="1"/>
  <c r="C64" i="4"/>
  <c r="C63" i="4"/>
  <c r="F36" i="4"/>
  <c r="F33" i="4"/>
  <c r="D36" i="4"/>
  <c r="B36" i="4"/>
  <c r="D33" i="4"/>
  <c r="F45" i="4" l="1"/>
  <c r="F53" i="4"/>
  <c r="F46" i="4" s="1"/>
  <c r="B37" i="4"/>
  <c r="D45" i="4"/>
  <c r="D37" i="4"/>
  <c r="D53" i="4"/>
  <c r="D46" i="4" s="1"/>
  <c r="J55" i="4"/>
  <c r="J54" i="4"/>
  <c r="J53" i="4"/>
  <c r="J46" i="4" s="1"/>
  <c r="J67" i="4"/>
  <c r="J65" i="4"/>
  <c r="J64" i="4"/>
  <c r="J63" i="4"/>
  <c r="J59" i="4"/>
  <c r="J43" i="4"/>
  <c r="J37" i="4"/>
  <c r="J38" i="4" s="1"/>
  <c r="H65" i="4"/>
  <c r="H54" i="4"/>
  <c r="F43" i="4"/>
  <c r="H37" i="4"/>
  <c r="H24" i="4"/>
  <c r="H64" i="4" s="1"/>
  <c r="F24" i="4"/>
  <c r="F65" i="4"/>
  <c r="F37" i="4"/>
  <c r="B52" i="4"/>
  <c r="B45" i="4" s="1"/>
  <c r="F67" i="4" l="1"/>
  <c r="F64" i="4"/>
  <c r="F63" i="4"/>
  <c r="H38" i="4"/>
  <c r="F38" i="4"/>
  <c r="F47" i="4" s="1"/>
  <c r="H63" i="4"/>
  <c r="H67" i="4"/>
  <c r="D16" i="4" l="1"/>
  <c r="J11" i="4"/>
  <c r="H11" i="4"/>
  <c r="J10" i="4"/>
  <c r="J47" i="4" s="1"/>
  <c r="D9" i="4"/>
  <c r="J13" i="4" l="1"/>
  <c r="H10" i="4"/>
  <c r="H47" i="4" s="1"/>
  <c r="J20" i="4"/>
  <c r="H20" i="4"/>
  <c r="F20" i="4"/>
  <c r="D20" i="4"/>
  <c r="F16" i="4"/>
  <c r="H16" i="4"/>
  <c r="J16" i="4"/>
  <c r="J12" i="4"/>
  <c r="J9" i="4"/>
  <c r="H9" i="4"/>
  <c r="F9" i="4"/>
  <c r="J17" i="4"/>
  <c r="H17" i="4"/>
  <c r="D17" i="4"/>
  <c r="D24" i="4"/>
  <c r="N9" i="1"/>
  <c r="D63" i="4" l="1"/>
  <c r="D64" i="4"/>
  <c r="D38" i="4"/>
  <c r="D47" i="4" s="1"/>
  <c r="H12" i="4"/>
  <c r="D67" i="4"/>
  <c r="F13" i="4"/>
  <c r="F12" i="4"/>
  <c r="H13" i="4"/>
  <c r="B20" i="4" l="1"/>
  <c r="L29" i="1"/>
  <c r="L26" i="1"/>
  <c r="L14" i="1"/>
  <c r="M48" i="1"/>
  <c r="M46" i="1"/>
  <c r="M43" i="1"/>
  <c r="M42" i="1"/>
  <c r="M41" i="1"/>
  <c r="M39" i="1"/>
  <c r="M38" i="1"/>
  <c r="M35" i="1"/>
  <c r="M33" i="1"/>
  <c r="M32" i="1"/>
  <c r="M31" i="1"/>
  <c r="M30" i="1"/>
  <c r="B56" i="1" s="1"/>
  <c r="M29" i="1"/>
  <c r="M28" i="1"/>
  <c r="M26" i="1"/>
  <c r="M24" i="1"/>
  <c r="M21" i="1"/>
  <c r="M20" i="1"/>
  <c r="M18" i="1"/>
  <c r="M17" i="1"/>
  <c r="M14" i="1"/>
  <c r="M9" i="1"/>
  <c r="M8" i="1"/>
  <c r="M5" i="1"/>
  <c r="M4" i="1"/>
  <c r="F43" i="1"/>
  <c r="F42" i="1"/>
  <c r="F41" i="1"/>
  <c r="E43" i="1"/>
  <c r="E42" i="1"/>
  <c r="E41" i="1"/>
  <c r="D43" i="1"/>
  <c r="D42" i="1"/>
  <c r="D41" i="1"/>
  <c r="C40" i="1"/>
  <c r="C43" i="1"/>
  <c r="C42" i="1"/>
  <c r="C41" i="1"/>
  <c r="B41" i="1"/>
  <c r="B42" i="1"/>
  <c r="B43" i="1"/>
  <c r="B40" i="1"/>
  <c r="G30" i="1"/>
  <c r="G24" i="1"/>
  <c r="G18" i="1"/>
  <c r="G13" i="1"/>
  <c r="G12" i="1"/>
  <c r="G11" i="1"/>
  <c r="G9" i="1"/>
  <c r="G8" i="1"/>
  <c r="B24" i="1"/>
  <c r="B20" i="1"/>
  <c r="B19" i="1"/>
  <c r="B18" i="1"/>
  <c r="B13" i="1"/>
  <c r="B12" i="1"/>
  <c r="B11" i="1"/>
  <c r="B9" i="1"/>
  <c r="B8" i="1"/>
  <c r="B4" i="1"/>
  <c r="R41" i="1"/>
  <c r="R38" i="1"/>
  <c r="R35" i="1"/>
  <c r="R33" i="1"/>
  <c r="R32" i="1"/>
  <c r="R31" i="1"/>
  <c r="R30" i="1"/>
  <c r="G56" i="1" s="1"/>
  <c r="R29" i="1"/>
  <c r="R28" i="1"/>
  <c r="R26" i="1"/>
  <c r="R9" i="1"/>
  <c r="B26" i="4" s="1"/>
  <c r="R8" i="1"/>
  <c r="B25" i="4" s="1"/>
  <c r="R5" i="1"/>
  <c r="R15" i="1"/>
  <c r="R21" i="1"/>
  <c r="R20" i="1"/>
  <c r="R14" i="1"/>
  <c r="G49" i="1" s="1"/>
  <c r="Q48" i="1"/>
  <c r="Q41" i="1"/>
  <c r="Q39" i="1"/>
  <c r="Q38" i="1"/>
  <c r="Q35" i="1"/>
  <c r="Q33" i="1"/>
  <c r="Q32" i="1"/>
  <c r="Q31" i="1"/>
  <c r="Q30" i="1"/>
  <c r="F56" i="1" s="1"/>
  <c r="Q29" i="1"/>
  <c r="Q28" i="1"/>
  <c r="Q26" i="1"/>
  <c r="Q22" i="1"/>
  <c r="Q24" i="1"/>
  <c r="Q21" i="1"/>
  <c r="Q20" i="1"/>
  <c r="Q17" i="1"/>
  <c r="Q15" i="1"/>
  <c r="Q14" i="1"/>
  <c r="Q9" i="1"/>
  <c r="Q8" i="1"/>
  <c r="Q5" i="1"/>
  <c r="F24" i="1"/>
  <c r="F20" i="1"/>
  <c r="F19" i="1"/>
  <c r="F18" i="1"/>
  <c r="F13" i="1"/>
  <c r="F12" i="1"/>
  <c r="F11" i="1"/>
  <c r="F9" i="1"/>
  <c r="F8" i="1"/>
  <c r="F4" i="1"/>
  <c r="G4" i="1"/>
  <c r="P43" i="1"/>
  <c r="P46" i="1"/>
  <c r="P48" i="1"/>
  <c r="S69" i="1" l="1"/>
  <c r="R25" i="1"/>
  <c r="M13" i="1"/>
  <c r="B7" i="4"/>
  <c r="B59" i="4" s="1"/>
  <c r="R70" i="1"/>
  <c r="R66" i="1"/>
  <c r="H5" i="1"/>
  <c r="B24" i="4"/>
  <c r="S70" i="1"/>
  <c r="Q66" i="1"/>
  <c r="M66" i="1"/>
  <c r="P41" i="1"/>
  <c r="P39" i="1"/>
  <c r="P38" i="1"/>
  <c r="P35" i="1"/>
  <c r="P33" i="1"/>
  <c r="P32" i="1"/>
  <c r="P31" i="1"/>
  <c r="P30" i="1"/>
  <c r="E56" i="1" s="1"/>
  <c r="P29" i="1"/>
  <c r="P28" i="1"/>
  <c r="P26" i="1"/>
  <c r="P24" i="1"/>
  <c r="P21" i="1"/>
  <c r="P20" i="1"/>
  <c r="P15" i="1"/>
  <c r="P14" i="1"/>
  <c r="F49" i="1" s="1"/>
  <c r="P9" i="1"/>
  <c r="P8" i="1"/>
  <c r="P5" i="1"/>
  <c r="R4" i="1"/>
  <c r="R6" i="1" s="1"/>
  <c r="B23" i="4" s="1"/>
  <c r="Q4" i="1"/>
  <c r="Q6" i="1" s="1"/>
  <c r="P4" i="1"/>
  <c r="E24" i="1"/>
  <c r="E20" i="1"/>
  <c r="E19" i="1"/>
  <c r="E18" i="1"/>
  <c r="E13" i="1"/>
  <c r="E12" i="1"/>
  <c r="E11" i="1"/>
  <c r="E9" i="1"/>
  <c r="E4" i="1"/>
  <c r="O48" i="1"/>
  <c r="O46" i="1"/>
  <c r="O43" i="1"/>
  <c r="O41" i="1"/>
  <c r="O39" i="1"/>
  <c r="O38" i="1"/>
  <c r="O35" i="1"/>
  <c r="O33" i="1"/>
  <c r="O32" i="1"/>
  <c r="O31" i="1"/>
  <c r="O30" i="1"/>
  <c r="D56" i="1" s="1"/>
  <c r="O29" i="1"/>
  <c r="O28" i="1"/>
  <c r="O26" i="1"/>
  <c r="O24" i="1"/>
  <c r="O21" i="1"/>
  <c r="O20" i="1"/>
  <c r="O18" i="1"/>
  <c r="O15" i="1"/>
  <c r="O14" i="1"/>
  <c r="O9" i="1"/>
  <c r="O8" i="1"/>
  <c r="O7" i="1"/>
  <c r="O5" i="1"/>
  <c r="E8" i="1"/>
  <c r="O4" i="1"/>
  <c r="N46" i="1"/>
  <c r="N48" i="1"/>
  <c r="N43" i="1"/>
  <c r="N41" i="1"/>
  <c r="N39" i="1"/>
  <c r="N38" i="1"/>
  <c r="N35" i="1"/>
  <c r="N33" i="1"/>
  <c r="N32" i="1"/>
  <c r="N31" i="1"/>
  <c r="N30" i="1"/>
  <c r="C56" i="1" s="1"/>
  <c r="N29" i="1"/>
  <c r="N28" i="1"/>
  <c r="N26" i="1"/>
  <c r="N21" i="1"/>
  <c r="N18" i="1"/>
  <c r="N24" i="1"/>
  <c r="N17" i="1"/>
  <c r="N15" i="1"/>
  <c r="N14" i="1"/>
  <c r="N8" i="1"/>
  <c r="N10" i="1" s="1"/>
  <c r="N7" i="1"/>
  <c r="N5" i="1"/>
  <c r="N4" i="1"/>
  <c r="C29" i="1"/>
  <c r="C24" i="1"/>
  <c r="C20" i="1"/>
  <c r="C19" i="1"/>
  <c r="C18" i="1"/>
  <c r="C13" i="1"/>
  <c r="C12" i="1"/>
  <c r="C11" i="1"/>
  <c r="C9" i="1"/>
  <c r="C8" i="1"/>
  <c r="C4" i="1"/>
  <c r="D29" i="1"/>
  <c r="D24" i="1"/>
  <c r="D20" i="1"/>
  <c r="D19" i="1"/>
  <c r="D18" i="1"/>
  <c r="D13" i="1"/>
  <c r="D12" i="1"/>
  <c r="D11" i="1"/>
  <c r="D9" i="1"/>
  <c r="D8" i="1"/>
  <c r="D4" i="1"/>
  <c r="B8" i="4" s="1"/>
  <c r="N36" i="1" l="1"/>
  <c r="N6" i="1"/>
  <c r="B63" i="4"/>
  <c r="C8" i="4"/>
  <c r="C9" i="4"/>
  <c r="N66" i="1"/>
  <c r="B67" i="4"/>
  <c r="B57" i="4"/>
  <c r="B53" i="4"/>
  <c r="B46" i="4" s="1"/>
  <c r="P6" i="1"/>
  <c r="O66" i="1"/>
  <c r="E49" i="1"/>
  <c r="C49" i="1"/>
  <c r="P66" i="1"/>
  <c r="B7" i="1"/>
  <c r="B44" i="1"/>
  <c r="B45" i="1" s="1"/>
  <c r="B48" i="1"/>
  <c r="B49" i="1"/>
  <c r="B54" i="1"/>
  <c r="B57" i="1"/>
  <c r="N50" i="1" l="1"/>
  <c r="B14" i="1"/>
  <c r="M71" i="1" s="1"/>
  <c r="M67" i="1"/>
  <c r="M68" i="1"/>
  <c r="B50" i="1"/>
  <c r="C54" i="1"/>
  <c r="D54" i="1"/>
  <c r="E54" i="1"/>
  <c r="F54" i="1"/>
  <c r="G54" i="1"/>
  <c r="C48" i="1"/>
  <c r="C50" i="1" s="1"/>
  <c r="D48" i="1"/>
  <c r="E48" i="1"/>
  <c r="F48" i="1"/>
  <c r="B17" i="1" l="1"/>
  <c r="B21" i="1"/>
  <c r="B25" i="1" s="1"/>
  <c r="M69" i="1"/>
  <c r="B28" i="1" l="1"/>
  <c r="B31" i="1"/>
  <c r="S71" i="1"/>
  <c r="S60" i="1"/>
  <c r="C56" i="4"/>
  <c r="C10" i="4"/>
  <c r="H17" i="1"/>
  <c r="G57" i="1"/>
  <c r="B39" i="4"/>
  <c r="R55" i="1"/>
  <c r="R58" i="1" s="1"/>
  <c r="G36" i="1"/>
  <c r="G5" i="1"/>
  <c r="G37" i="1"/>
  <c r="G6" i="1"/>
  <c r="B9" i="4" s="1"/>
  <c r="B38" i="4" l="1"/>
  <c r="B64" i="4"/>
  <c r="C13" i="4"/>
  <c r="C47" i="4"/>
  <c r="C65" i="4"/>
  <c r="C55" i="4"/>
  <c r="J24" i="3"/>
  <c r="H13" i="3"/>
  <c r="H4" i="3"/>
  <c r="D8" i="3"/>
  <c r="D13" i="3"/>
  <c r="E13" i="3"/>
  <c r="C13" i="3"/>
  <c r="E8" i="3"/>
  <c r="C8" i="3"/>
  <c r="D4" i="3"/>
  <c r="E4" i="3"/>
  <c r="C4" i="3"/>
  <c r="D7" i="2"/>
  <c r="E7" i="2"/>
  <c r="F7" i="2"/>
  <c r="C7" i="2"/>
  <c r="G7" i="1"/>
  <c r="R36" i="1"/>
  <c r="R13" i="1"/>
  <c r="R49" i="1" s="1"/>
  <c r="R10" i="1"/>
  <c r="N65" i="1"/>
  <c r="O65" i="1"/>
  <c r="P65" i="1"/>
  <c r="Q65" i="1"/>
  <c r="M65" i="1"/>
  <c r="M70" i="1"/>
  <c r="R67" i="1" l="1"/>
  <c r="R68" i="1"/>
  <c r="H28" i="1"/>
  <c r="C14" i="4"/>
  <c r="S61" i="1"/>
  <c r="R63" i="1"/>
  <c r="R64" i="1"/>
  <c r="H24" i="3"/>
  <c r="D21" i="3"/>
  <c r="D22" i="3" s="1"/>
  <c r="R50" i="1"/>
  <c r="R11" i="1"/>
  <c r="R56" i="1"/>
  <c r="R59" i="1" s="1"/>
  <c r="G14" i="1"/>
  <c r="C21" i="3"/>
  <c r="C22" i="3" s="1"/>
  <c r="E21" i="3"/>
  <c r="E22" i="3" s="1"/>
  <c r="G55" i="1"/>
  <c r="G58" i="1" s="1"/>
  <c r="R44" i="1"/>
  <c r="M25" i="1"/>
  <c r="M49" i="1" s="1"/>
  <c r="R69" i="1" l="1"/>
  <c r="R60" i="1"/>
  <c r="C17" i="4"/>
  <c r="C54" i="4"/>
  <c r="B56" i="4"/>
  <c r="G21" i="1"/>
  <c r="G23" i="1" s="1"/>
  <c r="G25" i="1" s="1"/>
  <c r="R71" i="1"/>
  <c r="H15" i="1"/>
  <c r="B10" i="4"/>
  <c r="G17" i="1"/>
  <c r="O70" i="1"/>
  <c r="P70" i="1"/>
  <c r="Q70" i="1"/>
  <c r="N70" i="1"/>
  <c r="H26" i="1" l="1"/>
  <c r="G31" i="1"/>
  <c r="B65" i="4"/>
  <c r="B55" i="4"/>
  <c r="B13" i="4"/>
  <c r="B47" i="4"/>
  <c r="R61" i="1"/>
  <c r="D49" i="1"/>
  <c r="G28" i="1" l="1"/>
  <c r="B14" i="4"/>
  <c r="H32" i="1"/>
  <c r="N55" i="1"/>
  <c r="N58" i="1" s="1"/>
  <c r="O55" i="1"/>
  <c r="O58" i="1" s="1"/>
  <c r="P55" i="1"/>
  <c r="P58" i="1" s="1"/>
  <c r="Q55" i="1"/>
  <c r="Q58" i="1" s="1"/>
  <c r="M55" i="1"/>
  <c r="M58" i="1" s="1"/>
  <c r="B54" i="4" l="1"/>
  <c r="B17" i="4"/>
  <c r="C57" i="1"/>
  <c r="D57" i="1"/>
  <c r="E57" i="1"/>
  <c r="F57" i="1"/>
  <c r="C44" i="1"/>
  <c r="C45" i="1" s="1"/>
  <c r="D40" i="1" s="1"/>
  <c r="D44" i="1"/>
  <c r="E44" i="1"/>
  <c r="F44" i="1"/>
  <c r="D45" i="1" l="1"/>
  <c r="E40" i="1" s="1"/>
  <c r="O36" i="1"/>
  <c r="P36" i="1"/>
  <c r="M36" i="1"/>
  <c r="O25" i="1"/>
  <c r="P25" i="1"/>
  <c r="Q25" i="1"/>
  <c r="N25" i="1"/>
  <c r="Q13" i="1"/>
  <c r="P13" i="1"/>
  <c r="O13" i="1"/>
  <c r="N13" i="1"/>
  <c r="N49" i="1" s="1"/>
  <c r="N11" i="1" s="1"/>
  <c r="Q10" i="1"/>
  <c r="P10" i="1"/>
  <c r="M10" i="1"/>
  <c r="B55" i="1" s="1"/>
  <c r="B58" i="1" s="1"/>
  <c r="M6" i="1"/>
  <c r="M50" i="1" l="1"/>
  <c r="M11" i="1"/>
  <c r="E45" i="1"/>
  <c r="F40" i="1" s="1"/>
  <c r="F45" i="1" s="1"/>
  <c r="P50" i="1"/>
  <c r="Q36" i="1"/>
  <c r="Q44" i="1" s="1"/>
  <c r="Q49" i="1"/>
  <c r="O49" i="1"/>
  <c r="M44" i="1"/>
  <c r="P49" i="1"/>
  <c r="P11" i="1" s="1"/>
  <c r="Q56" i="1"/>
  <c r="Q59" i="1" s="1"/>
  <c r="P44" i="1"/>
  <c r="N56" i="1"/>
  <c r="N59" i="1" s="1"/>
  <c r="P63" i="1"/>
  <c r="P64" i="1"/>
  <c r="E55" i="1"/>
  <c r="E58" i="1" s="1"/>
  <c r="Q64" i="1"/>
  <c r="Q63" i="1"/>
  <c r="F55" i="1"/>
  <c r="F58" i="1" s="1"/>
  <c r="N44" i="1"/>
  <c r="P56" i="1"/>
  <c r="P59" i="1" s="1"/>
  <c r="M64" i="1"/>
  <c r="M63" i="1"/>
  <c r="O44" i="1"/>
  <c r="M56" i="1"/>
  <c r="M59" i="1" s="1"/>
  <c r="N64" i="1"/>
  <c r="N63" i="1"/>
  <c r="C55" i="1"/>
  <c r="C58" i="1" s="1"/>
  <c r="G40" i="1" l="1"/>
  <c r="Q50" i="1"/>
  <c r="G50" i="1"/>
  <c r="Q11" i="1"/>
  <c r="D7" i="1"/>
  <c r="C5" i="1"/>
  <c r="D5" i="1"/>
  <c r="E5" i="1"/>
  <c r="F5" i="1"/>
  <c r="E6" i="1"/>
  <c r="F6" i="1"/>
  <c r="C7" i="1"/>
  <c r="E7" i="1"/>
  <c r="F7" i="1"/>
  <c r="C36" i="1"/>
  <c r="D36" i="1"/>
  <c r="E36" i="1"/>
  <c r="F36" i="1"/>
  <c r="E37" i="1"/>
  <c r="F37" i="1"/>
  <c r="G45" i="1" l="1"/>
  <c r="H40" i="1" s="1"/>
  <c r="H45" i="1" s="1"/>
  <c r="I40" i="1" s="1"/>
  <c r="I45" i="1" s="1"/>
  <c r="N67" i="1"/>
  <c r="N68" i="1"/>
  <c r="Q68" i="1"/>
  <c r="Q67" i="1"/>
  <c r="P68" i="1"/>
  <c r="P67" i="1"/>
  <c r="O67" i="1"/>
  <c r="O68" i="1"/>
  <c r="M60" i="1"/>
  <c r="C14" i="1"/>
  <c r="N71" i="1" s="1"/>
  <c r="D14" i="1"/>
  <c r="E14" i="1"/>
  <c r="F14" i="1"/>
  <c r="Q71" i="1" l="1"/>
  <c r="C11" i="4"/>
  <c r="P71" i="1"/>
  <c r="H16" i="1"/>
  <c r="C12" i="4" s="1"/>
  <c r="B11" i="4"/>
  <c r="O71" i="1"/>
  <c r="N60" i="1"/>
  <c r="P60" i="1"/>
  <c r="Q60" i="1"/>
  <c r="G15" i="1"/>
  <c r="G16" i="1"/>
  <c r="B12" i="4" s="1"/>
  <c r="F16" i="1"/>
  <c r="C17" i="1"/>
  <c r="F15" i="1"/>
  <c r="C21" i="1"/>
  <c r="C23" i="1" s="1"/>
  <c r="C25" i="1" s="1"/>
  <c r="C31" i="1" s="1"/>
  <c r="F21" i="1"/>
  <c r="D15" i="1"/>
  <c r="E21" i="1"/>
  <c r="E23" i="1" s="1"/>
  <c r="E25" i="1" s="1"/>
  <c r="P69" i="1"/>
  <c r="Q69" i="1"/>
  <c r="D21" i="1"/>
  <c r="E15" i="1"/>
  <c r="D17" i="1"/>
  <c r="F17" i="1"/>
  <c r="M61" i="1"/>
  <c r="O69" i="1"/>
  <c r="E16" i="1"/>
  <c r="N69" i="1"/>
  <c r="E17" i="1"/>
  <c r="E27" i="1" l="1"/>
  <c r="E31" i="1"/>
  <c r="H33" i="1" s="1"/>
  <c r="D50" i="1"/>
  <c r="D23" i="1"/>
  <c r="D25" i="1" s="1"/>
  <c r="F23" i="1"/>
  <c r="F25" i="1" s="1"/>
  <c r="I27" i="1" s="1"/>
  <c r="C26" i="1"/>
  <c r="N61" i="1"/>
  <c r="H27" i="1"/>
  <c r="Q61" i="1"/>
  <c r="G27" i="1"/>
  <c r="E50" i="1"/>
  <c r="F50" i="1"/>
  <c r="C28" i="1"/>
  <c r="F28" i="1" l="1"/>
  <c r="G26" i="1"/>
  <c r="D26" i="1"/>
  <c r="D31" i="1"/>
  <c r="D32" i="1" s="1"/>
  <c r="B15" i="4"/>
  <c r="B16" i="4" s="1"/>
  <c r="F27" i="1"/>
  <c r="F31" i="1"/>
  <c r="I33" i="1" s="1"/>
  <c r="C15" i="4"/>
  <c r="C16" i="4" s="1"/>
  <c r="P61" i="1"/>
  <c r="E28" i="1"/>
  <c r="E26" i="1"/>
  <c r="F26" i="1"/>
  <c r="C32" i="1"/>
  <c r="F33" i="1"/>
  <c r="D28" i="1"/>
  <c r="G32" i="1" l="1"/>
  <c r="F32" i="1"/>
  <c r="E33" i="1"/>
  <c r="G33" i="1"/>
  <c r="E32" i="1"/>
  <c r="O6" i="1"/>
  <c r="O56" i="1" s="1"/>
  <c r="O59" i="1" s="1"/>
  <c r="O61" i="1" l="1"/>
  <c r="O11" i="1"/>
  <c r="O10" i="1"/>
  <c r="O64" i="1" s="1"/>
  <c r="O50" i="1" l="1"/>
  <c r="O63" i="1"/>
  <c r="D55" i="1"/>
  <c r="D58" i="1" s="1"/>
  <c r="O60" i="1" s="1"/>
</calcChain>
</file>

<file path=xl/sharedStrings.xml><?xml version="1.0" encoding="utf-8"?>
<sst xmlns="http://schemas.openxmlformats.org/spreadsheetml/2006/main" count="331" uniqueCount="196">
  <si>
    <t>INCOME STATEMENT</t>
  </si>
  <si>
    <t>Y/E, Mar (Rs. mn)</t>
  </si>
  <si>
    <t>FY17</t>
  </si>
  <si>
    <t>FY18</t>
  </si>
  <si>
    <t>FY19</t>
  </si>
  <si>
    <t>FY20</t>
  </si>
  <si>
    <t>FY21</t>
  </si>
  <si>
    <t>H1-FY22</t>
  </si>
  <si>
    <t>9M-FY22</t>
  </si>
  <si>
    <t>Revenue from Operations</t>
  </si>
  <si>
    <t>Growth (%)</t>
  </si>
  <si>
    <t>CAGR (%) - 3 years</t>
  </si>
  <si>
    <t>Total Expenses</t>
  </si>
  <si>
    <t>Cost of Materials Consumed</t>
  </si>
  <si>
    <t>Changes in Inventories</t>
  </si>
  <si>
    <t>Employee benefits expenses</t>
  </si>
  <si>
    <t>Other expenses</t>
  </si>
  <si>
    <t>EBITDA</t>
  </si>
  <si>
    <t>EBITDA Margin (%)</t>
  </si>
  <si>
    <t>Depreciation and amortisation expenses</t>
  </si>
  <si>
    <t>Finance costs</t>
  </si>
  <si>
    <t>Other Income</t>
  </si>
  <si>
    <t>PBT</t>
  </si>
  <si>
    <t>Tax Expense</t>
  </si>
  <si>
    <t>PAT</t>
  </si>
  <si>
    <t>PAT Margin (%)</t>
  </si>
  <si>
    <t>Other Comprehensive Income</t>
  </si>
  <si>
    <t>Total Comprehensive Income</t>
  </si>
  <si>
    <t>CAGR (%) - 3 Years</t>
  </si>
  <si>
    <t>EPS</t>
  </si>
  <si>
    <t>Purchases of stock-in-trade</t>
  </si>
  <si>
    <t>Excise Duty on sale of goods</t>
  </si>
  <si>
    <t>BALANCE SHEET</t>
  </si>
  <si>
    <t>Share Capital</t>
  </si>
  <si>
    <t>Other Equity</t>
  </si>
  <si>
    <t>Networth/Shareholders Fund/ Book Value</t>
  </si>
  <si>
    <t>Minority Int</t>
  </si>
  <si>
    <t>Long Term Debt</t>
  </si>
  <si>
    <t>Short Term Debt</t>
  </si>
  <si>
    <t>Loans</t>
  </si>
  <si>
    <t>Capital Employed</t>
  </si>
  <si>
    <t>NON-CURRENT ASSETS</t>
  </si>
  <si>
    <t>Property, plant &amp; equipment</t>
  </si>
  <si>
    <t>Intangible Assets</t>
  </si>
  <si>
    <t>Capital Work-in-progress</t>
  </si>
  <si>
    <t>Financial assets</t>
  </si>
  <si>
    <t>(ii) Other financial assets</t>
  </si>
  <si>
    <t>Other non-current assets</t>
  </si>
  <si>
    <t>CURRENT ASSETS, LOANS &amp; ADVANCES</t>
  </si>
  <si>
    <t>Inventories</t>
  </si>
  <si>
    <t>CURRENT LIABILITIES &amp; PROVISIONS</t>
  </si>
  <si>
    <t>Other Current liabilities</t>
  </si>
  <si>
    <t>Provisions</t>
  </si>
  <si>
    <t>NET CURRENT ASSETS</t>
  </si>
  <si>
    <t>Long term provision</t>
  </si>
  <si>
    <t>TOTAL ASSETS</t>
  </si>
  <si>
    <t>TOTAL LIABILITIES</t>
  </si>
  <si>
    <t>(i) Loans</t>
  </si>
  <si>
    <t>(i) Investment in Liquid Scheme of MF</t>
  </si>
  <si>
    <t>(ii)Trade Receivable</t>
  </si>
  <si>
    <t>(iii)Cash and cash equivalents</t>
  </si>
  <si>
    <t>(iv)Other bank balances</t>
  </si>
  <si>
    <t>(v)Loans</t>
  </si>
  <si>
    <t>(vi) Other financial assets</t>
  </si>
  <si>
    <t>Current tax assets (net)</t>
  </si>
  <si>
    <t>Other current assets</t>
  </si>
  <si>
    <t>Deferred tax liability (net)</t>
  </si>
  <si>
    <t>Other non-current liabilities</t>
  </si>
  <si>
    <t>Financial liabilities</t>
  </si>
  <si>
    <t>(i)Trade Payables</t>
  </si>
  <si>
    <t>(ii)Other Financial liabilities</t>
  </si>
  <si>
    <t>Cuurent Tax Liabilities (net)</t>
  </si>
  <si>
    <t>Right to use assets</t>
  </si>
  <si>
    <t>Lease Liabilities</t>
  </si>
  <si>
    <t>(iii)Lease Liabilities</t>
  </si>
  <si>
    <t>CASH FLOW (INR Mn)</t>
  </si>
  <si>
    <t>Cash and Cash Equivalents at beginning of the year</t>
  </si>
  <si>
    <t>Cash Flow From Operating Activities</t>
  </si>
  <si>
    <t>Cash Flow from Investing Activities</t>
  </si>
  <si>
    <t>Cash Flow From Financing Activities</t>
  </si>
  <si>
    <t>Net Inc./(Dec.) in Cash and Cash Equivalents</t>
  </si>
  <si>
    <t>Cash and Cash Equivalents at end of the year</t>
  </si>
  <si>
    <t>Our Calculations</t>
  </si>
  <si>
    <t xml:space="preserve">Operating Cash Inflow </t>
  </si>
  <si>
    <t>Capital Expenditure</t>
  </si>
  <si>
    <t>FCF</t>
  </si>
  <si>
    <t>No of Shares</t>
  </si>
  <si>
    <t>Market Cap</t>
  </si>
  <si>
    <t>Total Debt</t>
  </si>
  <si>
    <t>Cash</t>
  </si>
  <si>
    <t>Bank</t>
  </si>
  <si>
    <t>EV</t>
  </si>
  <si>
    <t>P/BV (x)</t>
  </si>
  <si>
    <t>EV/EBIDTA (x)</t>
  </si>
  <si>
    <t>Net D/E (x)</t>
  </si>
  <si>
    <t>Debtor Days</t>
  </si>
  <si>
    <t>Creditor Days</t>
  </si>
  <si>
    <t>Inventory Days</t>
  </si>
  <si>
    <t>Cash Conversion cycle</t>
  </si>
  <si>
    <t>KEY RATIOS</t>
  </si>
  <si>
    <t>CMP(INR)</t>
  </si>
  <si>
    <t>EPS (INR)</t>
  </si>
  <si>
    <t>BVPS (INR)</t>
  </si>
  <si>
    <t>ROE (%)</t>
  </si>
  <si>
    <t>ROCE (%)</t>
  </si>
  <si>
    <t>Gross D/E (x)</t>
  </si>
  <si>
    <t>Fixed Asset Turnover</t>
  </si>
  <si>
    <t>Interest Coverage Ratio</t>
  </si>
  <si>
    <t>P/E (x)</t>
  </si>
  <si>
    <t>FY16</t>
  </si>
  <si>
    <t>DPS (INR)</t>
  </si>
  <si>
    <t>Dividend Yield (%)</t>
  </si>
  <si>
    <t>FY22</t>
  </si>
  <si>
    <t>EBIDTA</t>
  </si>
  <si>
    <t>EBIDTA Margins (%)</t>
  </si>
  <si>
    <t>Tax</t>
  </si>
  <si>
    <t>PAT Margins (%)</t>
  </si>
  <si>
    <t>Diluted EPS</t>
  </si>
  <si>
    <t>EQUITY</t>
  </si>
  <si>
    <t>LIABILITIES</t>
  </si>
  <si>
    <t>NON-CURRENT LIABILITIES</t>
  </si>
  <si>
    <t>CURRENT LIABILITIES</t>
  </si>
  <si>
    <t>GRAND TOTAL - EQUITY AND LIABILITIES</t>
  </si>
  <si>
    <t>Particulars (INR. mn)</t>
  </si>
  <si>
    <t>CURRENT ASSETS</t>
  </si>
  <si>
    <t>GRAND TOTAL - ASSETS</t>
  </si>
  <si>
    <t xml:space="preserve"> </t>
  </si>
  <si>
    <t>Profit of minority interest</t>
  </si>
  <si>
    <t>Goodwill</t>
  </si>
  <si>
    <t>(i) Investments</t>
  </si>
  <si>
    <t>Investment properties</t>
  </si>
  <si>
    <t>Current Tax Liabilities (net)</t>
  </si>
  <si>
    <t>(iii) Current tax assets</t>
  </si>
  <si>
    <t>Peer Comparison Analysis - Jindal Worldwide Ltd.</t>
  </si>
  <si>
    <t>P&amp;L Comparision (As on H1-FY22)</t>
  </si>
  <si>
    <t>Income Statement (INR Mn)</t>
  </si>
  <si>
    <t>Jindal Worldwide Ltd.</t>
  </si>
  <si>
    <t>Arvind Ltd</t>
  </si>
  <si>
    <t>Nandan Denims Ltd</t>
  </si>
  <si>
    <t>Sangam (India) Ltd</t>
  </si>
  <si>
    <t>Vardhman Textiles Ltd</t>
  </si>
  <si>
    <t>Operational Income</t>
  </si>
  <si>
    <t>3 Years CAGR (%)</t>
  </si>
  <si>
    <t>Total Networth</t>
  </si>
  <si>
    <t>Long Term</t>
  </si>
  <si>
    <t>Short Term</t>
  </si>
  <si>
    <t>Cash Flow</t>
  </si>
  <si>
    <t>VALUATIONS COMPARISION</t>
  </si>
  <si>
    <t>Stock P:E</t>
  </si>
  <si>
    <t>Dividend Yield</t>
  </si>
  <si>
    <t>Price:Book Value</t>
  </si>
  <si>
    <t>EV/ EBITDA</t>
  </si>
  <si>
    <t>OPERATIONAL RATIOS COMPARISION</t>
  </si>
  <si>
    <t>Dividend per share</t>
  </si>
  <si>
    <t>Book Value per Share</t>
  </si>
  <si>
    <t>ROE</t>
  </si>
  <si>
    <t>ROCE</t>
  </si>
  <si>
    <t>Gross Debt/Equity</t>
  </si>
  <si>
    <t>Net CFO</t>
  </si>
  <si>
    <t>Purchase of Property, plant &amp; Machinery</t>
  </si>
  <si>
    <t>No. of Shares (In Mn)</t>
  </si>
  <si>
    <t>Enterprise Value</t>
  </si>
  <si>
    <t>Cash &amp; Cash Equvivalents</t>
  </si>
  <si>
    <t xml:space="preserve">Dividend </t>
  </si>
  <si>
    <t>EBIT</t>
  </si>
  <si>
    <t>Non-Current Liabilities</t>
  </si>
  <si>
    <t>PPE -Balance Sheet</t>
  </si>
  <si>
    <t>CWIP - Balance Sheet</t>
  </si>
  <si>
    <t>Investment- Balance Sheet</t>
  </si>
  <si>
    <t>Net Debt/Equity</t>
  </si>
  <si>
    <t>Finance Cost</t>
  </si>
  <si>
    <t>Interest Cost (%)</t>
  </si>
  <si>
    <t>Arvind Limited</t>
  </si>
  <si>
    <t>Nandan Denim</t>
  </si>
  <si>
    <t>Sangam India</t>
  </si>
  <si>
    <t>Vardhman Textiles</t>
  </si>
  <si>
    <t>PAT M</t>
  </si>
  <si>
    <t>Operating M</t>
  </si>
  <si>
    <t>Jindal W</t>
  </si>
  <si>
    <t>D/E</t>
  </si>
  <si>
    <t>-</t>
  </si>
  <si>
    <t>NA</t>
  </si>
  <si>
    <t>FY23</t>
  </si>
  <si>
    <t>Other intangible assets</t>
  </si>
  <si>
    <t xml:space="preserve">   </t>
  </si>
  <si>
    <t>Operational Income (FY20)</t>
  </si>
  <si>
    <t>EBITDA FY20</t>
  </si>
  <si>
    <t>EPS FY20</t>
  </si>
  <si>
    <t>PAT FY20</t>
  </si>
  <si>
    <t>CMP as of 31st March FY23</t>
  </si>
  <si>
    <t xml:space="preserve">IV) Deffered Tax Assets </t>
  </si>
  <si>
    <t>FY24</t>
  </si>
  <si>
    <t xml:space="preserve"> FY24</t>
  </si>
  <si>
    <t>Expenses</t>
  </si>
  <si>
    <t>PBT and before share of profit from associate</t>
  </si>
  <si>
    <t>Share of profit/ (loss) of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</si>
</sst>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_ * #,##0_ ;_ * \-#,##0_ ;_ * &quot;-&quot;??_ ;_ @_ "/>
    <numFmt numFmtId="167" formatCode="#,##0.0"/>
    <numFmt numFmtId="168" formatCode="0.000"/>
    <numFmt numFmtId="170" formatCode="_ * #,##0.000_ ;_ * \-#,##0.00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2" borderId="2" xfId="0" applyFont="1" applyFill="1" applyBorder="1"/>
    <xf numFmtId="10" fontId="3" fillId="2" borderId="2" xfId="1" applyNumberFormat="1" applyFont="1" applyFill="1" applyBorder="1"/>
    <xf numFmtId="164" fontId="3" fillId="2" borderId="2" xfId="0" applyNumberFormat="1" applyFont="1" applyFill="1" applyBorder="1"/>
    <xf numFmtId="0" fontId="2" fillId="2" borderId="2" xfId="0" applyFont="1" applyFill="1" applyBorder="1"/>
    <xf numFmtId="0" fontId="0" fillId="0" borderId="2" xfId="0" applyBorder="1"/>
    <xf numFmtId="10" fontId="2" fillId="2" borderId="2" xfId="1" applyNumberFormat="1" applyFont="1" applyFill="1" applyBorder="1"/>
    <xf numFmtId="2" fontId="0" fillId="0" borderId="2" xfId="1" applyNumberFormat="1" applyFont="1" applyFill="1" applyBorder="1"/>
    <xf numFmtId="2" fontId="2" fillId="2" borderId="2" xfId="0" applyNumberFormat="1" applyFont="1" applyFill="1" applyBorder="1"/>
    <xf numFmtId="10" fontId="0" fillId="2" borderId="2" xfId="1" applyNumberFormat="1" applyFont="1" applyFill="1" applyBorder="1"/>
    <xf numFmtId="2" fontId="2" fillId="2" borderId="2" xfId="1" applyNumberFormat="1" applyFont="1" applyFill="1" applyBorder="1"/>
    <xf numFmtId="43" fontId="2" fillId="0" borderId="2" xfId="0" applyNumberFormat="1" applyFont="1" applyBorder="1"/>
    <xf numFmtId="43" fontId="0" fillId="0" borderId="2" xfId="0" applyNumberFormat="1" applyBorder="1"/>
    <xf numFmtId="43" fontId="2" fillId="2" borderId="2" xfId="0" applyNumberFormat="1" applyFont="1" applyFill="1" applyBorder="1"/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/>
    </xf>
    <xf numFmtId="0" fontId="0" fillId="0" borderId="3" xfId="0" applyBorder="1"/>
    <xf numFmtId="43" fontId="5" fillId="0" borderId="2" xfId="0" applyNumberFormat="1" applyFont="1" applyBorder="1"/>
    <xf numFmtId="43" fontId="5" fillId="0" borderId="2" xfId="0" applyNumberFormat="1" applyFont="1" applyBorder="1" applyAlignment="1">
      <alignment horizontal="right"/>
    </xf>
    <xf numFmtId="0" fontId="4" fillId="0" borderId="2" xfId="0" applyFont="1" applyBorder="1"/>
    <xf numFmtId="0" fontId="5" fillId="0" borderId="2" xfId="0" applyFont="1" applyBorder="1"/>
    <xf numFmtId="0" fontId="4" fillId="2" borderId="2" xfId="0" applyFont="1" applyFill="1" applyBorder="1"/>
    <xf numFmtId="165" fontId="0" fillId="0" borderId="2" xfId="2" applyNumberFormat="1" applyFont="1" applyBorder="1"/>
    <xf numFmtId="165" fontId="2" fillId="2" borderId="2" xfId="2" applyNumberFormat="1" applyFont="1" applyFill="1" applyBorder="1"/>
    <xf numFmtId="43" fontId="5" fillId="0" borderId="2" xfId="2" applyFont="1" applyFill="1" applyBorder="1"/>
    <xf numFmtId="43" fontId="4" fillId="0" borderId="2" xfId="2" applyFont="1" applyFill="1" applyBorder="1"/>
    <xf numFmtId="43" fontId="4" fillId="2" borderId="2" xfId="2" applyFont="1" applyFill="1" applyBorder="1"/>
    <xf numFmtId="0" fontId="4" fillId="0" borderId="2" xfId="0" applyFont="1" applyBorder="1" applyAlignment="1">
      <alignment horizontal="center"/>
    </xf>
    <xf numFmtId="2" fontId="5" fillId="0" borderId="2" xfId="0" applyNumberFormat="1" applyFont="1" applyBorder="1"/>
    <xf numFmtId="10" fontId="5" fillId="0" borderId="2" xfId="1" applyNumberFormat="1" applyFont="1" applyBorder="1"/>
    <xf numFmtId="2" fontId="5" fillId="0" borderId="2" xfId="0" applyNumberFormat="1" applyFont="1" applyBorder="1" applyAlignment="1">
      <alignment horizontal="right"/>
    </xf>
    <xf numFmtId="2" fontId="5" fillId="0" borderId="2" xfId="1" applyNumberFormat="1" applyFont="1" applyBorder="1"/>
    <xf numFmtId="43" fontId="0" fillId="0" borderId="2" xfId="2" applyFont="1" applyBorder="1"/>
    <xf numFmtId="10" fontId="0" fillId="0" borderId="2" xfId="1" applyNumberFormat="1" applyFont="1" applyBorder="1"/>
    <xf numFmtId="166" fontId="2" fillId="0" borderId="2" xfId="0" applyNumberFormat="1" applyFont="1" applyBorder="1"/>
    <xf numFmtId="166" fontId="0" fillId="0" borderId="2" xfId="0" applyNumberFormat="1" applyBorder="1"/>
    <xf numFmtId="2" fontId="1" fillId="0" borderId="2" xfId="1" applyNumberFormat="1" applyFont="1" applyFill="1" applyBorder="1"/>
    <xf numFmtId="2" fontId="0" fillId="0" borderId="2" xfId="0" applyNumberFormat="1" applyBorder="1"/>
    <xf numFmtId="1" fontId="1" fillId="0" borderId="2" xfId="1" applyNumberFormat="1" applyFont="1" applyFill="1" applyBorder="1"/>
    <xf numFmtId="0" fontId="6" fillId="0" borderId="2" xfId="0" applyFont="1" applyBorder="1"/>
    <xf numFmtId="10" fontId="6" fillId="0" borderId="2" xfId="1" applyNumberFormat="1" applyFont="1" applyFill="1" applyBorder="1"/>
    <xf numFmtId="1" fontId="2" fillId="0" borderId="2" xfId="0" applyNumberFormat="1" applyFont="1" applyBorder="1"/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6" fontId="5" fillId="0" borderId="2" xfId="0" applyNumberFormat="1" applyFont="1" applyBorder="1"/>
    <xf numFmtId="166" fontId="5" fillId="0" borderId="1" xfId="0" applyNumberFormat="1" applyFont="1" applyBorder="1"/>
    <xf numFmtId="166" fontId="5" fillId="0" borderId="2" xfId="0" applyNumberFormat="1" applyFont="1" applyBorder="1" applyAlignment="1">
      <alignment horizontal="right"/>
    </xf>
    <xf numFmtId="43" fontId="5" fillId="0" borderId="0" xfId="2" applyFont="1" applyFill="1" applyBorder="1"/>
    <xf numFmtId="165" fontId="0" fillId="0" borderId="0" xfId="2" applyNumberFormat="1" applyFont="1" applyFill="1" applyBorder="1"/>
    <xf numFmtId="165" fontId="2" fillId="0" borderId="0" xfId="2" applyNumberFormat="1" applyFont="1" applyFill="1" applyBorder="1"/>
    <xf numFmtId="0" fontId="5" fillId="0" borderId="0" xfId="0" applyFont="1"/>
    <xf numFmtId="4" fontId="2" fillId="0" borderId="0" xfId="0" applyNumberFormat="1" applyFont="1"/>
    <xf numFmtId="4" fontId="0" fillId="0" borderId="2" xfId="0" applyNumberFormat="1" applyBorder="1"/>
    <xf numFmtId="4" fontId="0" fillId="0" borderId="0" xfId="0" applyNumberFormat="1"/>
    <xf numFmtId="164" fontId="0" fillId="0" borderId="2" xfId="0" applyNumberFormat="1" applyBorder="1"/>
    <xf numFmtId="2" fontId="0" fillId="0" borderId="0" xfId="0" applyNumberFormat="1"/>
    <xf numFmtId="2" fontId="0" fillId="0" borderId="2" xfId="0" applyNumberFormat="1" applyBorder="1" applyAlignment="1">
      <alignment horizontal="right"/>
    </xf>
    <xf numFmtId="0" fontId="7" fillId="2" borderId="2" xfId="0" applyFont="1" applyFill="1" applyBorder="1"/>
    <xf numFmtId="0" fontId="0" fillId="2" borderId="2" xfId="0" applyFill="1" applyBorder="1"/>
    <xf numFmtId="0" fontId="0" fillId="0" borderId="2" xfId="0" applyBorder="1" applyAlignment="1">
      <alignment wrapText="1"/>
    </xf>
    <xf numFmtId="43" fontId="0" fillId="0" borderId="0" xfId="0" applyNumberFormat="1"/>
    <xf numFmtId="3" fontId="8" fillId="0" borderId="2" xfId="0" applyNumberFormat="1" applyFont="1" applyBorder="1"/>
    <xf numFmtId="0" fontId="8" fillId="0" borderId="2" xfId="0" applyFont="1" applyBorder="1"/>
    <xf numFmtId="1" fontId="0" fillId="0" borderId="2" xfId="0" applyNumberFormat="1" applyBorder="1"/>
    <xf numFmtId="0" fontId="0" fillId="0" borderId="4" xfId="0" applyBorder="1"/>
    <xf numFmtId="9" fontId="0" fillId="2" borderId="2" xfId="0" applyNumberFormat="1" applyFill="1" applyBorder="1"/>
    <xf numFmtId="9" fontId="3" fillId="2" borderId="2" xfId="1" applyFont="1" applyFill="1" applyBorder="1"/>
    <xf numFmtId="10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43" fontId="5" fillId="0" borderId="2" xfId="0" applyNumberFormat="1" applyFont="1" applyBorder="1" applyAlignment="1">
      <alignment horizontal="center"/>
    </xf>
    <xf numFmtId="4" fontId="8" fillId="0" borderId="2" xfId="0" applyNumberFormat="1" applyFont="1" applyBorder="1"/>
    <xf numFmtId="0" fontId="8" fillId="6" borderId="0" xfId="0" applyFont="1" applyFill="1" applyAlignment="1">
      <alignment horizontal="right" vertical="center" wrapText="1" indent="1"/>
    </xf>
    <xf numFmtId="0" fontId="10" fillId="0" borderId="0" xfId="0" applyFont="1"/>
    <xf numFmtId="0" fontId="9" fillId="3" borderId="2" xfId="0" applyFont="1" applyFill="1" applyBorder="1"/>
    <xf numFmtId="0" fontId="10" fillId="3" borderId="0" xfId="0" applyFont="1" applyFill="1"/>
    <xf numFmtId="0" fontId="9" fillId="3" borderId="2" xfId="0" applyFont="1" applyFill="1" applyBorder="1" applyAlignment="1">
      <alignment horizontal="right"/>
    </xf>
    <xf numFmtId="0" fontId="10" fillId="0" borderId="2" xfId="0" applyFont="1" applyBorder="1"/>
    <xf numFmtId="4" fontId="10" fillId="5" borderId="2" xfId="0" applyNumberFormat="1" applyFont="1" applyFill="1" applyBorder="1"/>
    <xf numFmtId="3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right"/>
    </xf>
    <xf numFmtId="0" fontId="10" fillId="5" borderId="2" xfId="0" applyFont="1" applyFill="1" applyBorder="1"/>
    <xf numFmtId="167" fontId="10" fillId="5" borderId="2" xfId="0" applyNumberFormat="1" applyFont="1" applyFill="1" applyBorder="1"/>
    <xf numFmtId="164" fontId="10" fillId="5" borderId="2" xfId="0" applyNumberFormat="1" applyFont="1" applyFill="1" applyBorder="1"/>
    <xf numFmtId="10" fontId="10" fillId="5" borderId="2" xfId="0" applyNumberFormat="1" applyFont="1" applyFill="1" applyBorder="1"/>
    <xf numFmtId="10" fontId="11" fillId="5" borderId="2" xfId="1" applyNumberFormat="1" applyFont="1" applyFill="1" applyBorder="1"/>
    <xf numFmtId="43" fontId="10" fillId="5" borderId="2" xfId="0" applyNumberFormat="1" applyFont="1" applyFill="1" applyBorder="1"/>
    <xf numFmtId="10" fontId="10" fillId="5" borderId="2" xfId="1" applyNumberFormat="1" applyFont="1" applyFill="1" applyBorder="1"/>
    <xf numFmtId="10" fontId="10" fillId="0" borderId="2" xfId="1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5" borderId="2" xfId="1" applyNumberFormat="1" applyFont="1" applyFill="1" applyBorder="1"/>
    <xf numFmtId="2" fontId="10" fillId="5" borderId="2" xfId="0" applyNumberFormat="1" applyFont="1" applyFill="1" applyBorder="1"/>
    <xf numFmtId="0" fontId="10" fillId="0" borderId="2" xfId="0" applyFont="1" applyBorder="1" applyAlignment="1">
      <alignment horizontal="left"/>
    </xf>
    <xf numFmtId="4" fontId="10" fillId="0" borderId="0" xfId="0" applyNumberFormat="1" applyFont="1"/>
    <xf numFmtId="164" fontId="10" fillId="0" borderId="2" xfId="0" applyNumberFormat="1" applyFont="1" applyBorder="1"/>
    <xf numFmtId="2" fontId="10" fillId="0" borderId="2" xfId="0" applyNumberFormat="1" applyFont="1" applyBorder="1"/>
    <xf numFmtId="0" fontId="10" fillId="3" borderId="2" xfId="0" applyFont="1" applyFill="1" applyBorder="1"/>
    <xf numFmtId="168" fontId="10" fillId="5" borderId="2" xfId="0" applyNumberFormat="1" applyFont="1" applyFill="1" applyBorder="1"/>
    <xf numFmtId="0" fontId="9" fillId="0" borderId="2" xfId="0" applyFont="1" applyBorder="1"/>
    <xf numFmtId="165" fontId="10" fillId="5" borderId="2" xfId="2" applyNumberFormat="1" applyFont="1" applyFill="1" applyBorder="1"/>
    <xf numFmtId="1" fontId="10" fillId="5" borderId="2" xfId="0" applyNumberFormat="1" applyFont="1" applyFill="1" applyBorder="1"/>
    <xf numFmtId="2" fontId="10" fillId="5" borderId="1" xfId="0" applyNumberFormat="1" applyFont="1" applyFill="1" applyBorder="1"/>
    <xf numFmtId="10" fontId="10" fillId="5" borderId="2" xfId="0" applyNumberFormat="1" applyFont="1" applyFill="1" applyBorder="1" applyAlignment="1">
      <alignment horizontal="right"/>
    </xf>
    <xf numFmtId="0" fontId="12" fillId="0" borderId="2" xfId="0" applyFont="1" applyBorder="1"/>
    <xf numFmtId="43" fontId="5" fillId="0" borderId="4" xfId="0" applyNumberFormat="1" applyFont="1" applyBorder="1"/>
    <xf numFmtId="43" fontId="0" fillId="0" borderId="4" xfId="0" applyNumberFormat="1" applyBorder="1"/>
    <xf numFmtId="10" fontId="10" fillId="0" borderId="2" xfId="0" applyNumberFormat="1" applyFont="1" applyBorder="1"/>
    <xf numFmtId="43" fontId="10" fillId="0" borderId="2" xfId="0" applyNumberFormat="1" applyFont="1" applyBorder="1"/>
    <xf numFmtId="10" fontId="10" fillId="0" borderId="2" xfId="1" applyNumberFormat="1" applyFont="1" applyFill="1" applyBorder="1"/>
    <xf numFmtId="10" fontId="11" fillId="0" borderId="2" xfId="1" applyNumberFormat="1" applyFont="1" applyFill="1" applyBorder="1"/>
    <xf numFmtId="4" fontId="10" fillId="0" borderId="2" xfId="0" applyNumberFormat="1" applyFont="1" applyBorder="1"/>
    <xf numFmtId="43" fontId="10" fillId="0" borderId="2" xfId="2" applyFont="1" applyFill="1" applyBorder="1"/>
    <xf numFmtId="2" fontId="10" fillId="0" borderId="1" xfId="0" applyNumberFormat="1" applyFont="1" applyBorder="1"/>
    <xf numFmtId="43" fontId="10" fillId="0" borderId="2" xfId="2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43" fontId="10" fillId="0" borderId="0" xfId="2" applyFont="1"/>
    <xf numFmtId="165" fontId="10" fillId="0" borderId="2" xfId="2" applyNumberFormat="1" applyFont="1" applyFill="1" applyBorder="1"/>
    <xf numFmtId="0" fontId="9" fillId="0" borderId="2" xfId="0" applyFont="1" applyBorder="1" applyAlignment="1">
      <alignment horizontal="right"/>
    </xf>
    <xf numFmtId="1" fontId="10" fillId="0" borderId="2" xfId="0" applyNumberFormat="1" applyFont="1" applyBorder="1" applyAlignment="1">
      <alignment horizontal="right"/>
    </xf>
    <xf numFmtId="0" fontId="8" fillId="0" borderId="0" xfId="0" applyFont="1"/>
    <xf numFmtId="2" fontId="10" fillId="0" borderId="2" xfId="0" applyNumberFormat="1" applyFont="1" applyBorder="1" applyAlignment="1">
      <alignment horizontal="right"/>
    </xf>
    <xf numFmtId="10" fontId="10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164" fontId="11" fillId="0" borderId="2" xfId="0" applyNumberFormat="1" applyFont="1" applyBorder="1"/>
    <xf numFmtId="2" fontId="11" fillId="0" borderId="2" xfId="0" applyNumberFormat="1" applyFont="1" applyBorder="1"/>
    <xf numFmtId="0" fontId="11" fillId="0" borderId="2" xfId="0" applyFont="1" applyBorder="1"/>
    <xf numFmtId="43" fontId="11" fillId="0" borderId="2" xfId="0" applyNumberFormat="1" applyFont="1" applyBorder="1"/>
    <xf numFmtId="0" fontId="11" fillId="0" borderId="0" xfId="0" applyFont="1"/>
    <xf numFmtId="170" fontId="2" fillId="2" borderId="2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4" borderId="5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3" borderId="6" xfId="0" applyFont="1" applyFill="1" applyBorder="1"/>
    <xf numFmtId="0" fontId="9" fillId="3" borderId="7" xfId="0" applyFont="1" applyFill="1" applyBorder="1"/>
    <xf numFmtId="0" fontId="9" fillId="3" borderId="8" xfId="0" applyFont="1" applyFill="1" applyBorder="1"/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3" fontId="2" fillId="0" borderId="2" xfId="0" applyNumberFormat="1" applyFont="1" applyFill="1" applyBorder="1"/>
    <xf numFmtId="43" fontId="0" fillId="0" borderId="2" xfId="0" applyNumberFormat="1" applyFill="1" applyBorder="1"/>
    <xf numFmtId="0" fontId="0" fillId="0" borderId="2" xfId="0" applyFill="1" applyBorder="1"/>
    <xf numFmtId="2" fontId="2" fillId="0" borderId="2" xfId="1" applyNumberFormat="1" applyFont="1" applyFill="1" applyBorder="1"/>
    <xf numFmtId="2" fontId="0" fillId="0" borderId="2" xfId="0" applyNumberFormat="1" applyFill="1" applyBorder="1"/>
    <xf numFmtId="3" fontId="8" fillId="0" borderId="2" xfId="0" applyNumberFormat="1" applyFont="1" applyFill="1" applyBorder="1"/>
    <xf numFmtId="0" fontId="12" fillId="0" borderId="2" xfId="0" applyFont="1" applyFill="1" applyBorder="1"/>
    <xf numFmtId="2" fontId="5" fillId="0" borderId="2" xfId="0" applyNumberFormat="1" applyFont="1" applyFill="1" applyBorder="1"/>
    <xf numFmtId="43" fontId="5" fillId="0" borderId="2" xfId="0" applyNumberFormat="1" applyFont="1" applyFill="1" applyBorder="1"/>
    <xf numFmtId="2" fontId="0" fillId="0" borderId="2" xfId="0" applyNumberFormat="1" applyFill="1" applyBorder="1" applyAlignment="1">
      <alignment horizontal="right"/>
    </xf>
    <xf numFmtId="0" fontId="0" fillId="0" borderId="0" xfId="0" applyFill="1"/>
    <xf numFmtId="43" fontId="0" fillId="0" borderId="3" xfId="0" applyNumberFormat="1" applyFill="1" applyBorder="1"/>
    <xf numFmtId="0" fontId="0" fillId="2" borderId="0" xfId="0" applyFill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74"/>
  <sheetViews>
    <sheetView tabSelected="1" topLeftCell="A43" zoomScale="55" zoomScaleNormal="55" zoomScaleSheetLayoutView="95" workbookViewId="0">
      <selection activeCell="I29" sqref="I29"/>
    </sheetView>
  </sheetViews>
  <sheetFormatPr defaultColWidth="9.36328125" defaultRowHeight="14.5" x14ac:dyDescent="0.35"/>
  <cols>
    <col min="1" max="1" width="48.453125" customWidth="1"/>
    <col min="2" max="2" width="11.453125" bestFit="1" customWidth="1"/>
    <col min="3" max="3" width="11.54296875" customWidth="1"/>
    <col min="4" max="4" width="11.54296875" bestFit="1" customWidth="1"/>
    <col min="5" max="6" width="11.54296875" customWidth="1"/>
    <col min="7" max="9" width="12.54296875" customWidth="1"/>
    <col min="11" max="11" width="39.36328125" customWidth="1"/>
    <col min="12" max="12" width="11.54296875" hidden="1" customWidth="1"/>
    <col min="13" max="13" width="9.08984375" bestFit="1" customWidth="1"/>
    <col min="14" max="14" width="10.6328125" customWidth="1"/>
    <col min="15" max="17" width="10.6328125" bestFit="1" customWidth="1"/>
    <col min="18" max="18" width="11.1796875" bestFit="1" customWidth="1"/>
    <col min="19" max="19" width="11.08984375" customWidth="1"/>
    <col min="20" max="20" width="12.1796875" bestFit="1" customWidth="1"/>
  </cols>
  <sheetData>
    <row r="2" spans="1:20" x14ac:dyDescent="0.35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K2" s="134" t="s">
        <v>32</v>
      </c>
      <c r="L2" s="135"/>
      <c r="M2" s="135"/>
      <c r="N2" s="135"/>
      <c r="O2" s="135"/>
      <c r="P2" s="135"/>
      <c r="Q2" s="135"/>
      <c r="R2" s="135"/>
      <c r="S2" s="135"/>
      <c r="T2" s="135"/>
    </row>
    <row r="3" spans="1:20" x14ac:dyDescent="0.3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112</v>
      </c>
      <c r="H3" s="2" t="s">
        <v>182</v>
      </c>
      <c r="I3" s="2" t="s">
        <v>191</v>
      </c>
      <c r="K3" s="1" t="s">
        <v>1</v>
      </c>
      <c r="L3" s="2" t="s">
        <v>109</v>
      </c>
      <c r="M3" s="2" t="s">
        <v>2</v>
      </c>
      <c r="N3" s="29" t="s">
        <v>3</v>
      </c>
      <c r="O3" s="29" t="s">
        <v>4</v>
      </c>
      <c r="P3" s="29" t="s">
        <v>5</v>
      </c>
      <c r="Q3" s="29" t="s">
        <v>6</v>
      </c>
      <c r="R3" s="29" t="s">
        <v>112</v>
      </c>
      <c r="S3" s="29" t="s">
        <v>182</v>
      </c>
      <c r="T3" s="2" t="s">
        <v>192</v>
      </c>
    </row>
    <row r="4" spans="1:20" x14ac:dyDescent="0.35">
      <c r="A4" s="1" t="s">
        <v>9</v>
      </c>
      <c r="B4" s="13">
        <f>11577066995/1000000</f>
        <v>11577.066994999999</v>
      </c>
      <c r="C4" s="13">
        <f>164984.86/10</f>
        <v>16498.485999999997</v>
      </c>
      <c r="D4" s="13">
        <f>221198.31/10</f>
        <v>22119.830999999998</v>
      </c>
      <c r="E4" s="13">
        <f>219894.94/10</f>
        <v>21989.493999999999</v>
      </c>
      <c r="F4" s="13">
        <f>169961.52/10</f>
        <v>16996.151999999998</v>
      </c>
      <c r="G4" s="53">
        <f>255915.72/10</f>
        <v>25591.572</v>
      </c>
      <c r="H4" s="13">
        <f>207001.4/10</f>
        <v>20700.14</v>
      </c>
      <c r="I4" s="146">
        <f>181408.9/10</f>
        <v>18140.89</v>
      </c>
      <c r="K4" s="7" t="s">
        <v>33</v>
      </c>
      <c r="L4" s="7"/>
      <c r="M4" s="14">
        <f t="shared" ref="M4:S4" si="0">2005.2/10</f>
        <v>200.52</v>
      </c>
      <c r="N4" s="14">
        <f t="shared" si="0"/>
        <v>200.52</v>
      </c>
      <c r="O4" s="14">
        <f t="shared" si="0"/>
        <v>200.52</v>
      </c>
      <c r="P4" s="54">
        <f t="shared" si="0"/>
        <v>200.52</v>
      </c>
      <c r="Q4" s="14">
        <f t="shared" si="0"/>
        <v>200.52</v>
      </c>
      <c r="R4" s="14">
        <f t="shared" si="0"/>
        <v>200.52</v>
      </c>
      <c r="S4" s="14">
        <f t="shared" si="0"/>
        <v>200.52</v>
      </c>
      <c r="T4" s="157">
        <f>2005.2/10</f>
        <v>200.52</v>
      </c>
    </row>
    <row r="5" spans="1:20" x14ac:dyDescent="0.35">
      <c r="A5" s="3" t="s">
        <v>10</v>
      </c>
      <c r="B5" s="4"/>
      <c r="C5" s="4">
        <f>C4/B4-1</f>
        <v>0.42510067594197243</v>
      </c>
      <c r="D5" s="4">
        <f t="shared" ref="D5:G5" si="1">D4/C4-1</f>
        <v>0.34071883929228419</v>
      </c>
      <c r="E5" s="4">
        <f t="shared" si="1"/>
        <v>-5.8923144575562247E-3</v>
      </c>
      <c r="F5" s="4">
        <f t="shared" si="1"/>
        <v>-0.2270785312295045</v>
      </c>
      <c r="G5" s="4">
        <f t="shared" si="1"/>
        <v>0.50572741406407773</v>
      </c>
      <c r="H5" s="4">
        <f>H4/G4-1</f>
        <v>-0.19113448755707541</v>
      </c>
      <c r="I5" s="4">
        <f>I4/H4-1</f>
        <v>-0.12363442952559744</v>
      </c>
      <c r="K5" s="7" t="s">
        <v>34</v>
      </c>
      <c r="L5" s="7"/>
      <c r="M5" s="19">
        <f>2513855956/1000000</f>
        <v>2513.8559559999999</v>
      </c>
      <c r="N5" s="54">
        <f>30036.44/10</f>
        <v>3003.6439999999998</v>
      </c>
      <c r="O5" s="55">
        <f>32960.73/10</f>
        <v>3296.0730000000003</v>
      </c>
      <c r="P5" s="19">
        <f>35618.12/10</f>
        <v>3561.8120000000004</v>
      </c>
      <c r="Q5" s="19">
        <f>40038.94/10</f>
        <v>4003.8940000000002</v>
      </c>
      <c r="R5" s="7">
        <f>51563.05/10</f>
        <v>5156.3050000000003</v>
      </c>
      <c r="S5" s="39">
        <f>62992.59/10</f>
        <v>6299.259</v>
      </c>
      <c r="T5" s="150">
        <f>69902.05/10</f>
        <v>6990.2049999999999</v>
      </c>
    </row>
    <row r="6" spans="1:20" x14ac:dyDescent="0.35">
      <c r="A6" s="3" t="s">
        <v>11</v>
      </c>
      <c r="B6" s="5"/>
      <c r="C6" s="68">
        <v>0.17</v>
      </c>
      <c r="D6" s="4"/>
      <c r="E6" s="4">
        <f>(E4/B4)^(1/3)-1</f>
        <v>0.23843218402787603</v>
      </c>
      <c r="F6" s="4">
        <f>(F4/C4)^(1/3)-1</f>
        <v>9.9553434376540295E-3</v>
      </c>
      <c r="G6" s="4">
        <f>(G4/D4)^(1/3)-1</f>
        <v>4.9796337094150767E-2</v>
      </c>
      <c r="H6" s="4">
        <f>(H4/E4)^(1/3)-1</f>
        <v>-1.9939959557349729E-2</v>
      </c>
      <c r="I6" s="4">
        <f>(I4/F4)^(1/3)-1</f>
        <v>2.196493424521262E-2</v>
      </c>
      <c r="K6" s="6" t="s">
        <v>35</v>
      </c>
      <c r="L6" s="6"/>
      <c r="M6" s="15">
        <f t="shared" ref="M6" si="2">M4+M5</f>
        <v>2714.3759559999999</v>
      </c>
      <c r="N6" s="15">
        <f>N4+N5+N7</f>
        <v>3260.183</v>
      </c>
      <c r="O6" s="15">
        <f t="shared" ref="O6:Q6" si="3">O4+O5+O7</f>
        <v>3504.3370000000004</v>
      </c>
      <c r="P6" s="15">
        <f t="shared" si="3"/>
        <v>3762.3320000000003</v>
      </c>
      <c r="Q6" s="15">
        <f t="shared" si="3"/>
        <v>4204.4140000000007</v>
      </c>
      <c r="R6" s="131">
        <f>R4+R5+R7</f>
        <v>5356.8250000000007</v>
      </c>
      <c r="S6" s="15">
        <f>S4+S5+S7</f>
        <v>6499.7870000000003</v>
      </c>
      <c r="T6" s="131">
        <f t="shared" ref="T6" si="4">T4+T5+T7</f>
        <v>7190.7310000000007</v>
      </c>
    </row>
    <row r="7" spans="1:20" x14ac:dyDescent="0.35">
      <c r="A7" s="6" t="s">
        <v>193</v>
      </c>
      <c r="B7" s="15">
        <f t="shared" ref="B7:G7" si="5">SUM(B8:B13)</f>
        <v>10199.092228</v>
      </c>
      <c r="C7" s="15">
        <f t="shared" si="5"/>
        <v>14655.135000000002</v>
      </c>
      <c r="D7" s="15">
        <f t="shared" si="5"/>
        <v>20126.955999999998</v>
      </c>
      <c r="E7" s="15">
        <f t="shared" si="5"/>
        <v>20599.116000000002</v>
      </c>
      <c r="F7" s="15">
        <f t="shared" si="5"/>
        <v>15832.756999999998</v>
      </c>
      <c r="G7" s="15">
        <f t="shared" si="5"/>
        <v>23428.447</v>
      </c>
      <c r="H7" s="15">
        <f>SUM(H8:H13)</f>
        <v>18317.18</v>
      </c>
      <c r="I7" s="15">
        <f>SUM(I8:I13)</f>
        <v>16308.364999999998</v>
      </c>
      <c r="K7" s="7" t="s">
        <v>36</v>
      </c>
      <c r="L7" s="7"/>
      <c r="M7" s="14"/>
      <c r="N7" s="14">
        <f>560.19/10</f>
        <v>56.019000000000005</v>
      </c>
      <c r="O7" s="14">
        <f xml:space="preserve"> 77.44/10</f>
        <v>7.7439999999999998</v>
      </c>
      <c r="P7" s="14">
        <v>0</v>
      </c>
      <c r="Q7" s="14">
        <v>0</v>
      </c>
      <c r="R7" s="14">
        <v>0</v>
      </c>
      <c r="S7" s="14">
        <f>0.08/10</f>
        <v>8.0000000000000002E-3</v>
      </c>
      <c r="T7" s="14">
        <v>6.0000000000000001E-3</v>
      </c>
    </row>
    <row r="8" spans="1:20" x14ac:dyDescent="0.35">
      <c r="A8" s="7" t="s">
        <v>13</v>
      </c>
      <c r="B8" s="14">
        <f>7066924031/1000000</f>
        <v>7066.9240309999996</v>
      </c>
      <c r="C8" s="14">
        <f>106346.64/10</f>
        <v>10634.664000000001</v>
      </c>
      <c r="D8" s="14">
        <f>141266.12/10</f>
        <v>14126.611999999999</v>
      </c>
      <c r="E8" s="14">
        <f>147463.67/10</f>
        <v>14746.367000000002</v>
      </c>
      <c r="F8" s="14">
        <f>114650.4/10</f>
        <v>11465.039999999999</v>
      </c>
      <c r="G8" s="14">
        <f>171937.08/10</f>
        <v>17193.707999999999</v>
      </c>
      <c r="H8" s="14">
        <f>139025.35/10</f>
        <v>13902.535</v>
      </c>
      <c r="I8" s="147">
        <f>123613.9/10</f>
        <v>12361.39</v>
      </c>
      <c r="K8" s="7" t="s">
        <v>37</v>
      </c>
      <c r="L8" s="7"/>
      <c r="M8" s="55">
        <f>2061309449/1000000</f>
        <v>2061.3094489999999</v>
      </c>
      <c r="N8" s="19">
        <f>28751.46/10</f>
        <v>2875.1459999999997</v>
      </c>
      <c r="O8" s="19">
        <f>35090.37/10</f>
        <v>3509.0370000000003</v>
      </c>
      <c r="P8" s="54">
        <f>15083.91/10</f>
        <v>1508.3910000000001</v>
      </c>
      <c r="Q8" s="54">
        <f>11184.11/10</f>
        <v>1118.4110000000001</v>
      </c>
      <c r="R8" s="54">
        <f>10729.09/10</f>
        <v>1072.9090000000001</v>
      </c>
      <c r="S8" s="54">
        <f>27831.51/10</f>
        <v>2783.1509999999998</v>
      </c>
      <c r="T8" s="148">
        <f>20725.63/10</f>
        <v>2072.5630000000001</v>
      </c>
    </row>
    <row r="9" spans="1:20" x14ac:dyDescent="0.35">
      <c r="A9" s="7" t="s">
        <v>30</v>
      </c>
      <c r="B9" s="14">
        <f>168943353/1000000</f>
        <v>168.943353</v>
      </c>
      <c r="C9" s="14">
        <f>532.81/10</f>
        <v>53.280999999999992</v>
      </c>
      <c r="D9" s="14">
        <f>12553.78/10</f>
        <v>1255.3780000000002</v>
      </c>
      <c r="E9" s="14">
        <f>22959.42/10</f>
        <v>2295.942</v>
      </c>
      <c r="F9" s="14">
        <f>12279.33/10</f>
        <v>1227.933</v>
      </c>
      <c r="G9" s="14">
        <f>12122.01/10</f>
        <v>1212.201</v>
      </c>
      <c r="H9" s="14">
        <f>12815.64/10</f>
        <v>1281.5639999999999</v>
      </c>
      <c r="I9" s="147">
        <v>943.97500000000002</v>
      </c>
      <c r="K9" s="7" t="s">
        <v>38</v>
      </c>
      <c r="L9" s="7"/>
      <c r="M9" s="20">
        <f>1366110077/1000000</f>
        <v>1366.110077</v>
      </c>
      <c r="N9" s="19">
        <f>23003.29/10</f>
        <v>2300.3290000000002</v>
      </c>
      <c r="O9" s="20">
        <f>22321.63/10</f>
        <v>2232.163</v>
      </c>
      <c r="P9" s="19">
        <f>34969.23/10</f>
        <v>3496.9230000000002</v>
      </c>
      <c r="Q9" s="19">
        <f>33180.6/10</f>
        <v>3318.06</v>
      </c>
      <c r="R9" s="54">
        <f>49131.36/10</f>
        <v>4913.1360000000004</v>
      </c>
      <c r="S9" s="54">
        <f>55905.71/10</f>
        <v>5590.5709999999999</v>
      </c>
      <c r="T9" s="148">
        <f>67582.67/10</f>
        <v>6758.2669999999998</v>
      </c>
    </row>
    <row r="10" spans="1:20" x14ac:dyDescent="0.35">
      <c r="A10" s="7" t="s">
        <v>31</v>
      </c>
      <c r="E10" s="14"/>
      <c r="F10" s="14"/>
      <c r="G10" s="14"/>
      <c r="H10" s="14"/>
      <c r="I10" s="147"/>
      <c r="K10" s="6" t="s">
        <v>39</v>
      </c>
      <c r="L10" s="6"/>
      <c r="M10" s="15">
        <f t="shared" ref="M10:R10" si="6">M8+M9</f>
        <v>3427.4195259999997</v>
      </c>
      <c r="N10" s="15">
        <f>N8+N9</f>
        <v>5175.4750000000004</v>
      </c>
      <c r="O10" s="15">
        <f t="shared" si="6"/>
        <v>5741.2000000000007</v>
      </c>
      <c r="P10" s="15">
        <f t="shared" si="6"/>
        <v>5005.3140000000003</v>
      </c>
      <c r="Q10" s="15">
        <f t="shared" si="6"/>
        <v>4436.4709999999995</v>
      </c>
      <c r="R10" s="15">
        <f t="shared" si="6"/>
        <v>5986.0450000000001</v>
      </c>
      <c r="S10" s="15">
        <f>S8+S9</f>
        <v>8373.7219999999998</v>
      </c>
      <c r="T10" s="15">
        <f>T8+T9</f>
        <v>8830.83</v>
      </c>
    </row>
    <row r="11" spans="1:20" x14ac:dyDescent="0.35">
      <c r="A11" s="56" t="s">
        <v>14</v>
      </c>
      <c r="B11" s="14">
        <f>-17778459/1000000</f>
        <v>-17.778459000000002</v>
      </c>
      <c r="C11" s="14">
        <f>-10939.62/10</f>
        <v>-1093.962</v>
      </c>
      <c r="D11" s="14">
        <f>1321.54/10</f>
        <v>132.154</v>
      </c>
      <c r="E11" s="14">
        <f>2978.44/10</f>
        <v>297.84399999999999</v>
      </c>
      <c r="F11" s="14">
        <f>-2158.07/10</f>
        <v>-215.80700000000002</v>
      </c>
      <c r="G11" s="14">
        <f>2910.39/10</f>
        <v>291.03899999999999</v>
      </c>
      <c r="H11" s="14">
        <f>-8007.48/10</f>
        <v>-800.74799999999993</v>
      </c>
      <c r="I11" s="147">
        <f>-1254.13/10</f>
        <v>-125.41300000000001</v>
      </c>
      <c r="K11" s="6" t="s">
        <v>40</v>
      </c>
      <c r="L11" s="6"/>
      <c r="M11" s="15">
        <f>M49-M36-M9</f>
        <v>5052.7849749999996</v>
      </c>
      <c r="N11" s="15">
        <f>N49-N36-N9</f>
        <v>6312.405999999999</v>
      </c>
      <c r="O11" s="15">
        <f>O49-O36-O9</f>
        <v>7218.9089999999997</v>
      </c>
      <c r="P11" s="15">
        <f>P49-P36-P9</f>
        <v>5440.8569999999982</v>
      </c>
      <c r="Q11" s="15">
        <f>Q49-Q36-Q9</f>
        <v>5460.5640000000003</v>
      </c>
      <c r="R11" s="15">
        <f>R49-R36-R9</f>
        <v>6549.8220000000019</v>
      </c>
      <c r="S11" s="15">
        <f>S49-S36</f>
        <v>9385.5640999999996</v>
      </c>
      <c r="T11" s="15">
        <f>T49-T36</f>
        <v>9364.1099999999969</v>
      </c>
    </row>
    <row r="12" spans="1:20" x14ac:dyDescent="0.35">
      <c r="A12" s="7" t="s">
        <v>15</v>
      </c>
      <c r="B12" s="14">
        <f>94516287/1000000</f>
        <v>94.516287000000005</v>
      </c>
      <c r="C12" s="14">
        <f>1153.77/10</f>
        <v>115.377</v>
      </c>
      <c r="D12" s="14">
        <f>2944.8/10</f>
        <v>294.48</v>
      </c>
      <c r="E12">
        <f>1245.97/10</f>
        <v>124.59700000000001</v>
      </c>
      <c r="F12" s="14">
        <f>1233.62/10</f>
        <v>123.36199999999999</v>
      </c>
      <c r="G12" s="14">
        <f>1522.94/10</f>
        <v>152.29400000000001</v>
      </c>
      <c r="H12" s="14">
        <f>4986.01/10</f>
        <v>498.601</v>
      </c>
      <c r="I12" s="147">
        <f>5431.69/10</f>
        <v>543.16899999999998</v>
      </c>
      <c r="K12" s="7"/>
      <c r="L12" s="7"/>
      <c r="M12" s="14"/>
      <c r="N12" s="14"/>
      <c r="O12" s="14"/>
      <c r="P12" s="14"/>
      <c r="Q12" s="14"/>
      <c r="R12" s="7"/>
      <c r="S12" s="7"/>
    </row>
    <row r="13" spans="1:20" x14ac:dyDescent="0.35">
      <c r="A13" s="7" t="s">
        <v>16</v>
      </c>
      <c r="B13" s="14">
        <f>2886487016/1000000</f>
        <v>2886.487016</v>
      </c>
      <c r="C13" s="14">
        <f>49457.75/10</f>
        <v>4945.7749999999996</v>
      </c>
      <c r="D13" s="14">
        <f>43183.32/10</f>
        <v>4318.3320000000003</v>
      </c>
      <c r="E13" s="14">
        <f>31343.66/10</f>
        <v>3134.366</v>
      </c>
      <c r="F13" s="14">
        <f>32322.29/10</f>
        <v>3232.2290000000003</v>
      </c>
      <c r="G13" s="14">
        <f>45792.05/10</f>
        <v>4579.2049999999999</v>
      </c>
      <c r="H13" s="14">
        <v>3435.2280000000001</v>
      </c>
      <c r="I13" s="147">
        <f>25852.44/10</f>
        <v>2585.2439999999997</v>
      </c>
      <c r="K13" s="6" t="s">
        <v>41</v>
      </c>
      <c r="L13" s="6"/>
      <c r="M13" s="15">
        <f>SUM(M14:M24)</f>
        <v>3325.3585640000001</v>
      </c>
      <c r="N13" s="15">
        <f t="shared" ref="N13:T13" si="7">SUM(N14:N24)</f>
        <v>4257.0559999999996</v>
      </c>
      <c r="O13" s="15">
        <f t="shared" si="7"/>
        <v>5746.6619999999994</v>
      </c>
      <c r="P13" s="15">
        <f t="shared" si="7"/>
        <v>3165.6789999999996</v>
      </c>
      <c r="Q13" s="15">
        <f t="shared" si="7"/>
        <v>2451.625</v>
      </c>
      <c r="R13" s="131">
        <f t="shared" si="7"/>
        <v>2247.1660000000006</v>
      </c>
      <c r="S13" s="15">
        <f t="shared" si="7"/>
        <v>4036.9251000000004</v>
      </c>
      <c r="T13" s="131">
        <f t="shared" si="7"/>
        <v>4044.7489999999989</v>
      </c>
    </row>
    <row r="14" spans="1:20" x14ac:dyDescent="0.35">
      <c r="A14" s="6" t="s">
        <v>17</v>
      </c>
      <c r="B14" s="15">
        <f t="shared" ref="B14:G14" si="8">B4-B7</f>
        <v>1377.9747669999997</v>
      </c>
      <c r="C14" s="15">
        <f t="shared" si="8"/>
        <v>1843.3509999999951</v>
      </c>
      <c r="D14" s="15">
        <f t="shared" si="8"/>
        <v>1992.875</v>
      </c>
      <c r="E14" s="15">
        <f t="shared" si="8"/>
        <v>1390.377999999997</v>
      </c>
      <c r="F14" s="15">
        <f t="shared" si="8"/>
        <v>1163.3950000000004</v>
      </c>
      <c r="G14" s="15">
        <f t="shared" si="8"/>
        <v>2163.125</v>
      </c>
      <c r="H14" s="15">
        <f>H4-H7</f>
        <v>2382.9599999999991</v>
      </c>
      <c r="I14" s="15">
        <f>I4-I7</f>
        <v>1832.5250000000015</v>
      </c>
      <c r="J14" s="62"/>
      <c r="K14" s="7" t="s">
        <v>42</v>
      </c>
      <c r="L14" s="39">
        <f>3377936877/1000000</f>
        <v>3377.9368770000001</v>
      </c>
      <c r="M14" s="19">
        <f>2994324255/1000000</f>
        <v>2994.324255</v>
      </c>
      <c r="N14" s="19">
        <f>39497.27/10</f>
        <v>3949.7269999999999</v>
      </c>
      <c r="O14" s="19">
        <f>56598.61/10</f>
        <v>5659.8609999999999</v>
      </c>
      <c r="P14" s="19">
        <f>29507.28/10</f>
        <v>2950.7280000000001</v>
      </c>
      <c r="Q14" s="55">
        <f>22391.31/10</f>
        <v>2239.1310000000003</v>
      </c>
      <c r="R14" s="14">
        <f>20413.97/10</f>
        <v>2041.3970000000002</v>
      </c>
      <c r="S14" s="14">
        <f>36476.55/10</f>
        <v>3647.6550000000002</v>
      </c>
      <c r="T14" s="156">
        <f>35983.09/10</f>
        <v>3598.3089999999997</v>
      </c>
    </row>
    <row r="15" spans="1:20" x14ac:dyDescent="0.35">
      <c r="A15" s="3" t="s">
        <v>10</v>
      </c>
      <c r="B15" s="4"/>
      <c r="C15" s="4"/>
      <c r="D15" s="4">
        <f t="shared" ref="D15:G15" si="9">D14/C14-1</f>
        <v>8.1115316616317434E-2</v>
      </c>
      <c r="E15" s="4">
        <f t="shared" si="9"/>
        <v>-0.3023255347174324</v>
      </c>
      <c r="F15" s="4">
        <f t="shared" si="9"/>
        <v>-0.16325272695626447</v>
      </c>
      <c r="G15" s="4">
        <f t="shared" si="9"/>
        <v>0.85932121076676382</v>
      </c>
      <c r="H15" s="4">
        <f>H14/G14-1</f>
        <v>0.1016284310892801</v>
      </c>
      <c r="I15" s="4">
        <f>I14/H14-1</f>
        <v>-0.23098793097659964</v>
      </c>
      <c r="J15" s="62"/>
      <c r="K15" s="7" t="s">
        <v>128</v>
      </c>
      <c r="L15" s="7"/>
      <c r="M15" s="19">
        <v>0</v>
      </c>
      <c r="N15" s="19">
        <f>2.35/10</f>
        <v>0.23500000000000001</v>
      </c>
      <c r="O15" s="19">
        <f>152.75/10</f>
        <v>15.275</v>
      </c>
      <c r="P15" s="20">
        <f>57.87/10</f>
        <v>5.7869999999999999</v>
      </c>
      <c r="Q15" s="19">
        <f>57.87/10</f>
        <v>5.7869999999999999</v>
      </c>
      <c r="R15" s="14">
        <f>57.87 /10</f>
        <v>5.7869999999999999</v>
      </c>
      <c r="S15" s="14">
        <f>57.87 /10</f>
        <v>5.7869999999999999</v>
      </c>
      <c r="T15" s="147">
        <f>57.87 /10</f>
        <v>5.7869999999999999</v>
      </c>
    </row>
    <row r="16" spans="1:20" x14ac:dyDescent="0.35">
      <c r="A16" s="3" t="s">
        <v>11</v>
      </c>
      <c r="B16" s="4"/>
      <c r="C16" s="4"/>
      <c r="D16" s="4"/>
      <c r="E16" s="4">
        <f>(E14/B14)^(1/3)-1</f>
        <v>2.9913958269964791E-3</v>
      </c>
      <c r="F16" s="4">
        <f>(F14/C14)^(1/3)-1</f>
        <v>-0.14222565797877906</v>
      </c>
      <c r="G16" s="4">
        <f>(G14/D14)^(1/3)-1</f>
        <v>2.7701962468815289E-2</v>
      </c>
      <c r="H16" s="4">
        <f>(H14/E14)^(1/3)-1</f>
        <v>0.19672571097692004</v>
      </c>
      <c r="I16" s="8">
        <f>(I14/F14)^(1/3)-1</f>
        <v>0.16352103286976805</v>
      </c>
      <c r="K16" s="7" t="s">
        <v>183</v>
      </c>
      <c r="L16" s="7"/>
      <c r="M16" s="7"/>
      <c r="N16" s="7"/>
      <c r="O16" s="7"/>
      <c r="P16" s="7"/>
      <c r="Q16" s="7"/>
      <c r="R16" s="7"/>
      <c r="S16" s="7">
        <f>428.66/10</f>
        <v>42.866</v>
      </c>
      <c r="T16" s="148">
        <f>1327.98/10</f>
        <v>132.798</v>
      </c>
    </row>
    <row r="17" spans="1:20" x14ac:dyDescent="0.35">
      <c r="A17" s="6" t="s">
        <v>18</v>
      </c>
      <c r="B17" s="8">
        <f t="shared" ref="B17:F17" si="10">B14/B4</f>
        <v>0.1190262410673732</v>
      </c>
      <c r="C17" s="8">
        <f t="shared" si="10"/>
        <v>0.11172849436002767</v>
      </c>
      <c r="D17" s="8">
        <f t="shared" si="10"/>
        <v>9.0094494844919937E-2</v>
      </c>
      <c r="E17" s="8">
        <f t="shared" si="10"/>
        <v>6.3229194814578144E-2</v>
      </c>
      <c r="F17" s="8">
        <f t="shared" si="10"/>
        <v>6.8450493970635268E-2</v>
      </c>
      <c r="G17" s="8">
        <f t="shared" ref="G17:I17" si="11">G14/G4</f>
        <v>8.4524897493596721E-2</v>
      </c>
      <c r="H17" s="8">
        <f t="shared" si="11"/>
        <v>0.11511806200344535</v>
      </c>
      <c r="I17" s="8">
        <f>I14/I4</f>
        <v>0.10101626766933715</v>
      </c>
      <c r="K17" s="66" t="s">
        <v>44</v>
      </c>
      <c r="L17" s="66"/>
      <c r="M17" s="107">
        <f>249637909/1000000</f>
        <v>249.63790900000001</v>
      </c>
      <c r="N17" s="107">
        <f>2738.49/10</f>
        <v>273.84899999999999</v>
      </c>
      <c r="O17" s="107">
        <v>0</v>
      </c>
      <c r="P17" s="107">
        <v>0</v>
      </c>
      <c r="Q17" s="107">
        <f>643.08/10</f>
        <v>64.308000000000007</v>
      </c>
      <c r="R17" s="108">
        <v>0</v>
      </c>
      <c r="S17">
        <f>898.33/10</f>
        <v>89.832999999999998</v>
      </c>
      <c r="T17" s="148">
        <f>485.24/10</f>
        <v>48.524000000000001</v>
      </c>
    </row>
    <row r="18" spans="1:20" x14ac:dyDescent="0.35">
      <c r="A18" s="7" t="s">
        <v>19</v>
      </c>
      <c r="B18" s="14">
        <f>487585163/1000000</f>
        <v>487.58516300000002</v>
      </c>
      <c r="C18" s="14">
        <f>5311.85/10</f>
        <v>531.18500000000006</v>
      </c>
      <c r="D18" s="14">
        <f>8816.55/10</f>
        <v>881.65499999999997</v>
      </c>
      <c r="E18" s="14">
        <f>4549.37/10</f>
        <v>454.93700000000001</v>
      </c>
      <c r="F18" s="14">
        <f>2926.95/10</f>
        <v>292.69499999999999</v>
      </c>
      <c r="G18" s="14">
        <f>3038.38/10</f>
        <v>303.83800000000002</v>
      </c>
      <c r="H18" s="14">
        <f>3392.91/10</f>
        <v>339.291</v>
      </c>
      <c r="I18" s="147">
        <f>3351.85/10</f>
        <v>335.185</v>
      </c>
      <c r="K18" s="7" t="s">
        <v>130</v>
      </c>
      <c r="L18" s="7"/>
      <c r="M18" s="14">
        <f>421815/1000000</f>
        <v>0.421815</v>
      </c>
      <c r="N18" s="57">
        <f>4.22/10</f>
        <v>0.42199999999999999</v>
      </c>
      <c r="O18" s="14">
        <f>4.22/10</f>
        <v>0.42199999999999999</v>
      </c>
      <c r="P18" s="14">
        <v>0</v>
      </c>
      <c r="Q18" s="14">
        <v>0</v>
      </c>
      <c r="R18" s="14">
        <v>0</v>
      </c>
      <c r="S18" s="14">
        <v>0</v>
      </c>
      <c r="T18" s="148"/>
    </row>
    <row r="19" spans="1:20" x14ac:dyDescent="0.35">
      <c r="A19" s="7" t="s">
        <v>20</v>
      </c>
      <c r="B19" s="14">
        <f>358525366/1000000</f>
        <v>358.52536600000002</v>
      </c>
      <c r="C19" s="14">
        <f>5397.41/10</f>
        <v>539.74099999999999</v>
      </c>
      <c r="D19" s="14">
        <f>7373.95/10</f>
        <v>737.39499999999998</v>
      </c>
      <c r="E19" s="14">
        <f>6096.49/10</f>
        <v>609.649</v>
      </c>
      <c r="F19" s="14">
        <f>4933.2/10</f>
        <v>493.32</v>
      </c>
      <c r="G19" s="14">
        <f>4493.19/10</f>
        <v>449.31899999999996</v>
      </c>
      <c r="H19" s="14">
        <f>5180.22/10</f>
        <v>518.02200000000005</v>
      </c>
      <c r="I19" s="147">
        <f>4939.34/10</f>
        <v>493.93400000000003</v>
      </c>
      <c r="K19" s="7" t="s">
        <v>45</v>
      </c>
      <c r="L19" s="7"/>
      <c r="M19" s="14"/>
      <c r="N19" s="14"/>
      <c r="O19" s="14"/>
      <c r="P19" s="14"/>
      <c r="Q19" s="14"/>
      <c r="R19" s="14"/>
      <c r="S19" s="14"/>
      <c r="T19" s="148"/>
    </row>
    <row r="20" spans="1:20" x14ac:dyDescent="0.35">
      <c r="A20" s="7" t="s">
        <v>21</v>
      </c>
      <c r="B20" s="14">
        <f>275800686/1000000</f>
        <v>275.80068599999998</v>
      </c>
      <c r="C20" s="14">
        <f>808.9/10</f>
        <v>80.89</v>
      </c>
      <c r="D20" s="14">
        <f>662.98/10</f>
        <v>66.298000000000002</v>
      </c>
      <c r="E20" s="14">
        <f>662.8/10</f>
        <v>66.28</v>
      </c>
      <c r="F20" s="14">
        <f>2467.29/10</f>
        <v>246.72899999999998</v>
      </c>
      <c r="G20" s="14">
        <f xml:space="preserve"> 537.86 /10</f>
        <v>53.786000000000001</v>
      </c>
      <c r="H20" s="14">
        <f>148.48/10</f>
        <v>14.847999999999999</v>
      </c>
      <c r="I20" s="147">
        <f>216.46/10</f>
        <v>21.646000000000001</v>
      </c>
      <c r="K20" s="16" t="s">
        <v>129</v>
      </c>
      <c r="L20" s="16"/>
      <c r="M20" s="19">
        <f>47825570/1000000</f>
        <v>47.825569999999999</v>
      </c>
      <c r="N20" s="19" t="s">
        <v>184</v>
      </c>
      <c r="O20" s="19">
        <f>378.61/10</f>
        <v>37.861000000000004</v>
      </c>
      <c r="P20" s="19">
        <f>1973.36/10</f>
        <v>197.33599999999998</v>
      </c>
      <c r="Q20" s="19">
        <f>1051.18/10</f>
        <v>105.11800000000001</v>
      </c>
      <c r="R20" s="14">
        <f>1854.69/10</f>
        <v>185.46899999999999</v>
      </c>
      <c r="S20" s="14">
        <f>2362.8/10</f>
        <v>236.28000000000003</v>
      </c>
      <c r="T20" s="148">
        <f>2131.6/10</f>
        <v>213.16</v>
      </c>
    </row>
    <row r="21" spans="1:20" x14ac:dyDescent="0.35">
      <c r="A21" s="1" t="s">
        <v>194</v>
      </c>
      <c r="B21" s="13">
        <f t="shared" ref="B21:I21" si="12">B14-B18-B19+B20</f>
        <v>807.6649239999997</v>
      </c>
      <c r="C21" s="13">
        <f t="shared" si="12"/>
        <v>853.31499999999517</v>
      </c>
      <c r="D21" s="13">
        <f t="shared" si="12"/>
        <v>440.12300000000005</v>
      </c>
      <c r="E21" s="13">
        <f t="shared" si="12"/>
        <v>392.07199999999693</v>
      </c>
      <c r="F21" s="13">
        <f t="shared" si="12"/>
        <v>624.10900000000049</v>
      </c>
      <c r="G21" s="13">
        <f t="shared" si="12"/>
        <v>1463.7540000000001</v>
      </c>
      <c r="H21" s="13">
        <f t="shared" si="12"/>
        <v>1540.494999999999</v>
      </c>
      <c r="I21" s="146">
        <f t="shared" si="12"/>
        <v>1025.0520000000015</v>
      </c>
      <c r="K21" s="16" t="s">
        <v>46</v>
      </c>
      <c r="L21" s="16"/>
      <c r="M21" s="20">
        <f>9803019/1000000</f>
        <v>9.8030190000000008</v>
      </c>
      <c r="N21" s="19">
        <f>94.86/10</f>
        <v>9.4860000000000007</v>
      </c>
      <c r="O21" s="19">
        <f>99.06/10</f>
        <v>9.9060000000000006</v>
      </c>
      <c r="P21" s="19">
        <f>95.06/10</f>
        <v>9.5060000000000002</v>
      </c>
      <c r="Q21" s="19">
        <f>94.66/10</f>
        <v>9.4659999999999993</v>
      </c>
      <c r="R21" s="14">
        <f>94.96/10</f>
        <v>9.4959999999999987</v>
      </c>
      <c r="S21" s="14">
        <f>94.96/10</f>
        <v>9.4959999999999987</v>
      </c>
      <c r="T21" s="148">
        <f>411.47/10</f>
        <v>41.147000000000006</v>
      </c>
    </row>
    <row r="22" spans="1:20" x14ac:dyDescent="0.35">
      <c r="A22" t="s">
        <v>195</v>
      </c>
      <c r="B22" s="39">
        <f>148583/1000000</f>
        <v>0.14858299999999999</v>
      </c>
      <c r="C22" s="39">
        <f>1.25/10</f>
        <v>0.125</v>
      </c>
      <c r="D22" s="39">
        <f>0.72/10</f>
        <v>7.1999999999999995E-2</v>
      </c>
      <c r="E22" s="39">
        <f>7.18/10</f>
        <v>0.71799999999999997</v>
      </c>
      <c r="F22" s="7">
        <f>0.34/10</f>
        <v>3.4000000000000002E-2</v>
      </c>
      <c r="G22" s="39">
        <f>-53.99/10</f>
        <v>-5.399</v>
      </c>
      <c r="H22" s="14">
        <v>0.01</v>
      </c>
      <c r="I22" s="147">
        <v>-9.4E-2</v>
      </c>
      <c r="K22" s="16" t="s">
        <v>132</v>
      </c>
      <c r="L22" s="7"/>
      <c r="M22" s="7"/>
      <c r="N22" s="14">
        <v>0</v>
      </c>
      <c r="O22" s="14">
        <v>0</v>
      </c>
      <c r="P22" s="14">
        <v>0</v>
      </c>
      <c r="Q22" s="39">
        <f>254.93/10</f>
        <v>25.493000000000002</v>
      </c>
      <c r="R22" s="14">
        <v>0</v>
      </c>
      <c r="S22" s="14">
        <v>0</v>
      </c>
      <c r="T22" s="148"/>
    </row>
    <row r="23" spans="1:20" x14ac:dyDescent="0.35">
      <c r="A23" s="1" t="s">
        <v>22</v>
      </c>
      <c r="B23" s="13"/>
      <c r="C23" s="1">
        <f>C21+C22</f>
        <v>853.43999999999517</v>
      </c>
      <c r="D23" s="1">
        <f t="shared" ref="D23:G23" si="13">D21+D22</f>
        <v>440.19500000000005</v>
      </c>
      <c r="E23" s="1">
        <f t="shared" si="13"/>
        <v>392.78999999999695</v>
      </c>
      <c r="F23" s="1">
        <f t="shared" si="13"/>
        <v>624.14300000000048</v>
      </c>
      <c r="G23" s="1">
        <f t="shared" si="13"/>
        <v>1458.3550000000002</v>
      </c>
      <c r="H23" s="13">
        <f>H21+H22</f>
        <v>1540.504999999999</v>
      </c>
      <c r="I23" s="146">
        <f>I21+I22</f>
        <v>1024.9580000000014</v>
      </c>
      <c r="K23" s="7" t="s">
        <v>190</v>
      </c>
      <c r="L23" s="7"/>
      <c r="M23" s="7"/>
      <c r="N23" s="7"/>
      <c r="O23" s="7"/>
      <c r="P23" s="7"/>
      <c r="Q23" s="7"/>
      <c r="R23" s="7">
        <v>2.6949999999999998</v>
      </c>
      <c r="S23" s="7">
        <v>2.6859999999999999</v>
      </c>
      <c r="T23" s="148">
        <f>27.01/10</f>
        <v>2.7010000000000001</v>
      </c>
    </row>
    <row r="24" spans="1:20" x14ac:dyDescent="0.35">
      <c r="A24" s="7" t="s">
        <v>23</v>
      </c>
      <c r="B24" s="14">
        <f>143566002/1000000</f>
        <v>143.566002</v>
      </c>
      <c r="C24" s="14">
        <f>2665.36/10</f>
        <v>266.536</v>
      </c>
      <c r="D24" s="14">
        <f>1333.62/10</f>
        <v>133.36199999999999</v>
      </c>
      <c r="E24" s="14">
        <f>1079.59/10</f>
        <v>107.95899999999999</v>
      </c>
      <c r="F24" s="14">
        <f>1820.61/10</f>
        <v>182.06099999999998</v>
      </c>
      <c r="G24" s="14">
        <f>3663.79/10</f>
        <v>366.37900000000002</v>
      </c>
      <c r="H24" s="14">
        <f>3833.38/10</f>
        <v>383.33800000000002</v>
      </c>
      <c r="I24" s="147">
        <v>268.48</v>
      </c>
      <c r="K24" s="7" t="s">
        <v>47</v>
      </c>
      <c r="L24" s="7"/>
      <c r="M24" s="19">
        <f>23345996/1000000</f>
        <v>23.345996</v>
      </c>
      <c r="N24" s="19">
        <f xml:space="preserve"> 233.37/10</f>
        <v>23.337</v>
      </c>
      <c r="O24" s="19">
        <f>233.37/10</f>
        <v>23.337</v>
      </c>
      <c r="P24" s="19">
        <f>23.22/10</f>
        <v>2.3220000000000001</v>
      </c>
      <c r="Q24" s="19">
        <f>23.22/10</f>
        <v>2.3220000000000001</v>
      </c>
      <c r="R24" s="14">
        <f>23.22/10</f>
        <v>2.3220000000000001</v>
      </c>
      <c r="S24" s="14">
        <f>23.221/10</f>
        <v>2.3220999999999998</v>
      </c>
      <c r="T24" s="148">
        <f>23.23/10</f>
        <v>2.323</v>
      </c>
    </row>
    <row r="25" spans="1:20" x14ac:dyDescent="0.35">
      <c r="A25" s="6" t="s">
        <v>24</v>
      </c>
      <c r="B25" s="15">
        <f t="shared" ref="B25" si="14">B21-B24</f>
        <v>664.09892199999967</v>
      </c>
      <c r="C25" s="15">
        <f>C23-C24</f>
        <v>586.90399999999522</v>
      </c>
      <c r="D25" s="15">
        <f t="shared" ref="D25:I25" si="15">D23-D24</f>
        <v>306.83300000000008</v>
      </c>
      <c r="E25" s="15">
        <f t="shared" si="15"/>
        <v>284.83099999999695</v>
      </c>
      <c r="F25" s="15">
        <f t="shared" si="15"/>
        <v>442.08200000000051</v>
      </c>
      <c r="G25" s="15">
        <f t="shared" si="15"/>
        <v>1091.9760000000001</v>
      </c>
      <c r="H25" s="131">
        <f t="shared" si="15"/>
        <v>1157.166999999999</v>
      </c>
      <c r="I25" s="131">
        <f t="shared" si="15"/>
        <v>756.47800000000143</v>
      </c>
      <c r="K25" s="6" t="s">
        <v>48</v>
      </c>
      <c r="L25" s="6"/>
      <c r="M25" s="15">
        <f t="shared" ref="M25:Q25" si="16">SUM(M26:M35)</f>
        <v>4784.3247249999995</v>
      </c>
      <c r="N25" s="15">
        <f t="shared" si="16"/>
        <v>8233.5969999999998</v>
      </c>
      <c r="O25" s="15">
        <f t="shared" si="16"/>
        <v>8304.1820000000007</v>
      </c>
      <c r="P25" s="15">
        <f t="shared" si="16"/>
        <v>7957.5749999999998</v>
      </c>
      <c r="Q25" s="15">
        <f t="shared" si="16"/>
        <v>7678.058</v>
      </c>
      <c r="R25" s="131">
        <f>SUM(R26:R35)</f>
        <v>10191.064000000002</v>
      </c>
      <c r="S25" s="15">
        <f>SUM(S26:S35)</f>
        <v>12736.853999999999</v>
      </c>
      <c r="T25" s="15">
        <f>SUM(T26:T35)</f>
        <v>13361.81</v>
      </c>
    </row>
    <row r="26" spans="1:20" x14ac:dyDescent="0.35">
      <c r="A26" s="3" t="s">
        <v>10</v>
      </c>
      <c r="B26" s="4"/>
      <c r="C26" s="4">
        <f>C25/B25-1</f>
        <v>-0.11624009532725077</v>
      </c>
      <c r="D26" s="4">
        <f>D25/C25-1</f>
        <v>-0.47720070062565156</v>
      </c>
      <c r="E26" s="4">
        <f t="shared" ref="E26:G26" si="17">E25/D25-1</f>
        <v>-7.1706759051350821E-2</v>
      </c>
      <c r="F26" s="4">
        <f t="shared" si="17"/>
        <v>0.55208527161722309</v>
      </c>
      <c r="G26" s="4">
        <f t="shared" si="17"/>
        <v>1.4700756873159251</v>
      </c>
      <c r="H26" s="4">
        <f>H25/G25-1</f>
        <v>5.9700030037289187E-2</v>
      </c>
      <c r="I26" s="4">
        <f>I25/H25-1</f>
        <v>-0.34626721985676912</v>
      </c>
      <c r="K26" s="7" t="s">
        <v>49</v>
      </c>
      <c r="L26" s="39">
        <f>1113670384/1000000</f>
        <v>1113.670384</v>
      </c>
      <c r="M26" s="20">
        <f>1145718563/1000000</f>
        <v>1145.7185629999999</v>
      </c>
      <c r="N26" s="55">
        <f>24557.66/10</f>
        <v>2455.7660000000001</v>
      </c>
      <c r="O26" s="20">
        <f>27504.03/10</f>
        <v>2750.4029999999998</v>
      </c>
      <c r="P26" s="20">
        <f>24495.32/10</f>
        <v>2449.5320000000002</v>
      </c>
      <c r="Q26" s="55">
        <f>28040.41/10</f>
        <v>2804.0410000000002</v>
      </c>
      <c r="R26" s="14">
        <f>25650.58/10</f>
        <v>2565.058</v>
      </c>
      <c r="S26" s="14">
        <f>32286.93/10</f>
        <v>3228.6930000000002</v>
      </c>
      <c r="T26" s="148">
        <f>33211.06/10</f>
        <v>3321.1059999999998</v>
      </c>
    </row>
    <row r="27" spans="1:20" x14ac:dyDescent="0.35">
      <c r="A27" s="3" t="s">
        <v>11</v>
      </c>
      <c r="B27" s="4"/>
      <c r="C27" s="4"/>
      <c r="D27" s="4"/>
      <c r="E27" s="4">
        <f>(E25/B25)^(1/3)-1</f>
        <v>-0.24586083958735594</v>
      </c>
      <c r="F27" s="4">
        <f>(F25/C25)^(1/3)-1</f>
        <v>-9.0131588425943043E-2</v>
      </c>
      <c r="G27" s="4">
        <f>(G25/F25)^(1/3)-1</f>
        <v>0.35177191878976477</v>
      </c>
      <c r="H27" s="4">
        <f>(H25/E25)^(1/3)-1</f>
        <v>0.59564494895576314</v>
      </c>
      <c r="I27" s="4">
        <f>(I25/F25)^(1/3)-1</f>
        <v>0.19609173659520684</v>
      </c>
      <c r="K27" s="7" t="s">
        <v>45</v>
      </c>
      <c r="L27" s="7"/>
      <c r="M27" s="14"/>
      <c r="N27" s="14"/>
      <c r="O27" s="14"/>
      <c r="P27" s="14"/>
      <c r="Q27" s="14"/>
      <c r="R27" s="14"/>
      <c r="S27" s="14"/>
      <c r="T27" s="148"/>
    </row>
    <row r="28" spans="1:20" x14ac:dyDescent="0.35">
      <c r="A28" s="6" t="s">
        <v>25</v>
      </c>
      <c r="B28" s="8">
        <f t="shared" ref="B28:I28" si="18">B25/B4</f>
        <v>5.7363313375211208E-2</v>
      </c>
      <c r="C28" s="8">
        <f t="shared" si="18"/>
        <v>3.5573203504854649E-2</v>
      </c>
      <c r="D28" s="8">
        <f t="shared" si="18"/>
        <v>1.387139892705329E-2</v>
      </c>
      <c r="E28" s="8">
        <f t="shared" si="18"/>
        <v>1.2953049306182169E-2</v>
      </c>
      <c r="F28" s="8">
        <f t="shared" si="18"/>
        <v>2.6010711130378249E-2</v>
      </c>
      <c r="G28" s="8">
        <f t="shared" si="18"/>
        <v>4.2669360053380075E-2</v>
      </c>
      <c r="H28" s="8">
        <f t="shared" si="18"/>
        <v>5.5901409362448709E-2</v>
      </c>
      <c r="I28" s="8">
        <f>I25/I4</f>
        <v>4.1700159143239469E-2</v>
      </c>
      <c r="K28" s="7" t="s">
        <v>129</v>
      </c>
      <c r="L28" s="7"/>
      <c r="M28" s="14">
        <f>1575000/1000000</f>
        <v>1.575</v>
      </c>
      <c r="N28" s="14">
        <f>15.75/10</f>
        <v>1.575</v>
      </c>
      <c r="O28" s="14">
        <f>15.75/10</f>
        <v>1.575</v>
      </c>
      <c r="P28" s="14">
        <f>15.75/10</f>
        <v>1.575</v>
      </c>
      <c r="Q28" s="14">
        <f>15.75/10</f>
        <v>1.575</v>
      </c>
      <c r="R28" s="14">
        <f xml:space="preserve"> 22.46/10</f>
        <v>2.246</v>
      </c>
      <c r="S28" s="14">
        <f>27.79/10</f>
        <v>2.7789999999999999</v>
      </c>
      <c r="T28" s="148">
        <f>33.01/10</f>
        <v>3.3009999999999997</v>
      </c>
    </row>
    <row r="29" spans="1:20" x14ac:dyDescent="0.35">
      <c r="A29" s="7" t="s">
        <v>127</v>
      </c>
      <c r="B29" s="7"/>
      <c r="C29" s="39">
        <f xml:space="preserve"> 9.28/10</f>
        <v>0.92799999999999994</v>
      </c>
      <c r="D29" s="39">
        <f xml:space="preserve"> 65.36/10</f>
        <v>6.5359999999999996</v>
      </c>
      <c r="E29" s="7"/>
      <c r="F29" s="7"/>
      <c r="G29" s="7"/>
      <c r="H29" s="7">
        <v>0</v>
      </c>
      <c r="I29" s="7"/>
      <c r="K29" s="17" t="s">
        <v>59</v>
      </c>
      <c r="L29" s="58">
        <f>1776049324/1000000</f>
        <v>1776.0493240000001</v>
      </c>
      <c r="M29" s="19">
        <f>2118934962/1000000</f>
        <v>2118.9349619999998</v>
      </c>
      <c r="N29" s="19">
        <f>39676.43/10</f>
        <v>3967.643</v>
      </c>
      <c r="O29" s="19">
        <f>36482.61/10</f>
        <v>3648.261</v>
      </c>
      <c r="P29" s="19">
        <f>42797.8/10</f>
        <v>4279.7800000000007</v>
      </c>
      <c r="Q29" s="19">
        <f>38144.55/10</f>
        <v>3814.4550000000004</v>
      </c>
      <c r="R29" s="14">
        <f>47792.77/10</f>
        <v>4779.277</v>
      </c>
      <c r="S29" s="14">
        <f>49878.05/10</f>
        <v>4987.8050000000003</v>
      </c>
      <c r="T29" s="148">
        <f>52565.56/10</f>
        <v>5256.5559999999996</v>
      </c>
    </row>
    <row r="30" spans="1:20" x14ac:dyDescent="0.35">
      <c r="A30" s="7" t="s">
        <v>26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39">
        <f>905.12/10</f>
        <v>90.512</v>
      </c>
      <c r="H30" s="7">
        <f>50.41/10</f>
        <v>5.0409999999999995</v>
      </c>
      <c r="I30" s="148">
        <v>-25.433</v>
      </c>
      <c r="K30" s="17" t="s">
        <v>60</v>
      </c>
      <c r="L30" s="17"/>
      <c r="M30" s="19">
        <f>42742639/1000000</f>
        <v>42.742638999999997</v>
      </c>
      <c r="N30" s="19">
        <f>1072.25/10</f>
        <v>107.22499999999999</v>
      </c>
      <c r="O30" s="19">
        <f>977.52/10</f>
        <v>97.751999999999995</v>
      </c>
      <c r="P30" s="19">
        <f>660.97/10</f>
        <v>66.097000000000008</v>
      </c>
      <c r="Q30" s="19">
        <f>1402.56/10</f>
        <v>140.256</v>
      </c>
      <c r="R30" s="14">
        <f>940.9/10</f>
        <v>94.09</v>
      </c>
      <c r="S30" s="14">
        <f>1271.4/10</f>
        <v>127.14000000000001</v>
      </c>
      <c r="T30" s="148">
        <f>430.23/10</f>
        <v>43.023000000000003</v>
      </c>
    </row>
    <row r="31" spans="1:20" x14ac:dyDescent="0.35">
      <c r="A31" s="6" t="s">
        <v>27</v>
      </c>
      <c r="B31" s="15">
        <f>SUM(B25+B30)</f>
        <v>664.09892199999967</v>
      </c>
      <c r="C31" s="15">
        <f>C25-C29+C30</f>
        <v>585.97599999999522</v>
      </c>
      <c r="D31" s="15">
        <f t="shared" ref="D31:I31" si="19">D25-D29+D30</f>
        <v>300.29700000000008</v>
      </c>
      <c r="E31" s="15">
        <f t="shared" si="19"/>
        <v>284.83099999999695</v>
      </c>
      <c r="F31" s="15">
        <f t="shared" si="19"/>
        <v>442.08200000000051</v>
      </c>
      <c r="G31" s="15">
        <f t="shared" si="19"/>
        <v>1182.4880000000001</v>
      </c>
      <c r="H31" s="131">
        <f t="shared" si="19"/>
        <v>1162.2079999999989</v>
      </c>
      <c r="I31" s="131">
        <f t="shared" si="19"/>
        <v>731.04500000000144</v>
      </c>
      <c r="K31" s="17" t="s">
        <v>61</v>
      </c>
      <c r="L31" s="17"/>
      <c r="M31" s="20">
        <f>72597343/1000000</f>
        <v>72.597342999999995</v>
      </c>
      <c r="N31" s="19">
        <f>1435.79/10</f>
        <v>143.57900000000001</v>
      </c>
      <c r="O31" s="19">
        <f>2454.48/10</f>
        <v>245.44800000000001</v>
      </c>
      <c r="P31" s="19">
        <f>1454.36/10</f>
        <v>145.43599999999998</v>
      </c>
      <c r="Q31" s="19">
        <f>2018.4/10</f>
        <v>201.84</v>
      </c>
      <c r="R31" s="14">
        <f>2454.57/10</f>
        <v>245.45700000000002</v>
      </c>
      <c r="S31" s="14">
        <f>29919.31/10</f>
        <v>2991.931</v>
      </c>
      <c r="T31" s="148">
        <f>30024.83/10</f>
        <v>3002.4830000000002</v>
      </c>
    </row>
    <row r="32" spans="1:20" x14ac:dyDescent="0.35">
      <c r="A32" s="59" t="s">
        <v>10</v>
      </c>
      <c r="B32" s="60"/>
      <c r="C32" s="11">
        <f>C31/B31-1</f>
        <v>-0.11763747750821452</v>
      </c>
      <c r="D32" s="11">
        <f t="shared" ref="D32:G32" si="20">D31/C31-1</f>
        <v>-0.48752679290618983</v>
      </c>
      <c r="E32" s="11">
        <f t="shared" si="20"/>
        <v>-5.1502346010793065E-2</v>
      </c>
      <c r="F32" s="11">
        <f t="shared" si="20"/>
        <v>0.55208527161722309</v>
      </c>
      <c r="G32" s="11">
        <f t="shared" si="20"/>
        <v>1.6748159843648884</v>
      </c>
      <c r="H32" s="11">
        <f>H31/G31-1</f>
        <v>-1.7150279749140074E-2</v>
      </c>
      <c r="I32" s="11">
        <f>I31/H31-1</f>
        <v>-0.37098608854869175</v>
      </c>
      <c r="K32" s="7" t="s">
        <v>62</v>
      </c>
      <c r="L32" s="7"/>
      <c r="M32" s="20">
        <f>16262694/1000000</f>
        <v>16.262694</v>
      </c>
      <c r="N32" s="19">
        <f>657.57/10</f>
        <v>65.757000000000005</v>
      </c>
      <c r="O32" s="19">
        <f>1651.57/10</f>
        <v>165.15699999999998</v>
      </c>
      <c r="P32" s="19">
        <f>1312.65/10</f>
        <v>131.26500000000001</v>
      </c>
      <c r="Q32" s="19">
        <f>639.63/10</f>
        <v>63.963000000000001</v>
      </c>
      <c r="R32" s="14">
        <f>3930.64/10</f>
        <v>393.06399999999996</v>
      </c>
      <c r="S32" s="14">
        <f>4806.37/10</f>
        <v>480.637</v>
      </c>
      <c r="T32" s="148">
        <f>724.98/10</f>
        <v>72.498000000000005</v>
      </c>
    </row>
    <row r="33" spans="1:20" x14ac:dyDescent="0.35">
      <c r="A33" s="59" t="s">
        <v>28</v>
      </c>
      <c r="B33" s="60"/>
      <c r="C33" s="158"/>
      <c r="D33" s="60"/>
      <c r="E33" s="4">
        <f>(E31/B31)^(1/3)-1</f>
        <v>-0.24586083958735594</v>
      </c>
      <c r="F33" s="4">
        <f>(F31/C31)^(1/3)-1</f>
        <v>-8.9651527498499251E-2</v>
      </c>
      <c r="G33" s="4">
        <f>(G31/D31)^(1/3)-1</f>
        <v>0.5791204199595843</v>
      </c>
      <c r="H33" s="4">
        <f>(H31/E31)^(1/3)-1</f>
        <v>0.59795864384399455</v>
      </c>
      <c r="I33" s="4">
        <f>(I31/F31)^(1/3)-1</f>
        <v>0.18253433555974108</v>
      </c>
      <c r="K33" s="17" t="s">
        <v>63</v>
      </c>
      <c r="L33" s="17"/>
      <c r="M33" s="19">
        <f>592739096/1000000</f>
        <v>592.73909600000002</v>
      </c>
      <c r="N33" s="19">
        <f>7651.3/10</f>
        <v>765.13</v>
      </c>
      <c r="O33" s="19">
        <f>6059.02/10</f>
        <v>605.90200000000004</v>
      </c>
      <c r="P33" s="19">
        <f>3925.48/10</f>
        <v>392.548</v>
      </c>
      <c r="Q33" s="19">
        <f>43.52/10</f>
        <v>4.3520000000000003</v>
      </c>
      <c r="R33" s="14">
        <f xml:space="preserve"> 105.27/10</f>
        <v>10.526999999999999</v>
      </c>
      <c r="S33" s="14">
        <f>180.33/10</f>
        <v>18.033000000000001</v>
      </c>
      <c r="T33" s="148">
        <f>445.45/10</f>
        <v>44.545000000000002</v>
      </c>
    </row>
    <row r="34" spans="1:20" x14ac:dyDescent="0.35">
      <c r="A34" s="7"/>
      <c r="B34" s="7"/>
      <c r="C34" s="7"/>
      <c r="D34" s="7"/>
      <c r="E34" s="7"/>
      <c r="F34" s="7"/>
      <c r="G34" s="7"/>
      <c r="H34" s="7"/>
      <c r="I34" s="149"/>
      <c r="K34" s="7" t="s">
        <v>64</v>
      </c>
      <c r="L34" s="7"/>
      <c r="M34" s="14">
        <v>0</v>
      </c>
      <c r="N34" s="14"/>
      <c r="O34" s="14"/>
      <c r="P34" s="14"/>
      <c r="Q34" s="14"/>
      <c r="R34" s="14"/>
      <c r="S34" s="14">
        <f>142.38/10</f>
        <v>14.238</v>
      </c>
      <c r="T34" s="148">
        <f>1347.05/10</f>
        <v>134.70499999999998</v>
      </c>
    </row>
    <row r="35" spans="1:20" x14ac:dyDescent="0.35">
      <c r="A35" s="6" t="s">
        <v>29</v>
      </c>
      <c r="B35" s="10">
        <v>3.31</v>
      </c>
      <c r="C35" s="10">
        <v>2.92</v>
      </c>
      <c r="D35" s="10">
        <v>1.5</v>
      </c>
      <c r="E35" s="10">
        <v>1.42</v>
      </c>
      <c r="F35" s="12">
        <v>2.2000000000000002</v>
      </c>
      <c r="G35" s="12">
        <v>5.45</v>
      </c>
      <c r="H35" s="12">
        <v>5.77</v>
      </c>
      <c r="I35" s="12">
        <v>3.77</v>
      </c>
      <c r="K35" s="7" t="s">
        <v>65</v>
      </c>
      <c r="L35" s="7"/>
      <c r="M35" s="14">
        <f>793754428/1000000</f>
        <v>793.75442799999996</v>
      </c>
      <c r="N35" s="14">
        <f>7269.22/10</f>
        <v>726.92200000000003</v>
      </c>
      <c r="O35" s="14">
        <f>7896.84/10</f>
        <v>789.68399999999997</v>
      </c>
      <c r="P35" s="14">
        <f>4913.42/10</f>
        <v>491.34199999999998</v>
      </c>
      <c r="Q35" s="14">
        <f>6475.76/10</f>
        <v>647.57600000000002</v>
      </c>
      <c r="R35" s="14">
        <f>21013.45/10</f>
        <v>2101.3450000000003</v>
      </c>
      <c r="S35" s="14">
        <f>8855.98/10</f>
        <v>885.59799999999996</v>
      </c>
      <c r="T35" s="148">
        <v>1483.5930000000001</v>
      </c>
    </row>
    <row r="36" spans="1:20" x14ac:dyDescent="0.35">
      <c r="A36" s="3" t="s">
        <v>10</v>
      </c>
      <c r="B36" s="4"/>
      <c r="C36" s="4">
        <f>C35/B35-1</f>
        <v>-0.1178247734138973</v>
      </c>
      <c r="D36" s="4">
        <f t="shared" ref="D36:G36" si="21">D35/C35-1</f>
        <v>-0.48630136986301364</v>
      </c>
      <c r="E36" s="4">
        <f t="shared" si="21"/>
        <v>-5.3333333333333344E-2</v>
      </c>
      <c r="F36" s="4">
        <f t="shared" si="21"/>
        <v>0.54929577464788748</v>
      </c>
      <c r="G36" s="4">
        <f t="shared" si="21"/>
        <v>1.4772727272727271</v>
      </c>
      <c r="H36" s="4">
        <f>H35/G35-1</f>
        <v>5.8715596330275011E-2</v>
      </c>
      <c r="I36" s="4">
        <f>I35/H35-1</f>
        <v>-0.34662045060658575</v>
      </c>
      <c r="K36" s="6" t="s">
        <v>50</v>
      </c>
      <c r="L36" s="6"/>
      <c r="M36" s="15">
        <f t="shared" ref="M36:R36" si="22">SUM(M38:M43)</f>
        <v>1690.7882370000002</v>
      </c>
      <c r="N36" s="15">
        <f>SUM(N38:N43)</f>
        <v>3877.9180000000001</v>
      </c>
      <c r="O36" s="15">
        <f t="shared" si="22"/>
        <v>4599.7720000000008</v>
      </c>
      <c r="P36" s="15">
        <f t="shared" si="22"/>
        <v>2185.4740000000002</v>
      </c>
      <c r="Q36" s="15">
        <f t="shared" si="22"/>
        <v>1351.0590000000002</v>
      </c>
      <c r="R36" s="15">
        <f t="shared" si="22"/>
        <v>975.27200000000016</v>
      </c>
      <c r="S36" s="15">
        <f>SUM(S38:S43)+S9</f>
        <v>7388.2150000000001</v>
      </c>
      <c r="T36" s="15">
        <f>SUM(T38:T43)+T9</f>
        <v>8042.4489999999996</v>
      </c>
    </row>
    <row r="37" spans="1:20" x14ac:dyDescent="0.35">
      <c r="A37" s="3" t="s">
        <v>11</v>
      </c>
      <c r="B37" s="4"/>
      <c r="C37" s="67">
        <v>0.17</v>
      </c>
      <c r="D37" s="4"/>
      <c r="E37" s="4">
        <f>(E35/B35)^(1/3)-1</f>
        <v>-0.24579955635483286</v>
      </c>
      <c r="F37" s="4">
        <f>(F35/C35)^(1/3)-1</f>
        <v>-9.0058910735396291E-2</v>
      </c>
      <c r="G37" s="4">
        <f>(G35/D35)^(1/3)-1</f>
        <v>0.53733464485903237</v>
      </c>
      <c r="H37" s="4">
        <f>(H35/E35)^(1/3)-1</f>
        <v>0.59574131565678412</v>
      </c>
      <c r="I37" s="4">
        <f>(I35/F35)^(1/3)-1</f>
        <v>0.19666582884050454</v>
      </c>
      <c r="K37" s="7" t="s">
        <v>68</v>
      </c>
      <c r="L37" s="7"/>
      <c r="M37" s="14"/>
      <c r="N37" s="14"/>
      <c r="O37" s="14"/>
      <c r="P37" s="14"/>
      <c r="Q37" s="14"/>
      <c r="R37" s="7"/>
      <c r="S37" s="7"/>
      <c r="T37" s="7"/>
    </row>
    <row r="38" spans="1:20" x14ac:dyDescent="0.35">
      <c r="K38" s="7" t="s">
        <v>69</v>
      </c>
      <c r="L38" s="7">
        <v>4127.42</v>
      </c>
      <c r="M38" s="19">
        <f>1008463173/1000000</f>
        <v>1008.463173</v>
      </c>
      <c r="N38" s="19">
        <f>29715.44/10</f>
        <v>2971.5439999999999</v>
      </c>
      <c r="O38" s="55">
        <f>36299.71/10</f>
        <v>3629.971</v>
      </c>
      <c r="P38" s="19">
        <f>14914.22/10</f>
        <v>1491.422</v>
      </c>
      <c r="Q38" s="19">
        <f>11757.85/10</f>
        <v>1175.7850000000001</v>
      </c>
      <c r="R38" s="39">
        <f>8564.37/10</f>
        <v>856.43700000000013</v>
      </c>
      <c r="S38" s="39">
        <f>15505.83/10</f>
        <v>1550.5830000000001</v>
      </c>
      <c r="T38" s="7">
        <v>1100.038</v>
      </c>
    </row>
    <row r="39" spans="1:20" ht="14.15" customHeight="1" x14ac:dyDescent="0.35">
      <c r="A39" s="1" t="s">
        <v>75</v>
      </c>
      <c r="B39" s="2" t="s">
        <v>2</v>
      </c>
      <c r="C39" s="2" t="s">
        <v>3</v>
      </c>
      <c r="D39" s="2" t="s">
        <v>4</v>
      </c>
      <c r="E39" s="2" t="s">
        <v>5</v>
      </c>
      <c r="F39" s="2" t="s">
        <v>6</v>
      </c>
      <c r="G39" s="2" t="s">
        <v>112</v>
      </c>
      <c r="H39" s="2" t="s">
        <v>182</v>
      </c>
      <c r="I39" s="2" t="s">
        <v>191</v>
      </c>
      <c r="K39" s="7" t="s">
        <v>70</v>
      </c>
      <c r="L39" s="7"/>
      <c r="M39" s="20">
        <f>311778637/1000000</f>
        <v>311.778637</v>
      </c>
      <c r="N39" s="19">
        <f>4801.28/10</f>
        <v>480.12799999999999</v>
      </c>
      <c r="O39" s="19">
        <f>7167.09/10</f>
        <v>716.70900000000006</v>
      </c>
      <c r="P39" s="19">
        <f>2801.64/10</f>
        <v>280.16399999999999</v>
      </c>
      <c r="Q39" s="19">
        <f xml:space="preserve"> 14.52/10</f>
        <v>1.452</v>
      </c>
      <c r="R39" s="19">
        <v>0</v>
      </c>
      <c r="S39" s="73">
        <v>0</v>
      </c>
      <c r="T39" s="7">
        <v>58.741</v>
      </c>
    </row>
    <row r="40" spans="1:20" x14ac:dyDescent="0.35">
      <c r="A40" s="61" t="s">
        <v>76</v>
      </c>
      <c r="B40" s="39">
        <f>135645486/1000000</f>
        <v>135.64548600000001</v>
      </c>
      <c r="C40" s="14">
        <f>1167.5/10</f>
        <v>116.75</v>
      </c>
      <c r="D40" s="14">
        <f>C45</f>
        <v>250.80400000000009</v>
      </c>
      <c r="E40" s="14">
        <f t="shared" ref="E40:F40" si="23">D45</f>
        <v>343.202</v>
      </c>
      <c r="F40" s="14">
        <f t="shared" si="23"/>
        <v>211.53500000000008</v>
      </c>
      <c r="G40" s="14">
        <f>F45</f>
        <v>342.09700000000021</v>
      </c>
      <c r="H40" s="14">
        <f>G45</f>
        <v>339.54900000000021</v>
      </c>
      <c r="I40" s="147">
        <f>H45</f>
        <v>3119.0720000000001</v>
      </c>
      <c r="K40" s="7" t="s">
        <v>74</v>
      </c>
      <c r="L40" s="7"/>
      <c r="M40" s="14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73">
        <v>0</v>
      </c>
      <c r="T40" s="7"/>
    </row>
    <row r="41" spans="1:20" x14ac:dyDescent="0.35">
      <c r="A41" s="7" t="s">
        <v>77</v>
      </c>
      <c r="B41" s="14">
        <f>77175946/1000000</f>
        <v>77.175945999999996</v>
      </c>
      <c r="C41" s="14">
        <f>3894.6/10</f>
        <v>389.46</v>
      </c>
      <c r="D41" s="14">
        <f>27094.91/10</f>
        <v>2709.491</v>
      </c>
      <c r="E41" s="14">
        <f>2162.68/10</f>
        <v>216.26799999999997</v>
      </c>
      <c r="F41" s="14">
        <f>8328.69/10</f>
        <v>832.86900000000003</v>
      </c>
      <c r="G41" s="39">
        <f>-10365.75/10</f>
        <v>-1036.575</v>
      </c>
      <c r="H41" s="26">
        <f>30616.16/10</f>
        <v>3061.616</v>
      </c>
      <c r="I41" s="26">
        <f>485.19/10</f>
        <v>48.518999999999998</v>
      </c>
      <c r="K41" s="7" t="s">
        <v>51</v>
      </c>
      <c r="L41" s="7"/>
      <c r="M41" s="19">
        <f>83484582/1000000</f>
        <v>83.484582000000003</v>
      </c>
      <c r="N41" s="19">
        <f>1162.19/10</f>
        <v>116.21900000000001</v>
      </c>
      <c r="O41" s="19">
        <f>2420.77/10</f>
        <v>242.077</v>
      </c>
      <c r="P41" s="19">
        <f>2935.09/10</f>
        <v>293.50900000000001</v>
      </c>
      <c r="Q41" s="19">
        <f>1738.22/10</f>
        <v>173.822</v>
      </c>
      <c r="R41" s="39">
        <f>739.02/10</f>
        <v>73.902000000000001</v>
      </c>
      <c r="S41" s="7">
        <f>2228.27/10</f>
        <v>222.827</v>
      </c>
      <c r="T41" s="7">
        <v>124.76300000000001</v>
      </c>
    </row>
    <row r="42" spans="1:20" x14ac:dyDescent="0.35">
      <c r="A42" s="7" t="s">
        <v>78</v>
      </c>
      <c r="B42" s="14">
        <f>-95501101/1000000</f>
        <v>-95.501101000000006</v>
      </c>
      <c r="C42" s="14">
        <f>-16599.78/10</f>
        <v>-1659.9779999999998</v>
      </c>
      <c r="D42" s="14">
        <f>-11838.06/10</f>
        <v>-1183.806</v>
      </c>
      <c r="E42" s="14">
        <f>21497.88/10</f>
        <v>2149.788</v>
      </c>
      <c r="F42" s="14">
        <f>6525.42/10</f>
        <v>652.54200000000003</v>
      </c>
      <c r="G42" s="7">
        <f>-196.24/10</f>
        <v>-19.624000000000002</v>
      </c>
      <c r="H42" s="39">
        <f>-21220.44/10</f>
        <v>-2122.0439999999999</v>
      </c>
      <c r="I42" s="150">
        <f>(-524.53/10)</f>
        <v>-52.452999999999996</v>
      </c>
      <c r="K42" s="7" t="s">
        <v>52</v>
      </c>
      <c r="L42" s="7"/>
      <c r="M42" s="20">
        <f>12067152/1000000</f>
        <v>12.067152</v>
      </c>
      <c r="N42" s="19">
        <v>0</v>
      </c>
      <c r="O42" s="19">
        <v>0</v>
      </c>
      <c r="P42" s="19">
        <v>0</v>
      </c>
      <c r="Q42" s="19">
        <v>0</v>
      </c>
      <c r="R42" s="7">
        <f>449.33/10</f>
        <v>44.933</v>
      </c>
      <c r="S42" s="19">
        <f>242.34/10</f>
        <v>24.234000000000002</v>
      </c>
      <c r="T42" s="7"/>
    </row>
    <row r="43" spans="1:20" x14ac:dyDescent="0.35">
      <c r="A43" s="7" t="s">
        <v>79</v>
      </c>
      <c r="B43" s="14">
        <f>-1980348/1000000</f>
        <v>-1.980348</v>
      </c>
      <c r="C43" s="14">
        <f>14045.72/10</f>
        <v>1404.5719999999999</v>
      </c>
      <c r="D43" s="14">
        <f>-14332.87/10</f>
        <v>-1433.287</v>
      </c>
      <c r="E43" s="14">
        <f>-24977.23/10</f>
        <v>-2497.723</v>
      </c>
      <c r="F43" s="14">
        <f>-13548.49/10</f>
        <v>-1354.8489999999999</v>
      </c>
      <c r="G43" s="39">
        <f>10536.51 /10</f>
        <v>1053.6510000000001</v>
      </c>
      <c r="H43" s="39">
        <f>18399.51/10</f>
        <v>1839.9509999999998</v>
      </c>
      <c r="I43" s="150">
        <f>(-801.83/10)</f>
        <v>-80.183000000000007</v>
      </c>
      <c r="K43" s="7" t="s">
        <v>131</v>
      </c>
      <c r="L43" s="7"/>
      <c r="M43" s="14">
        <f>274994693/1000000</f>
        <v>274.99469299999998</v>
      </c>
      <c r="N43" s="14">
        <f>3100.27/10</f>
        <v>310.02699999999999</v>
      </c>
      <c r="O43" s="14">
        <f>110.15/10</f>
        <v>11.015000000000001</v>
      </c>
      <c r="P43" s="55">
        <f>1203.79/10</f>
        <v>120.37899999999999</v>
      </c>
      <c r="Q43" s="14">
        <v>0</v>
      </c>
      <c r="R43" s="72" t="s">
        <v>180</v>
      </c>
      <c r="S43" s="7"/>
      <c r="T43" s="7">
        <v>0.64</v>
      </c>
    </row>
    <row r="44" spans="1:20" x14ac:dyDescent="0.35">
      <c r="A44" s="7" t="s">
        <v>80</v>
      </c>
      <c r="B44" s="14">
        <f t="shared" ref="B44:F44" si="24">B41+B42+B43</f>
        <v>-20.305503000000009</v>
      </c>
      <c r="C44" s="14">
        <f t="shared" si="24"/>
        <v>134.05400000000009</v>
      </c>
      <c r="D44" s="14">
        <f t="shared" si="24"/>
        <v>92.397999999999911</v>
      </c>
      <c r="E44" s="14">
        <f t="shared" si="24"/>
        <v>-131.66699999999992</v>
      </c>
      <c r="F44" s="14">
        <f t="shared" si="24"/>
        <v>130.56200000000013</v>
      </c>
      <c r="G44" s="14">
        <f>G41+G42+G43</f>
        <v>-2.5480000000000018</v>
      </c>
      <c r="H44" s="14">
        <f>H41+H42+H43</f>
        <v>2779.5230000000001</v>
      </c>
      <c r="I44" s="147">
        <f>I41+I42+I43</f>
        <v>-84.117000000000004</v>
      </c>
      <c r="K44" s="6" t="s">
        <v>53</v>
      </c>
      <c r="L44" s="6"/>
      <c r="M44" s="15">
        <f t="shared" ref="M44:R44" si="25">M25-M36</f>
        <v>3093.5364879999993</v>
      </c>
      <c r="N44" s="15">
        <f t="shared" si="25"/>
        <v>4355.6790000000001</v>
      </c>
      <c r="O44" s="15">
        <f t="shared" si="25"/>
        <v>3704.41</v>
      </c>
      <c r="P44" s="15">
        <f t="shared" si="25"/>
        <v>5772.1009999999997</v>
      </c>
      <c r="Q44" s="15">
        <f t="shared" si="25"/>
        <v>6326.9989999999998</v>
      </c>
      <c r="R44" s="15">
        <f t="shared" si="25"/>
        <v>9215.7920000000013</v>
      </c>
      <c r="S44" s="15">
        <f t="shared" ref="S44:T44" si="26">S25-S36</f>
        <v>5348.6389999999992</v>
      </c>
      <c r="T44" s="15">
        <f t="shared" si="26"/>
        <v>5319.3609999999999</v>
      </c>
    </row>
    <row r="45" spans="1:20" x14ac:dyDescent="0.35">
      <c r="A45" s="6" t="s">
        <v>81</v>
      </c>
      <c r="B45" s="15">
        <f t="shared" ref="B45:C45" si="27">B40+B44</f>
        <v>115.33998299999999</v>
      </c>
      <c r="C45" s="15">
        <f t="shared" si="27"/>
        <v>250.80400000000009</v>
      </c>
      <c r="D45" s="15">
        <f>D40+D44</f>
        <v>343.202</v>
      </c>
      <c r="E45" s="15">
        <f>E40+E44</f>
        <v>211.53500000000008</v>
      </c>
      <c r="F45" s="15">
        <f t="shared" ref="F45:H45" si="28">F40+F44</f>
        <v>342.09700000000021</v>
      </c>
      <c r="G45" s="15">
        <f>G40+G44</f>
        <v>339.54900000000021</v>
      </c>
      <c r="H45" s="15">
        <f t="shared" si="28"/>
        <v>3119.0720000000001</v>
      </c>
      <c r="I45" s="15">
        <f>I40+I44</f>
        <v>3034.9549999999999</v>
      </c>
      <c r="K45" s="7" t="s">
        <v>54</v>
      </c>
      <c r="L45" s="7"/>
      <c r="M45" s="19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7"/>
    </row>
    <row r="46" spans="1:20" x14ac:dyDescent="0.35">
      <c r="K46" s="7" t="s">
        <v>67</v>
      </c>
      <c r="L46" s="7"/>
      <c r="M46" s="19">
        <f>149313449/1000000</f>
        <v>149.31344899999999</v>
      </c>
      <c r="N46" s="19">
        <f>1103.09/10</f>
        <v>110.309</v>
      </c>
      <c r="O46" s="19">
        <f>837.85/10</f>
        <v>83.784999999999997</v>
      </c>
      <c r="P46" s="19">
        <f>644.47/10</f>
        <v>64.447000000000003</v>
      </c>
      <c r="Q46" s="19">
        <v>0</v>
      </c>
      <c r="R46" s="19">
        <v>0</v>
      </c>
      <c r="S46" s="19">
        <v>0</v>
      </c>
      <c r="T46" s="7"/>
    </row>
    <row r="47" spans="1:20" x14ac:dyDescent="0.35">
      <c r="A47" s="21" t="s">
        <v>82</v>
      </c>
      <c r="B47" s="29" t="s">
        <v>2</v>
      </c>
      <c r="C47" s="29" t="s">
        <v>3</v>
      </c>
      <c r="D47" s="29" t="s">
        <v>4</v>
      </c>
      <c r="E47" s="29" t="s">
        <v>5</v>
      </c>
      <c r="F47" s="29" t="s">
        <v>6</v>
      </c>
      <c r="G47" s="29" t="s">
        <v>112</v>
      </c>
      <c r="H47" s="29" t="s">
        <v>182</v>
      </c>
      <c r="I47" s="29" t="s">
        <v>191</v>
      </c>
      <c r="K47" s="7" t="s">
        <v>73</v>
      </c>
      <c r="L47" s="7"/>
      <c r="M47" s="14"/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7"/>
    </row>
    <row r="48" spans="1:20" x14ac:dyDescent="0.35">
      <c r="A48" s="21" t="s">
        <v>83</v>
      </c>
      <c r="B48" s="27">
        <f t="shared" ref="B48:G48" si="29">B41</f>
        <v>77.175945999999996</v>
      </c>
      <c r="C48" s="27">
        <f t="shared" si="29"/>
        <v>389.46</v>
      </c>
      <c r="D48" s="27">
        <f t="shared" si="29"/>
        <v>2709.491</v>
      </c>
      <c r="E48" s="27">
        <f t="shared" si="29"/>
        <v>216.26799999999997</v>
      </c>
      <c r="F48" s="27">
        <f t="shared" si="29"/>
        <v>832.86900000000003</v>
      </c>
      <c r="G48" s="27">
        <f t="shared" si="29"/>
        <v>-1036.575</v>
      </c>
      <c r="H48" s="27">
        <f>H41</f>
        <v>3061.616</v>
      </c>
      <c r="I48" s="27">
        <f>I41</f>
        <v>48.518999999999998</v>
      </c>
      <c r="K48" s="7" t="s">
        <v>66</v>
      </c>
      <c r="L48" s="7"/>
      <c r="M48" s="14">
        <f>127785721/1000000</f>
        <v>127.785721</v>
      </c>
      <c r="N48" s="14">
        <f>992.23/10</f>
        <v>99.222999999999999</v>
      </c>
      <c r="O48" s="14">
        <f>1217.5/10</f>
        <v>121.75</v>
      </c>
      <c r="P48" s="14">
        <f>1056.87/10</f>
        <v>105.68699999999998</v>
      </c>
      <c r="Q48" s="14">
        <f>1377.39/10</f>
        <v>137.739</v>
      </c>
      <c r="R48" s="7">
        <v>120.08799999999999</v>
      </c>
      <c r="S48" s="7">
        <v>102.626</v>
      </c>
      <c r="T48" s="7">
        <v>100.816</v>
      </c>
    </row>
    <row r="49" spans="1:20" x14ac:dyDescent="0.35">
      <c r="A49" s="22" t="s">
        <v>84</v>
      </c>
      <c r="B49" s="26">
        <f>(M14-L14)+B18</f>
        <v>103.97254099999992</v>
      </c>
      <c r="C49" s="26">
        <f>(N14-M14)+C18</f>
        <v>1486.5877449999998</v>
      </c>
      <c r="D49" s="26">
        <f>(O14-N14)+D18</f>
        <v>2591.7889999999998</v>
      </c>
      <c r="E49" s="26">
        <f>(P14-O14)+E18</f>
        <v>-2254.1959999999999</v>
      </c>
      <c r="F49" s="26">
        <f>(Q14-P14)+F18</f>
        <v>-418.90199999999976</v>
      </c>
      <c r="G49" s="26">
        <f>(S14-R14)+G18</f>
        <v>1910.096</v>
      </c>
      <c r="H49" s="26">
        <f>(-2097.878+19.63)</f>
        <v>-2078.248</v>
      </c>
      <c r="I49" s="26">
        <f>(-334.046+1.526)</f>
        <v>-332.52</v>
      </c>
      <c r="K49" s="6" t="s">
        <v>55</v>
      </c>
      <c r="L49" s="6"/>
      <c r="M49" s="15">
        <f>SUM(M13+M25)</f>
        <v>8109.6832889999996</v>
      </c>
      <c r="N49" s="15">
        <f>SUM(N13+N25)</f>
        <v>12490.652999999998</v>
      </c>
      <c r="O49" s="15">
        <f t="shared" ref="O49:T49" si="30">SUM(O13+O25)</f>
        <v>14050.844000000001</v>
      </c>
      <c r="P49" s="15">
        <f t="shared" si="30"/>
        <v>11123.253999999999</v>
      </c>
      <c r="Q49" s="15">
        <f t="shared" si="30"/>
        <v>10129.683000000001</v>
      </c>
      <c r="R49" s="15">
        <f>SUM(R13+R25)</f>
        <v>12438.230000000003</v>
      </c>
      <c r="S49" s="15">
        <f t="shared" si="30"/>
        <v>16773.7791</v>
      </c>
      <c r="T49" s="131">
        <f t="shared" si="30"/>
        <v>17406.558999999997</v>
      </c>
    </row>
    <row r="50" spans="1:20" x14ac:dyDescent="0.35">
      <c r="A50" s="23" t="s">
        <v>85</v>
      </c>
      <c r="B50" s="28">
        <f t="shared" ref="B50:G50" si="31">B48-B49</f>
        <v>-26.796594999999925</v>
      </c>
      <c r="C50" s="28">
        <f>C48-C49</f>
        <v>-1097.1277449999998</v>
      </c>
      <c r="D50" s="28">
        <f t="shared" si="31"/>
        <v>117.70200000000023</v>
      </c>
      <c r="E50" s="28">
        <f t="shared" si="31"/>
        <v>2470.4639999999999</v>
      </c>
      <c r="F50" s="28">
        <f t="shared" si="31"/>
        <v>1251.7709999999997</v>
      </c>
      <c r="G50" s="28">
        <f t="shared" si="31"/>
        <v>-2946.6710000000003</v>
      </c>
      <c r="H50" s="28">
        <f>H48+H49</f>
        <v>983.36799999999994</v>
      </c>
      <c r="I50" s="28">
        <f>I48+I49</f>
        <v>-284.00099999999998</v>
      </c>
      <c r="K50" s="6" t="s">
        <v>56</v>
      </c>
      <c r="L50" s="6"/>
      <c r="M50" s="15">
        <f>SUM(M36+M6+M45+M46+M47+M48+M10)</f>
        <v>8109.6828890000006</v>
      </c>
      <c r="N50" s="15">
        <f>SUM(N36+N6+N45+N46+N47+N48+N10)</f>
        <v>12523.108</v>
      </c>
      <c r="O50" s="15">
        <f>SUM(O36+O6+O45+O46+O47+O48+O10)</f>
        <v>14050.844000000001</v>
      </c>
      <c r="P50" s="15">
        <f>SUM(P36+P6+P45+P46+P47+P48+P10)</f>
        <v>11123.254000000001</v>
      </c>
      <c r="Q50" s="15">
        <f>SUM(Q36+Q6+Q45+Q46+Q47+Q48+Q10)</f>
        <v>10129.683000000001</v>
      </c>
      <c r="R50" s="15">
        <f>SUM(R36+R6+R45+R46+R47+R48+R10)</f>
        <v>12438.23</v>
      </c>
      <c r="S50" s="15">
        <f>SUM(S36+S6+S45+S46+S47+S48+S8)</f>
        <v>16773.779000000002</v>
      </c>
      <c r="T50" s="131">
        <f>SUM(T36+T6+T45+T46+T47+T48+T8)</f>
        <v>17406.559000000001</v>
      </c>
    </row>
    <row r="51" spans="1:20" x14ac:dyDescent="0.35">
      <c r="A51" s="52"/>
      <c r="B51" s="49"/>
      <c r="C51" s="49"/>
      <c r="D51" s="49"/>
      <c r="E51" s="49"/>
      <c r="F51" s="49"/>
      <c r="G51" s="49"/>
      <c r="H51" s="49"/>
      <c r="I51" s="49"/>
    </row>
    <row r="52" spans="1:20" x14ac:dyDescent="0.35">
      <c r="A52" s="21" t="s">
        <v>82</v>
      </c>
      <c r="B52" s="29" t="s">
        <v>2</v>
      </c>
      <c r="C52" s="29" t="s">
        <v>3</v>
      </c>
      <c r="D52" s="29" t="s">
        <v>4</v>
      </c>
      <c r="E52" s="29" t="s">
        <v>5</v>
      </c>
      <c r="F52" s="29" t="s">
        <v>6</v>
      </c>
      <c r="G52" s="29" t="s">
        <v>112</v>
      </c>
      <c r="H52" s="29" t="s">
        <v>182</v>
      </c>
      <c r="I52" s="29" t="s">
        <v>191</v>
      </c>
      <c r="K52" s="29" t="s">
        <v>99</v>
      </c>
      <c r="L52" s="29"/>
      <c r="M52" s="29"/>
      <c r="N52" s="29"/>
      <c r="O52" s="29"/>
      <c r="P52" s="29"/>
      <c r="Q52" s="29"/>
      <c r="R52" s="29"/>
      <c r="S52" s="29"/>
      <c r="T52" s="7"/>
    </row>
    <row r="53" spans="1:20" x14ac:dyDescent="0.35">
      <c r="A53" s="7" t="s">
        <v>86</v>
      </c>
      <c r="B53" s="63">
        <v>200520400</v>
      </c>
      <c r="C53" s="63">
        <v>40104080</v>
      </c>
      <c r="D53" s="63">
        <v>200520400</v>
      </c>
      <c r="E53" s="63">
        <v>200520400</v>
      </c>
      <c r="F53" s="63">
        <v>200520400</v>
      </c>
      <c r="G53" s="63">
        <v>200520400</v>
      </c>
      <c r="H53" s="63">
        <v>200520400</v>
      </c>
      <c r="I53" s="151">
        <f>H53</f>
        <v>200520400</v>
      </c>
      <c r="K53" s="22"/>
      <c r="L53" s="22"/>
      <c r="M53" s="29" t="s">
        <v>2</v>
      </c>
      <c r="N53" s="29" t="s">
        <v>3</v>
      </c>
      <c r="O53" s="29" t="s">
        <v>4</v>
      </c>
      <c r="P53" s="29" t="s">
        <v>5</v>
      </c>
      <c r="Q53" s="29" t="s">
        <v>6</v>
      </c>
      <c r="R53" s="29" t="s">
        <v>112</v>
      </c>
      <c r="S53" s="29" t="s">
        <v>182</v>
      </c>
      <c r="T53" s="29" t="s">
        <v>191</v>
      </c>
    </row>
    <row r="54" spans="1:20" x14ac:dyDescent="0.35">
      <c r="A54" s="7" t="s">
        <v>87</v>
      </c>
      <c r="B54" s="34">
        <f>M54*B53/1000000</f>
        <v>51774.367279999999</v>
      </c>
      <c r="C54" s="34">
        <f>N54*C53/1000000</f>
        <v>26990.045839999999</v>
      </c>
      <c r="D54" s="34">
        <f>O54*D53/1000000</f>
        <v>14216.896360000002</v>
      </c>
      <c r="E54" s="34">
        <f>P54*E53/1000000</f>
        <v>6416.6527999999998</v>
      </c>
      <c r="F54" s="34">
        <f>Q54*F53/1000000</f>
        <v>9655.0572599999996</v>
      </c>
      <c r="G54" s="34">
        <f>R54*G53/1000000</f>
        <v>56165.764040000009</v>
      </c>
      <c r="H54" s="34">
        <f>S54*H53/1000000</f>
        <v>64286.840240000005</v>
      </c>
      <c r="I54" s="34">
        <f>T54*I53/1000000</f>
        <v>62341.792359999992</v>
      </c>
      <c r="K54" s="22" t="s">
        <v>100</v>
      </c>
      <c r="L54" s="22"/>
      <c r="M54" s="64">
        <v>258.2</v>
      </c>
      <c r="N54" s="106">
        <v>673</v>
      </c>
      <c r="O54" s="106">
        <v>70.900000000000006</v>
      </c>
      <c r="P54" s="106">
        <v>32</v>
      </c>
      <c r="Q54" s="106">
        <v>48.15</v>
      </c>
      <c r="R54" s="106">
        <v>280.10000000000002</v>
      </c>
      <c r="S54" s="106">
        <v>320.60000000000002</v>
      </c>
      <c r="T54" s="152">
        <v>310.89999999999998</v>
      </c>
    </row>
    <row r="55" spans="1:20" x14ac:dyDescent="0.35">
      <c r="A55" s="7" t="s">
        <v>88</v>
      </c>
      <c r="B55" s="24">
        <f t="shared" ref="B55:I55" si="32">M10</f>
        <v>3427.4195259999997</v>
      </c>
      <c r="C55" s="24">
        <f t="shared" si="32"/>
        <v>5175.4750000000004</v>
      </c>
      <c r="D55" s="24">
        <f t="shared" si="32"/>
        <v>5741.2000000000007</v>
      </c>
      <c r="E55" s="24">
        <f t="shared" si="32"/>
        <v>5005.3140000000003</v>
      </c>
      <c r="F55" s="24">
        <f t="shared" si="32"/>
        <v>4436.4709999999995</v>
      </c>
      <c r="G55" s="34">
        <f t="shared" si="32"/>
        <v>5986.0450000000001</v>
      </c>
      <c r="H55" s="34">
        <f>S10</f>
        <v>8373.7219999999998</v>
      </c>
      <c r="I55" s="34">
        <f t="shared" si="32"/>
        <v>8830.83</v>
      </c>
      <c r="K55" s="22" t="s">
        <v>101</v>
      </c>
      <c r="L55" s="22"/>
      <c r="M55" s="30">
        <f>B35</f>
        <v>3.31</v>
      </c>
      <c r="N55" s="30">
        <f>C35</f>
        <v>2.92</v>
      </c>
      <c r="O55" s="30">
        <f>D35</f>
        <v>1.5</v>
      </c>
      <c r="P55" s="30">
        <f>E35</f>
        <v>1.42</v>
      </c>
      <c r="Q55" s="30">
        <f>F35</f>
        <v>2.2000000000000002</v>
      </c>
      <c r="R55" s="30">
        <f>G35</f>
        <v>5.45</v>
      </c>
      <c r="S55" s="30">
        <v>5.77</v>
      </c>
      <c r="T55" s="153">
        <v>3.77</v>
      </c>
    </row>
    <row r="56" spans="1:20" x14ac:dyDescent="0.35">
      <c r="A56" s="7" t="s">
        <v>89</v>
      </c>
      <c r="B56" s="39">
        <f>M30</f>
        <v>42.742638999999997</v>
      </c>
      <c r="C56" s="39">
        <f t="shared" ref="C56:I56" si="33">N30</f>
        <v>107.22499999999999</v>
      </c>
      <c r="D56" s="39">
        <f t="shared" si="33"/>
        <v>97.751999999999995</v>
      </c>
      <c r="E56" s="39">
        <f t="shared" si="33"/>
        <v>66.097000000000008</v>
      </c>
      <c r="F56" s="39">
        <f t="shared" si="33"/>
        <v>140.256</v>
      </c>
      <c r="G56" s="39">
        <f t="shared" si="33"/>
        <v>94.09</v>
      </c>
      <c r="H56" s="39">
        <f t="shared" si="33"/>
        <v>127.14000000000001</v>
      </c>
      <c r="I56" s="39">
        <f t="shared" si="33"/>
        <v>43.023000000000003</v>
      </c>
      <c r="K56" s="22" t="s">
        <v>102</v>
      </c>
      <c r="L56" s="22"/>
      <c r="M56" s="19">
        <f>M6*1000000/B53</f>
        <v>13.53665739745183</v>
      </c>
      <c r="N56" s="19">
        <f>N6*1000000/C53</f>
        <v>81.293050482644162</v>
      </c>
      <c r="O56" s="19">
        <f>O6*1000000/D53</f>
        <v>17.476211896644934</v>
      </c>
      <c r="P56" s="19">
        <f>P6*1000000/E53</f>
        <v>18.762839092680846</v>
      </c>
      <c r="Q56" s="19">
        <f>Q6*1000000/F53</f>
        <v>20.967512532390721</v>
      </c>
      <c r="R56" s="19">
        <f>R6*1000000/G53</f>
        <v>26.714613575476616</v>
      </c>
      <c r="S56" s="19">
        <f>S6*1000000/H53</f>
        <v>32.4145922310149</v>
      </c>
      <c r="T56" s="154">
        <f>T6*1000000/I53</f>
        <v>35.860346378722568</v>
      </c>
    </row>
    <row r="57" spans="1:20" x14ac:dyDescent="0.35">
      <c r="A57" s="7" t="s">
        <v>90</v>
      </c>
      <c r="B57" s="39">
        <f t="shared" ref="B57:G57" si="34">M31</f>
        <v>72.597342999999995</v>
      </c>
      <c r="C57" s="39">
        <f t="shared" si="34"/>
        <v>143.57900000000001</v>
      </c>
      <c r="D57" s="39">
        <f t="shared" si="34"/>
        <v>245.44800000000001</v>
      </c>
      <c r="E57" s="39">
        <f t="shared" si="34"/>
        <v>145.43599999999998</v>
      </c>
      <c r="F57" s="39">
        <f t="shared" si="34"/>
        <v>201.84</v>
      </c>
      <c r="G57" s="39">
        <f t="shared" si="34"/>
        <v>245.45700000000002</v>
      </c>
      <c r="H57" s="39">
        <f t="shared" ref="H57:I57" si="35">S31</f>
        <v>2991.931</v>
      </c>
      <c r="I57" s="39">
        <f t="shared" si="35"/>
        <v>3002.4830000000002</v>
      </c>
      <c r="K57" s="22" t="s">
        <v>110</v>
      </c>
      <c r="L57" s="7"/>
      <c r="M57" s="39">
        <v>0.25</v>
      </c>
      <c r="N57" s="39">
        <v>0.25</v>
      </c>
      <c r="O57" s="39">
        <v>0.05</v>
      </c>
      <c r="P57" s="39">
        <v>0.05</v>
      </c>
      <c r="Q57" s="39">
        <v>0.15</v>
      </c>
      <c r="R57" s="39">
        <v>0.25</v>
      </c>
      <c r="S57" s="58">
        <v>0.1</v>
      </c>
      <c r="T57" s="155">
        <v>0.2</v>
      </c>
    </row>
    <row r="58" spans="1:20" x14ac:dyDescent="0.35">
      <c r="A58" s="6" t="s">
        <v>91</v>
      </c>
      <c r="B58" s="25">
        <f>B54+B55-B56-B57</f>
        <v>55086.446823999999</v>
      </c>
      <c r="C58" s="25">
        <f t="shared" ref="C58:G58" si="36">C54+C55-C56-C57</f>
        <v>31914.716839999997</v>
      </c>
      <c r="D58" s="25">
        <f t="shared" si="36"/>
        <v>19614.896360000002</v>
      </c>
      <c r="E58" s="25">
        <f t="shared" si="36"/>
        <v>11210.433800000001</v>
      </c>
      <c r="F58" s="25">
        <f t="shared" si="36"/>
        <v>13749.43226</v>
      </c>
      <c r="G58" s="25">
        <f t="shared" si="36"/>
        <v>61812.262040000009</v>
      </c>
      <c r="H58" s="25">
        <f t="shared" ref="H58" si="37">H54+H55-H56-H57</f>
        <v>69541.491240000003</v>
      </c>
      <c r="I58" s="25">
        <f>I54+I55-I56-I57</f>
        <v>68127.116359999985</v>
      </c>
      <c r="K58" s="22" t="s">
        <v>108</v>
      </c>
      <c r="L58" s="22"/>
      <c r="M58" s="39">
        <f t="shared" ref="M58:R58" si="38">M54/M55</f>
        <v>78.006042296072508</v>
      </c>
      <c r="N58" s="39">
        <f>N54/N55</f>
        <v>230.47945205479454</v>
      </c>
      <c r="O58" s="39">
        <f>O54/O55</f>
        <v>47.266666666666673</v>
      </c>
      <c r="P58" s="39">
        <f t="shared" si="38"/>
        <v>22.535211267605636</v>
      </c>
      <c r="Q58" s="39">
        <f>Q54/Q55</f>
        <v>21.886363636363633</v>
      </c>
      <c r="R58" s="39">
        <f t="shared" si="38"/>
        <v>51.394495412844037</v>
      </c>
      <c r="S58" s="58">
        <f>S54/S55</f>
        <v>55.563258232235711</v>
      </c>
      <c r="T58" s="155">
        <f>T54/T55</f>
        <v>82.466843501326252</v>
      </c>
    </row>
    <row r="59" spans="1:20" x14ac:dyDescent="0.35">
      <c r="H59" s="50"/>
      <c r="I59" s="50"/>
      <c r="K59" s="22" t="s">
        <v>92</v>
      </c>
      <c r="L59" s="22"/>
      <c r="M59" s="14">
        <f t="shared" ref="M59:R59" si="39">M54/M56</f>
        <v>19.07413273594441</v>
      </c>
      <c r="N59" s="14">
        <f t="shared" si="39"/>
        <v>8.2786904416101788</v>
      </c>
      <c r="O59" s="14">
        <f t="shared" si="39"/>
        <v>4.0569432563135335</v>
      </c>
      <c r="P59" s="14">
        <f t="shared" si="39"/>
        <v>1.7054988236019575</v>
      </c>
      <c r="Q59" s="14">
        <f t="shared" si="39"/>
        <v>2.2964097398591097</v>
      </c>
      <c r="R59" s="14">
        <f t="shared" si="39"/>
        <v>10.484898058084779</v>
      </c>
      <c r="S59" s="14">
        <f>S54/S56</f>
        <v>9.8906072214366407</v>
      </c>
      <c r="T59" s="14">
        <f>T54/T56</f>
        <v>8.6697433626706371</v>
      </c>
    </row>
    <row r="60" spans="1:20" x14ac:dyDescent="0.35">
      <c r="H60" s="57"/>
      <c r="I60" s="57"/>
      <c r="K60" s="22" t="s">
        <v>93</v>
      </c>
      <c r="L60" s="22"/>
      <c r="M60" s="39">
        <f t="shared" ref="M60:T60" si="40">B58/B14</f>
        <v>39.976382836043626</v>
      </c>
      <c r="N60" s="39">
        <f t="shared" si="40"/>
        <v>17.313423672431394</v>
      </c>
      <c r="O60" s="39">
        <f t="shared" si="40"/>
        <v>9.8425121294612072</v>
      </c>
      <c r="P60" s="39">
        <f t="shared" si="40"/>
        <v>8.0628676518184452</v>
      </c>
      <c r="Q60" s="39">
        <f t="shared" si="40"/>
        <v>11.818369736847755</v>
      </c>
      <c r="R60" s="39">
        <f t="shared" si="40"/>
        <v>28.575446190118466</v>
      </c>
      <c r="S60" s="58">
        <f t="shared" si="40"/>
        <v>29.182819367509328</v>
      </c>
      <c r="T60" s="58">
        <f>I58/I14</f>
        <v>37.176636804409178</v>
      </c>
    </row>
    <row r="61" spans="1:20" x14ac:dyDescent="0.35">
      <c r="H61" s="57"/>
      <c r="I61" s="57"/>
      <c r="K61" s="22" t="s">
        <v>103</v>
      </c>
      <c r="L61" s="22"/>
      <c r="M61" s="31">
        <f>B25/M6</f>
        <v>0.2446598897002607</v>
      </c>
      <c r="N61" s="31">
        <f>C25/N6</f>
        <v>0.18002179632247492</v>
      </c>
      <c r="O61" s="31">
        <f>D25/O6</f>
        <v>8.7558074466011701E-2</v>
      </c>
      <c r="P61" s="31">
        <f>E25/P6</f>
        <v>7.5705971721793011E-2</v>
      </c>
      <c r="Q61" s="31">
        <f>F25/Q6</f>
        <v>0.10514711443735095</v>
      </c>
      <c r="R61" s="31">
        <f>G25/R6</f>
        <v>0.20384761495848752</v>
      </c>
      <c r="S61" s="31">
        <f>H25/S6</f>
        <v>0.17803152626386048</v>
      </c>
      <c r="T61" s="31">
        <f>I25/T6</f>
        <v>0.1052018216228644</v>
      </c>
    </row>
    <row r="62" spans="1:20" x14ac:dyDescent="0.35">
      <c r="H62" s="51"/>
      <c r="I62" s="51"/>
      <c r="K62" s="22" t="s">
        <v>104</v>
      </c>
      <c r="L62" s="22"/>
      <c r="M62" s="31">
        <f>(B21+B19)/M11</f>
        <v>0.23080148784680865</v>
      </c>
      <c r="N62" s="31">
        <f t="shared" ref="N62:T62" si="41">(C21+C19)/N11</f>
        <v>0.22068542486018727</v>
      </c>
      <c r="O62" s="31">
        <f t="shared" si="41"/>
        <v>0.16311578383935857</v>
      </c>
      <c r="P62" s="31">
        <f t="shared" si="41"/>
        <v>0.18411088547263735</v>
      </c>
      <c r="Q62" s="31">
        <f t="shared" si="41"/>
        <v>0.20463618776375489</v>
      </c>
      <c r="R62" s="31">
        <f t="shared" si="41"/>
        <v>0.2920801511857879</v>
      </c>
      <c r="S62" s="31">
        <f>(H21+H19)/S11</f>
        <v>0.21932799968837238</v>
      </c>
      <c r="T62" s="31">
        <f t="shared" si="41"/>
        <v>0.16221360065185073</v>
      </c>
    </row>
    <row r="63" spans="1:20" x14ac:dyDescent="0.35">
      <c r="K63" s="22" t="s">
        <v>105</v>
      </c>
      <c r="L63" s="22"/>
      <c r="M63" s="30">
        <f>M10/M6</f>
        <v>1.2626915289401421</v>
      </c>
      <c r="N63" s="30">
        <f>N10/N6</f>
        <v>1.5874799052691215</v>
      </c>
      <c r="O63" s="30">
        <f>O10/O6</f>
        <v>1.6383127535964721</v>
      </c>
      <c r="P63" s="30">
        <f>P10/P6</f>
        <v>1.3303754160983134</v>
      </c>
      <c r="Q63" s="30">
        <f>Q10/Q6</f>
        <v>1.0551936607574799</v>
      </c>
      <c r="R63" s="30">
        <f>R10/R6</f>
        <v>1.1174613693745827</v>
      </c>
      <c r="S63" s="30">
        <f>S10/S6</f>
        <v>1.2883071399108923</v>
      </c>
      <c r="T63" s="30">
        <f>T10/T6</f>
        <v>1.2280851557372956</v>
      </c>
    </row>
    <row r="64" spans="1:20" x14ac:dyDescent="0.35">
      <c r="H64" s="62"/>
      <c r="I64" s="62"/>
      <c r="K64" s="22" t="s">
        <v>94</v>
      </c>
      <c r="L64" s="22"/>
      <c r="M64" s="30">
        <f>(M10-SUM(M30:M31))/M6</f>
        <v>1.2201992640992874</v>
      </c>
      <c r="N64" s="30">
        <f>(N10-SUM(N30:N31))/N6</f>
        <v>1.5105504813686841</v>
      </c>
      <c r="O64" s="30">
        <f>(O10-SUM(O30:O31))/O6</f>
        <v>1.5403769671695389</v>
      </c>
      <c r="P64" s="30">
        <f>(P10-SUM(P30:P31))/P6</f>
        <v>1.2741515102867049</v>
      </c>
      <c r="Q64" s="30">
        <f>(Q10-SUM(Q30:Q31))/Q6</f>
        <v>0.9738277438901114</v>
      </c>
      <c r="R64" s="30">
        <f>(R10-SUM(R30:R31))/R6</f>
        <v>1.0540755018131074</v>
      </c>
      <c r="S64" s="30">
        <f>(S10-SUM(S30:S31))/S6</f>
        <v>0.80843433792522734</v>
      </c>
      <c r="T64" s="30">
        <f>(T10-SUM(T30:T31))/T6</f>
        <v>0.8045529724307583</v>
      </c>
    </row>
    <row r="65" spans="2:20" x14ac:dyDescent="0.35">
      <c r="D65" t="s">
        <v>126</v>
      </c>
      <c r="H65" s="62"/>
      <c r="I65" s="62"/>
      <c r="K65" s="22" t="s">
        <v>111</v>
      </c>
      <c r="L65" s="7"/>
      <c r="M65" s="35">
        <f>M57/M54</f>
        <v>9.6824167312161119E-4</v>
      </c>
      <c r="N65" s="35">
        <f t="shared" ref="N65:Q65" si="42">N57/N54</f>
        <v>3.714710252600297E-4</v>
      </c>
      <c r="O65" s="35">
        <f t="shared" si="42"/>
        <v>7.0521861777150916E-4</v>
      </c>
      <c r="P65" s="35">
        <f t="shared" si="42"/>
        <v>1.5625000000000001E-3</v>
      </c>
      <c r="Q65" s="35">
        <f t="shared" si="42"/>
        <v>3.1152647975077881E-3</v>
      </c>
      <c r="R65" s="35">
        <f>R57/R54</f>
        <v>8.925383791503034E-4</v>
      </c>
      <c r="S65" s="35">
        <f>S57/S54</f>
        <v>3.1191515907673113E-4</v>
      </c>
      <c r="T65" s="35">
        <f t="shared" ref="S65:T65" si="43">T57/T54</f>
        <v>6.4329366355741406E-4</v>
      </c>
    </row>
    <row r="66" spans="2:20" x14ac:dyDescent="0.35">
      <c r="K66" s="22" t="s">
        <v>95</v>
      </c>
      <c r="L66" s="22"/>
      <c r="M66" s="65">
        <f>AVERAGE(L29:M29/(B4+B20)*365)</f>
        <v>65.25098245800622</v>
      </c>
      <c r="N66" s="65">
        <f>AVERAGE(M29:N29/(C4+C20)*365)</f>
        <v>87.348866145505127</v>
      </c>
      <c r="O66" s="65">
        <f>AVERAGE(N29:O29/(D4+D20)*365)</f>
        <v>60.020171387266345</v>
      </c>
      <c r="P66" s="65">
        <f>AVERAGE(O29:P29/(E4+E20)*365)</f>
        <v>70.82588441466622</v>
      </c>
      <c r="Q66" s="65">
        <f>AVERAGE(P29:Q29/(F4+F20)*365)</f>
        <v>80.744979623764749</v>
      </c>
      <c r="R66" s="65">
        <f>AVERAGE(Q29:R29/(G4+G20)*365)</f>
        <v>68.021515043775167</v>
      </c>
      <c r="S66" s="65">
        <f>AVERAGE(R29:S29/(H4+H20)*365)</f>
        <v>87.885584341154342</v>
      </c>
      <c r="T66" s="65">
        <f>AVERAGE(S29:T29/(I4+I20)*365)</f>
        <v>105.63739226724725</v>
      </c>
    </row>
    <row r="67" spans="2:20" x14ac:dyDescent="0.35">
      <c r="K67" s="7" t="s">
        <v>96</v>
      </c>
      <c r="L67" s="7"/>
      <c r="M67" s="65">
        <f>(AVERAGE(L38:M38)/(B7-B13-B12)*365)</f>
        <v>129.85413297225347</v>
      </c>
      <c r="N67" s="65">
        <f>(AVERAGE(M38:N38)/(C7-C13-C12)*365)</f>
        <v>75.709046917479412</v>
      </c>
      <c r="O67" s="65">
        <f>(AVERAGE(N38:O38)/(D7-D13-D12)*365)</f>
        <v>77.656652374762018</v>
      </c>
      <c r="P67" s="65">
        <f>(AVERAGE(O38:P38)/(E7-E13-E12)*365)</f>
        <v>53.901151996755736</v>
      </c>
      <c r="Q67" s="65">
        <f>(AVERAGE(P38:Q38)/(F7-F13-F12)*365)</f>
        <v>39.012487090417814</v>
      </c>
      <c r="R67" s="65">
        <f>(AVERAGE(Q38:R38)/(G7-G13-G12)*365)</f>
        <v>19.83642009380355</v>
      </c>
      <c r="S67" s="65">
        <f>(AVERAGE(R38:S38)/(H7-H13-H12)*365)</f>
        <v>30.540946264886401</v>
      </c>
      <c r="T67" s="65">
        <f>(AVERAGE(S38:T38)/(I7-I13-I12)*365)</f>
        <v>36.702586815187196</v>
      </c>
    </row>
    <row r="68" spans="2:20" x14ac:dyDescent="0.35">
      <c r="K68" s="7" t="s">
        <v>97</v>
      </c>
      <c r="L68" s="7"/>
      <c r="M68" s="65">
        <f>(AVERAGE(L26:M26)/(B7-B12-B13))*365</f>
        <v>57.125713899056741</v>
      </c>
      <c r="N68" s="65">
        <f>(AVERAGE(M26:N26)/(C7-C12-C13))*365</f>
        <v>68.508661391989108</v>
      </c>
      <c r="O68" s="65">
        <f>(AVERAGE(N26:O26)/(D7-D12-D13))*365</f>
        <v>61.242556630904033</v>
      </c>
      <c r="P68" s="65">
        <f>(AVERAGE(O26:P26)/(E7-E12-E13))*365</f>
        <v>54.72778339960437</v>
      </c>
      <c r="Q68" s="65">
        <f>(AVERAGE(P26:Q26)/(F7-F12-F13))*365</f>
        <v>76.842535596625083</v>
      </c>
      <c r="R68" s="65">
        <f>(AVERAGE(Q26:R26)/(G7-G12-G13))*365</f>
        <v>52.407514183598316</v>
      </c>
      <c r="S68" s="65">
        <f>(AVERAGE(R26:S26)/(H7-H12-H13))*365</f>
        <v>73.512741050399171</v>
      </c>
      <c r="T68" s="65">
        <f>(AVERAGE(S26:T26)/(I7-I12-I13))*365</f>
        <v>90.693677602164271</v>
      </c>
    </row>
    <row r="69" spans="2:20" x14ac:dyDescent="0.35">
      <c r="K69" s="7" t="s">
        <v>98</v>
      </c>
      <c r="L69" s="7"/>
      <c r="M69" s="65">
        <f>M66+M68-M67</f>
        <v>-7.4774366151904985</v>
      </c>
      <c r="N69" s="65">
        <f>N66+N68-N67</f>
        <v>80.148480620014823</v>
      </c>
      <c r="O69" s="65">
        <f t="shared" ref="O69:Q69" si="44">O66+O68-O67</f>
        <v>43.60607564340836</v>
      </c>
      <c r="P69" s="65">
        <f t="shared" si="44"/>
        <v>71.652515817514853</v>
      </c>
      <c r="Q69" s="65">
        <f t="shared" si="44"/>
        <v>118.57502812997203</v>
      </c>
      <c r="R69" s="65">
        <f t="shared" ref="R69" si="45">R66+R68-R67</f>
        <v>100.59260913356994</v>
      </c>
      <c r="S69" s="65">
        <f>S66+S68-S67</f>
        <v>130.8573791266671</v>
      </c>
      <c r="T69" s="65">
        <f>T66+T68-T67</f>
        <v>159.62848305422432</v>
      </c>
    </row>
    <row r="70" spans="2:20" x14ac:dyDescent="0.35">
      <c r="K70" s="22" t="s">
        <v>106</v>
      </c>
      <c r="L70" s="22"/>
      <c r="M70" s="33">
        <f>B4/(AVERAGE(L14:M14))</f>
        <v>3.6335821006652367</v>
      </c>
      <c r="N70" s="33">
        <f>C4/(AVERAGE(M14:N14))</f>
        <v>4.7518330133638962</v>
      </c>
      <c r="O70" s="33">
        <f>D4/(AVERAGE(N14:O14))</f>
        <v>4.6037001794457781</v>
      </c>
      <c r="P70" s="33">
        <f>E4/(AVERAGE(O14:P14))</f>
        <v>5.1075469982367059</v>
      </c>
      <c r="Q70" s="33">
        <f>F4/(AVERAGE(P14:Q14))</f>
        <v>6.5497548199286326</v>
      </c>
      <c r="R70" s="33">
        <f>G4/(AVERAGE(Q14:R14))</f>
        <v>11.957203410420396</v>
      </c>
      <c r="S70" s="33">
        <f>H4/(AVERAGE(R14:S14))</f>
        <v>7.2771843182308746</v>
      </c>
      <c r="T70" s="33">
        <f>I4/(AVERAGE(S14:T14))</f>
        <v>5.007170888511177</v>
      </c>
    </row>
    <row r="71" spans="2:20" x14ac:dyDescent="0.35">
      <c r="K71" s="22" t="s">
        <v>107</v>
      </c>
      <c r="L71" s="22"/>
      <c r="M71" s="32">
        <f>(B14-B18-B19)/B19</f>
        <v>1.4834772890239505</v>
      </c>
      <c r="N71" s="32">
        <f>(C14-C18+C20)/C19</f>
        <v>2.5809712436149845</v>
      </c>
      <c r="O71" s="32">
        <f>(D14-D18+D20)/D19</f>
        <v>1.5968619261047337</v>
      </c>
      <c r="P71" s="32">
        <f>(E14-E18+E20)/E19</f>
        <v>1.643111036022362</v>
      </c>
      <c r="Q71" s="32">
        <f>(F14-F18+F20)/F19</f>
        <v>2.2651200032433318</v>
      </c>
      <c r="R71" s="32">
        <f>(G14-G18+G20)/G19</f>
        <v>4.2577166779058979</v>
      </c>
      <c r="S71" s="32">
        <f>(H14-H18+H20)/H19</f>
        <v>3.9738022709460199</v>
      </c>
      <c r="T71" s="32">
        <f>(I14-I18+I20)/I19</f>
        <v>3.0752813128879595</v>
      </c>
    </row>
    <row r="73" spans="2:20" ht="14.75" hidden="1" customHeight="1" x14ac:dyDescent="0.35"/>
    <row r="74" spans="2:20" x14ac:dyDescent="0.35">
      <c r="B74" s="62"/>
      <c r="C74" s="62"/>
      <c r="D74" s="62"/>
      <c r="E74" s="62"/>
      <c r="F74" s="62"/>
      <c r="G74" s="62"/>
      <c r="H74" s="62"/>
      <c r="I74" s="62"/>
    </row>
  </sheetData>
  <mergeCells count="2">
    <mergeCell ref="A2:I2"/>
    <mergeCell ref="K2:T2"/>
  </mergeCells>
  <pageMargins left="0.98425196850393704" right="0.98425196850393704" top="0.98425196850393704" bottom="0.98425196850393704" header="0.51181102362204722" footer="0.51181102362204722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24"/>
  <sheetViews>
    <sheetView workbookViewId="0">
      <selection activeCell="I19" sqref="I19"/>
    </sheetView>
  </sheetViews>
  <sheetFormatPr defaultRowHeight="14.5" x14ac:dyDescent="0.35"/>
  <cols>
    <col min="2" max="2" width="34.54296875" bestFit="1" customWidth="1"/>
    <col min="3" max="5" width="9.6328125" bestFit="1" customWidth="1"/>
    <col min="7" max="7" width="32.453125" bestFit="1" customWidth="1"/>
    <col min="8" max="10" width="9.6328125" bestFit="1" customWidth="1"/>
  </cols>
  <sheetData>
    <row r="3" spans="2:10" x14ac:dyDescent="0.35">
      <c r="B3" s="1" t="s">
        <v>123</v>
      </c>
      <c r="C3" s="29" t="s">
        <v>5</v>
      </c>
      <c r="D3" s="29" t="s">
        <v>6</v>
      </c>
      <c r="E3" s="29" t="s">
        <v>7</v>
      </c>
      <c r="G3" s="1" t="s">
        <v>123</v>
      </c>
      <c r="H3" s="29" t="s">
        <v>5</v>
      </c>
      <c r="I3" s="29" t="s">
        <v>6</v>
      </c>
      <c r="J3" s="29" t="s">
        <v>7</v>
      </c>
    </row>
    <row r="4" spans="2:10" x14ac:dyDescent="0.35">
      <c r="B4" s="1" t="s">
        <v>118</v>
      </c>
      <c r="C4" s="36">
        <f>SUM(C5:C6)</f>
        <v>6732.9110000000001</v>
      </c>
      <c r="D4" s="36">
        <f t="shared" ref="D4:E4" si="0">SUM(D5:D6)</f>
        <v>10648.448</v>
      </c>
      <c r="E4" s="36">
        <f t="shared" si="0"/>
        <v>12205.86</v>
      </c>
      <c r="G4" s="1" t="s">
        <v>41</v>
      </c>
      <c r="H4" s="36">
        <f>SUM(H5:H12)</f>
        <v>3877.6019999999999</v>
      </c>
      <c r="I4" s="36">
        <v>3903</v>
      </c>
      <c r="J4" s="36">
        <v>4186</v>
      </c>
    </row>
    <row r="5" spans="2:10" x14ac:dyDescent="0.35">
      <c r="B5" s="7" t="s">
        <v>33</v>
      </c>
      <c r="C5" s="37">
        <v>964.36099999999999</v>
      </c>
      <c r="D5" s="37">
        <v>940.20699999999999</v>
      </c>
      <c r="E5" s="37">
        <v>940.20699999999999</v>
      </c>
      <c r="G5" s="7" t="s">
        <v>42</v>
      </c>
      <c r="H5" s="46">
        <v>3416.2570000000001</v>
      </c>
      <c r="I5" s="37">
        <v>3189.48</v>
      </c>
      <c r="J5" s="37">
        <v>3086.8429999999998</v>
      </c>
    </row>
    <row r="6" spans="2:10" x14ac:dyDescent="0.35">
      <c r="B6" s="7" t="s">
        <v>34</v>
      </c>
      <c r="C6" s="46">
        <v>5768.55</v>
      </c>
      <c r="D6" s="46">
        <v>9708.241</v>
      </c>
      <c r="E6" s="46">
        <v>11265.653</v>
      </c>
      <c r="G6" s="7" t="s">
        <v>43</v>
      </c>
      <c r="H6" s="48">
        <v>8.0229999999999997</v>
      </c>
      <c r="I6" s="46">
        <v>6.3639999999999999</v>
      </c>
      <c r="J6" s="46">
        <v>7.1310000000000002</v>
      </c>
    </row>
    <row r="7" spans="2:10" x14ac:dyDescent="0.35">
      <c r="B7" s="1" t="s">
        <v>119</v>
      </c>
      <c r="C7" s="37"/>
      <c r="D7" s="37"/>
      <c r="E7" s="37"/>
      <c r="G7" s="7" t="s">
        <v>44</v>
      </c>
      <c r="H7" s="46">
        <v>84.025000000000006</v>
      </c>
      <c r="I7" s="46">
        <v>90.662999999999997</v>
      </c>
      <c r="J7" s="46">
        <v>387.02</v>
      </c>
    </row>
    <row r="8" spans="2:10" x14ac:dyDescent="0.35">
      <c r="B8" s="45" t="s">
        <v>120</v>
      </c>
      <c r="C8" s="36">
        <f>SUM(C9:C12)</f>
        <v>608.73599999999999</v>
      </c>
      <c r="D8" s="36">
        <f>SUM(D9:D12)</f>
        <v>689.45399999999995</v>
      </c>
      <c r="E8" s="36">
        <f t="shared" ref="E8" si="1">SUM(E9:E12)</f>
        <v>642.61900000000003</v>
      </c>
      <c r="G8" s="7" t="s">
        <v>72</v>
      </c>
      <c r="H8" s="37">
        <v>284.738</v>
      </c>
      <c r="I8" s="37">
        <v>392.56099999999998</v>
      </c>
      <c r="J8" s="37">
        <v>366.04300000000001</v>
      </c>
    </row>
    <row r="9" spans="2:10" x14ac:dyDescent="0.35">
      <c r="B9" s="7" t="s">
        <v>54</v>
      </c>
      <c r="C9" s="46">
        <v>29.106000000000002</v>
      </c>
      <c r="D9" s="46">
        <v>36.94</v>
      </c>
      <c r="E9" s="46">
        <v>36.950000000000003</v>
      </c>
      <c r="G9" s="7" t="s">
        <v>45</v>
      </c>
      <c r="H9" s="37"/>
      <c r="I9" s="37"/>
      <c r="J9" s="37"/>
    </row>
    <row r="10" spans="2:10" x14ac:dyDescent="0.35">
      <c r="B10" s="18" t="s">
        <v>67</v>
      </c>
      <c r="C10" s="47">
        <v>34.649000000000001</v>
      </c>
      <c r="D10" s="47">
        <v>33.377000000000002</v>
      </c>
      <c r="E10" s="47">
        <v>32.326000000000001</v>
      </c>
      <c r="G10" s="16" t="s">
        <v>57</v>
      </c>
      <c r="H10" s="46">
        <v>12.506</v>
      </c>
      <c r="I10" s="46">
        <v>8.5169999999999995</v>
      </c>
      <c r="J10" s="46">
        <v>10.353999999999999</v>
      </c>
    </row>
    <row r="11" spans="2:10" x14ac:dyDescent="0.35">
      <c r="B11" s="7" t="s">
        <v>73</v>
      </c>
      <c r="C11" s="37">
        <v>170.71700000000001</v>
      </c>
      <c r="D11" s="37">
        <v>262.22199999999998</v>
      </c>
      <c r="E11" s="37">
        <v>226.93</v>
      </c>
      <c r="G11" s="16" t="s">
        <v>46</v>
      </c>
      <c r="H11" s="46">
        <v>41.198</v>
      </c>
      <c r="I11" s="46">
        <v>2.7909999999999999</v>
      </c>
      <c r="J11" s="46">
        <v>0</v>
      </c>
    </row>
    <row r="12" spans="2:10" x14ac:dyDescent="0.35">
      <c r="B12" s="7" t="s">
        <v>66</v>
      </c>
      <c r="C12" s="37">
        <v>374.26400000000001</v>
      </c>
      <c r="D12" s="37">
        <v>356.91500000000002</v>
      </c>
      <c r="E12" s="37">
        <v>346.41300000000001</v>
      </c>
      <c r="G12" s="7" t="s">
        <v>47</v>
      </c>
      <c r="H12" s="46">
        <v>30.855</v>
      </c>
      <c r="I12" s="46">
        <v>212.40799999999999</v>
      </c>
      <c r="J12" s="46">
        <v>328.74400000000003</v>
      </c>
    </row>
    <row r="13" spans="2:10" x14ac:dyDescent="0.35">
      <c r="B13" s="44" t="s">
        <v>121</v>
      </c>
      <c r="C13" s="36">
        <f>SUM(C15:C20)</f>
        <v>5209.0429999999988</v>
      </c>
      <c r="D13" s="36">
        <f t="shared" ref="D13:E13" si="2">SUM(D15:D20)</f>
        <v>6216.1209999999992</v>
      </c>
      <c r="E13" s="36">
        <f t="shared" si="2"/>
        <v>6901.5029999999997</v>
      </c>
      <c r="G13" s="1" t="s">
        <v>124</v>
      </c>
      <c r="H13" s="36">
        <f>SUM(H14:H23)</f>
        <v>8673.3479999999981</v>
      </c>
      <c r="I13" s="36">
        <v>13651</v>
      </c>
      <c r="J13" s="36">
        <v>15564</v>
      </c>
    </row>
    <row r="14" spans="2:10" x14ac:dyDescent="0.35">
      <c r="B14" s="7" t="s">
        <v>68</v>
      </c>
      <c r="C14" s="37"/>
      <c r="D14" s="37"/>
      <c r="E14" s="37"/>
      <c r="G14" s="7" t="s">
        <v>49</v>
      </c>
      <c r="H14" s="48">
        <v>2584.6990000000001</v>
      </c>
      <c r="I14" s="46">
        <v>3178.08</v>
      </c>
      <c r="J14" s="46">
        <v>3406.86</v>
      </c>
    </row>
    <row r="15" spans="2:10" x14ac:dyDescent="0.35">
      <c r="B15" s="7" t="s">
        <v>69</v>
      </c>
      <c r="C15" s="46">
        <v>4761.6479999999992</v>
      </c>
      <c r="D15" s="46">
        <v>5685.5119999999997</v>
      </c>
      <c r="E15" s="46">
        <v>6037.1239999999998</v>
      </c>
      <c r="G15" s="7" t="s">
        <v>45</v>
      </c>
      <c r="H15" s="37"/>
      <c r="I15" s="37"/>
      <c r="J15" s="37"/>
    </row>
    <row r="16" spans="2:10" x14ac:dyDescent="0.35">
      <c r="B16" s="7" t="s">
        <v>70</v>
      </c>
      <c r="C16" s="46">
        <v>196.81899999999999</v>
      </c>
      <c r="D16" s="46">
        <v>192.26</v>
      </c>
      <c r="E16" s="46">
        <v>202.53700000000001</v>
      </c>
      <c r="G16" s="7" t="s">
        <v>58</v>
      </c>
      <c r="H16" s="37">
        <v>1348.126</v>
      </c>
      <c r="I16" s="37">
        <v>4702.8310000000001</v>
      </c>
      <c r="J16" s="37">
        <v>6846.857</v>
      </c>
    </row>
    <row r="17" spans="2:10" x14ac:dyDescent="0.35">
      <c r="B17" s="7" t="s">
        <v>74</v>
      </c>
      <c r="C17" s="37">
        <v>122.116</v>
      </c>
      <c r="D17" s="37">
        <v>148.37799999999999</v>
      </c>
      <c r="E17" s="37">
        <v>166.779</v>
      </c>
      <c r="G17" s="17" t="s">
        <v>59</v>
      </c>
      <c r="H17" s="46">
        <v>2480.8319999999999</v>
      </c>
      <c r="I17" s="46">
        <v>3833.3539999999998</v>
      </c>
      <c r="J17" s="46">
        <v>2969.357</v>
      </c>
    </row>
    <row r="18" spans="2:10" x14ac:dyDescent="0.35">
      <c r="B18" s="7" t="s">
        <v>51</v>
      </c>
      <c r="C18" s="46">
        <v>104.455</v>
      </c>
      <c r="D18" s="46">
        <v>152.40600000000001</v>
      </c>
      <c r="E18" s="46">
        <v>278.55200000000002</v>
      </c>
      <c r="G18" s="17" t="s">
        <v>60</v>
      </c>
      <c r="H18" s="46">
        <v>1709.0440000000001</v>
      </c>
      <c r="I18" s="46">
        <v>660.77099999999996</v>
      </c>
      <c r="J18" s="46">
        <v>1009.53</v>
      </c>
    </row>
    <row r="19" spans="2:10" x14ac:dyDescent="0.35">
      <c r="B19" s="7" t="s">
        <v>52</v>
      </c>
      <c r="C19" s="46">
        <v>21.364000000000001</v>
      </c>
      <c r="D19" s="46">
        <v>24.673999999999999</v>
      </c>
      <c r="E19" s="46">
        <v>23.074000000000002</v>
      </c>
      <c r="G19" s="17" t="s">
        <v>61</v>
      </c>
      <c r="H19" s="46">
        <v>49.481000000000002</v>
      </c>
      <c r="I19" s="46">
        <v>406.72399999999999</v>
      </c>
      <c r="J19" s="46">
        <v>298.89600000000002</v>
      </c>
    </row>
    <row r="20" spans="2:10" x14ac:dyDescent="0.35">
      <c r="B20" s="7" t="s">
        <v>71</v>
      </c>
      <c r="C20" s="37">
        <v>2.641</v>
      </c>
      <c r="D20" s="37">
        <v>12.891</v>
      </c>
      <c r="E20" s="37">
        <v>193.43700000000001</v>
      </c>
      <c r="G20" s="7" t="s">
        <v>62</v>
      </c>
      <c r="H20" s="46">
        <v>8.9749999999999996</v>
      </c>
      <c r="I20" s="46">
        <v>6.4450000000000003</v>
      </c>
      <c r="J20" s="46">
        <v>7.03</v>
      </c>
    </row>
    <row r="21" spans="2:10" x14ac:dyDescent="0.35">
      <c r="B21" s="45" t="s">
        <v>56</v>
      </c>
      <c r="C21" s="36">
        <f>C13+C8</f>
        <v>5817.7789999999986</v>
      </c>
      <c r="D21" s="36">
        <f t="shared" ref="D21:E21" si="3">D13+D8</f>
        <v>6905.5749999999989</v>
      </c>
      <c r="E21" s="36">
        <f t="shared" si="3"/>
        <v>7544.1219999999994</v>
      </c>
      <c r="G21" s="17" t="s">
        <v>63</v>
      </c>
      <c r="H21" s="46">
        <v>71.988</v>
      </c>
      <c r="I21" s="46">
        <v>567.91600000000005</v>
      </c>
      <c r="J21" s="46">
        <v>647.68700000000001</v>
      </c>
    </row>
    <row r="22" spans="2:10" x14ac:dyDescent="0.35">
      <c r="B22" s="1" t="s">
        <v>122</v>
      </c>
      <c r="C22" s="36">
        <f>C21+C4</f>
        <v>12550.689999999999</v>
      </c>
      <c r="D22" s="36">
        <f t="shared" ref="D22:E22" si="4">D21+D4</f>
        <v>17554.023000000001</v>
      </c>
      <c r="E22" s="36">
        <f t="shared" si="4"/>
        <v>19749.982</v>
      </c>
      <c r="G22" s="7" t="s">
        <v>64</v>
      </c>
      <c r="H22" s="37">
        <v>102.75700000000001</v>
      </c>
      <c r="I22" s="37">
        <v>84.605999999999995</v>
      </c>
      <c r="J22" s="37">
        <v>79.823999999999998</v>
      </c>
    </row>
    <row r="23" spans="2:10" x14ac:dyDescent="0.35">
      <c r="G23" s="7" t="s">
        <v>65</v>
      </c>
      <c r="H23" s="37">
        <v>317.44600000000003</v>
      </c>
      <c r="I23" s="37">
        <v>209.86600000000001</v>
      </c>
      <c r="J23" s="37">
        <v>297.25099999999998</v>
      </c>
    </row>
    <row r="24" spans="2:10" x14ac:dyDescent="0.35">
      <c r="G24" s="1" t="s">
        <v>125</v>
      </c>
      <c r="H24" s="36">
        <f>SUM(H13+H4)</f>
        <v>12550.949999999997</v>
      </c>
      <c r="I24" s="36">
        <v>17554</v>
      </c>
      <c r="J24" s="36">
        <f t="shared" ref="J24" si="5">SUM(J13+J4)</f>
        <v>19750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17"/>
  <sheetViews>
    <sheetView workbookViewId="0">
      <selection activeCell="G11" sqref="G11"/>
    </sheetView>
  </sheetViews>
  <sheetFormatPr defaultRowHeight="14.5" x14ac:dyDescent="0.35"/>
  <cols>
    <col min="2" max="2" width="34.6328125" bestFit="1" customWidth="1"/>
    <col min="3" max="6" width="9.6328125" bestFit="1" customWidth="1"/>
  </cols>
  <sheetData>
    <row r="3" spans="2:6" x14ac:dyDescent="0.35">
      <c r="B3" s="1" t="s">
        <v>1</v>
      </c>
      <c r="C3" s="2" t="s">
        <v>4</v>
      </c>
      <c r="D3" s="2" t="s">
        <v>5</v>
      </c>
      <c r="E3" s="2" t="s">
        <v>6</v>
      </c>
      <c r="F3" s="2" t="s">
        <v>8</v>
      </c>
    </row>
    <row r="4" spans="2:6" x14ac:dyDescent="0.35">
      <c r="B4" s="1" t="s">
        <v>9</v>
      </c>
      <c r="C4" s="36">
        <v>31938.06</v>
      </c>
      <c r="D4" s="36">
        <v>27242.45</v>
      </c>
      <c r="E4" s="36">
        <v>31851.72</v>
      </c>
      <c r="F4" s="36">
        <v>35345.589999999997</v>
      </c>
    </row>
    <row r="5" spans="2:6" x14ac:dyDescent="0.35">
      <c r="B5" s="7" t="s">
        <v>12</v>
      </c>
      <c r="C5" s="37">
        <v>31004.510000000002</v>
      </c>
      <c r="D5" s="37">
        <v>25757.500000000004</v>
      </c>
      <c r="E5" s="37">
        <v>25162.45</v>
      </c>
      <c r="F5" s="37">
        <v>29369.449999999993</v>
      </c>
    </row>
    <row r="6" spans="2:6" x14ac:dyDescent="0.35">
      <c r="B6" s="1" t="s">
        <v>113</v>
      </c>
      <c r="C6" s="36">
        <v>933.54999999999927</v>
      </c>
      <c r="D6" s="36">
        <v>1484.9499999999971</v>
      </c>
      <c r="E6" s="36">
        <v>6689.27</v>
      </c>
      <c r="F6" s="36">
        <v>5976.1400000000031</v>
      </c>
    </row>
    <row r="7" spans="2:6" x14ac:dyDescent="0.35">
      <c r="B7" s="41" t="s">
        <v>114</v>
      </c>
      <c r="C7" s="42">
        <f>C6/C4</f>
        <v>2.9230015849428526E-2</v>
      </c>
      <c r="D7" s="42">
        <f t="shared" ref="D7:F7" si="0">D6/D4</f>
        <v>5.4508680386675834E-2</v>
      </c>
      <c r="E7" s="42">
        <f t="shared" si="0"/>
        <v>0.21001283447173341</v>
      </c>
      <c r="F7" s="42">
        <f t="shared" si="0"/>
        <v>0.16907738702338831</v>
      </c>
    </row>
    <row r="8" spans="2:6" x14ac:dyDescent="0.35">
      <c r="B8" s="7" t="s">
        <v>19</v>
      </c>
      <c r="C8" s="14">
        <v>232.72</v>
      </c>
      <c r="D8" s="14">
        <v>360.3</v>
      </c>
      <c r="E8" s="14">
        <v>391.43</v>
      </c>
      <c r="F8" s="14">
        <v>314.73</v>
      </c>
    </row>
    <row r="9" spans="2:6" x14ac:dyDescent="0.35">
      <c r="B9" s="7" t="s">
        <v>20</v>
      </c>
      <c r="C9" s="37">
        <v>39.03</v>
      </c>
      <c r="D9" s="37">
        <v>64.94</v>
      </c>
      <c r="E9" s="37">
        <v>72.7</v>
      </c>
      <c r="F9" s="37">
        <v>45.28</v>
      </c>
    </row>
    <row r="10" spans="2:6" x14ac:dyDescent="0.35">
      <c r="B10" s="7" t="s">
        <v>21</v>
      </c>
      <c r="C10" s="37">
        <v>99.8</v>
      </c>
      <c r="D10" s="37">
        <v>119.21</v>
      </c>
      <c r="E10" s="37">
        <v>212.78</v>
      </c>
      <c r="F10" s="37">
        <v>211.11</v>
      </c>
    </row>
    <row r="11" spans="2:6" x14ac:dyDescent="0.35">
      <c r="B11" s="1" t="s">
        <v>22</v>
      </c>
      <c r="C11" s="36">
        <v>761.59999999999923</v>
      </c>
      <c r="D11" s="36">
        <v>1178.9199999999971</v>
      </c>
      <c r="E11" s="36">
        <v>6437.92</v>
      </c>
      <c r="F11" s="36">
        <v>5827.2400000000034</v>
      </c>
    </row>
    <row r="12" spans="2:6" x14ac:dyDescent="0.35">
      <c r="B12" s="7" t="s">
        <v>115</v>
      </c>
      <c r="C12" s="37">
        <v>269.56</v>
      </c>
      <c r="D12" s="37">
        <v>152.4</v>
      </c>
      <c r="E12" s="37">
        <v>1662.91</v>
      </c>
      <c r="F12" s="37">
        <v>1448.58</v>
      </c>
    </row>
    <row r="13" spans="2:6" x14ac:dyDescent="0.35">
      <c r="B13" s="1" t="s">
        <v>24</v>
      </c>
      <c r="C13" s="36">
        <v>492.03999999999922</v>
      </c>
      <c r="D13" s="36">
        <v>1026.519999999997</v>
      </c>
      <c r="E13" s="36">
        <v>4775.01</v>
      </c>
      <c r="F13" s="36">
        <v>4378.6600000000035</v>
      </c>
    </row>
    <row r="14" spans="2:6" x14ac:dyDescent="0.35">
      <c r="B14" s="41" t="s">
        <v>116</v>
      </c>
      <c r="C14" s="42">
        <v>1.5406070374969525E-2</v>
      </c>
      <c r="D14" s="42">
        <v>3.768089874442266E-2</v>
      </c>
      <c r="E14" s="42">
        <v>0.14991372522425792</v>
      </c>
      <c r="F14" s="42">
        <v>0.1238813668126633</v>
      </c>
    </row>
    <row r="15" spans="2:6" x14ac:dyDescent="0.35">
      <c r="B15" s="7" t="s">
        <v>26</v>
      </c>
      <c r="C15" s="40">
        <v>-0.13900000000000001</v>
      </c>
      <c r="D15" s="40">
        <v>-5.64</v>
      </c>
      <c r="E15" s="40">
        <v>-8</v>
      </c>
      <c r="F15" s="40"/>
    </row>
    <row r="16" spans="2:6" x14ac:dyDescent="0.35">
      <c r="B16" s="1" t="s">
        <v>27</v>
      </c>
      <c r="C16" s="43">
        <v>491.90099999999921</v>
      </c>
      <c r="D16" s="43">
        <v>1020.879999999997</v>
      </c>
      <c r="E16" s="43">
        <v>4767.01</v>
      </c>
      <c r="F16" s="43">
        <v>4378.6600000000035</v>
      </c>
    </row>
    <row r="17" spans="2:6" x14ac:dyDescent="0.35">
      <c r="B17" s="7" t="s">
        <v>117</v>
      </c>
      <c r="C17" s="39">
        <v>5.0999999999999996</v>
      </c>
      <c r="D17" s="39">
        <v>10.64</v>
      </c>
      <c r="E17" s="38">
        <v>50.63</v>
      </c>
      <c r="F17" s="38">
        <v>46.57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7"/>
  <sheetViews>
    <sheetView zoomScaleNormal="100" workbookViewId="0">
      <selection activeCell="D9" sqref="D9"/>
    </sheetView>
  </sheetViews>
  <sheetFormatPr defaultColWidth="9.08984375" defaultRowHeight="13" x14ac:dyDescent="0.3"/>
  <cols>
    <col min="1" max="1" width="42.36328125" style="76" customWidth="1"/>
    <col min="2" max="3" width="9" style="76" bestFit="1" customWidth="1"/>
    <col min="4" max="4" width="20.08984375" style="76" customWidth="1"/>
    <col min="5" max="5" width="18.6328125" style="76" customWidth="1"/>
    <col min="6" max="6" width="17.36328125" style="76" customWidth="1"/>
    <col min="7" max="7" width="18.36328125" style="76" customWidth="1"/>
    <col min="8" max="8" width="19.6328125" style="76" customWidth="1"/>
    <col min="9" max="9" width="14.6328125" style="76" customWidth="1"/>
    <col min="10" max="10" width="19.36328125" style="76" customWidth="1"/>
    <col min="11" max="11" width="22.453125" style="76" customWidth="1"/>
    <col min="12" max="16384" width="9.08984375" style="76"/>
  </cols>
  <sheetData>
    <row r="1" spans="1:18" x14ac:dyDescent="0.3">
      <c r="A1" s="137" t="s">
        <v>133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3" spans="1:18" x14ac:dyDescent="0.3">
      <c r="A3" s="139" t="s">
        <v>134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</row>
    <row r="5" spans="1:18" x14ac:dyDescent="0.3">
      <c r="A5" s="77" t="s">
        <v>135</v>
      </c>
      <c r="B5" s="142" t="s">
        <v>136</v>
      </c>
      <c r="C5" s="142"/>
      <c r="D5" s="142" t="s">
        <v>137</v>
      </c>
      <c r="E5" s="142"/>
      <c r="F5" s="142" t="s">
        <v>138</v>
      </c>
      <c r="G5" s="142"/>
      <c r="H5" s="142" t="s">
        <v>139</v>
      </c>
      <c r="I5" s="142"/>
      <c r="J5" s="143" t="s">
        <v>140</v>
      </c>
      <c r="K5" s="144"/>
      <c r="L5" s="78"/>
      <c r="M5" s="78"/>
      <c r="N5" s="78"/>
      <c r="O5" s="78"/>
      <c r="P5" s="78"/>
      <c r="Q5" s="78"/>
      <c r="R5" s="78"/>
    </row>
    <row r="6" spans="1:18" x14ac:dyDescent="0.3">
      <c r="B6" s="79" t="s">
        <v>112</v>
      </c>
      <c r="C6" s="79" t="s">
        <v>182</v>
      </c>
      <c r="D6" s="79" t="s">
        <v>112</v>
      </c>
      <c r="E6" s="79" t="s">
        <v>182</v>
      </c>
      <c r="F6" s="79" t="s">
        <v>112</v>
      </c>
      <c r="G6" s="120" t="s">
        <v>182</v>
      </c>
      <c r="H6" s="79" t="s">
        <v>112</v>
      </c>
      <c r="I6" s="79" t="s">
        <v>182</v>
      </c>
      <c r="J6" s="79" t="s">
        <v>112</v>
      </c>
      <c r="K6" s="79" t="s">
        <v>182</v>
      </c>
    </row>
    <row r="7" spans="1:18" x14ac:dyDescent="0.3">
      <c r="A7" s="80" t="s">
        <v>141</v>
      </c>
      <c r="B7" s="81">
        <f>Sheet1!G4</f>
        <v>25591.572</v>
      </c>
      <c r="C7" s="82">
        <f>Sheet1!H4</f>
        <v>20700.14</v>
      </c>
      <c r="D7" s="81">
        <v>80337</v>
      </c>
      <c r="E7" s="116">
        <f>8382.48*10</f>
        <v>83824.799999999988</v>
      </c>
      <c r="F7" s="84">
        <v>21755.72</v>
      </c>
      <c r="G7" s="80">
        <v>20267.64</v>
      </c>
      <c r="H7" s="84">
        <v>24377.599999999999</v>
      </c>
      <c r="I7" s="83">
        <v>27123</v>
      </c>
      <c r="J7" s="84">
        <v>96223.4</v>
      </c>
      <c r="K7" s="83">
        <v>101374.9</v>
      </c>
    </row>
    <row r="8" spans="1:18" x14ac:dyDescent="0.3">
      <c r="A8" s="80" t="s">
        <v>185</v>
      </c>
      <c r="B8" s="85">
        <f>Sheet1!D4</f>
        <v>22119.830999999998</v>
      </c>
      <c r="C8" s="82">
        <f>Sheet1!E4</f>
        <v>21989.493999999999</v>
      </c>
      <c r="D8" s="81">
        <v>71906.8</v>
      </c>
      <c r="E8" s="117">
        <f>7424.24*10</f>
        <v>74242.399999999994</v>
      </c>
      <c r="F8" s="86">
        <v>14560.46</v>
      </c>
      <c r="G8" s="83">
        <v>15242.648999999999</v>
      </c>
      <c r="H8" s="84">
        <v>18735.3</v>
      </c>
      <c r="I8" s="83">
        <v>17901.099999999999</v>
      </c>
      <c r="J8" s="84">
        <v>68779.199999999997</v>
      </c>
      <c r="K8" s="83">
        <v>67350</v>
      </c>
    </row>
    <row r="9" spans="1:18" x14ac:dyDescent="0.3">
      <c r="A9" s="80" t="s">
        <v>142</v>
      </c>
      <c r="B9" s="87">
        <f>Sheet1!G6</f>
        <v>4.9796337094150767E-2</v>
      </c>
      <c r="C9" s="109">
        <f>Sheet1!H6</f>
        <v>-1.9939959557349729E-2</v>
      </c>
      <c r="D9" s="88">
        <f t="shared" ref="D9:K9" si="0">(D7/D8)^(1/3)-1</f>
        <v>3.7644406363227079E-2</v>
      </c>
      <c r="E9" s="112">
        <f t="shared" si="0"/>
        <v>4.1294339933303226E-2</v>
      </c>
      <c r="F9" s="88">
        <f t="shared" si="0"/>
        <v>0.14322783073809475</v>
      </c>
      <c r="G9" s="112">
        <f t="shared" si="0"/>
        <v>9.9632526461517212E-2</v>
      </c>
      <c r="H9" s="88">
        <f t="shared" si="0"/>
        <v>9.1717063412406041E-2</v>
      </c>
      <c r="I9" s="112">
        <f t="shared" si="0"/>
        <v>0.1485573052665774</v>
      </c>
      <c r="J9" s="88">
        <f t="shared" si="0"/>
        <v>0.1184275577884033</v>
      </c>
      <c r="K9" s="112">
        <f t="shared" si="0"/>
        <v>0.14603429199012075</v>
      </c>
    </row>
    <row r="10" spans="1:18" x14ac:dyDescent="0.3">
      <c r="A10" s="80" t="s">
        <v>17</v>
      </c>
      <c r="B10" s="85">
        <f>Sheet1!G14</f>
        <v>2163.125</v>
      </c>
      <c r="C10" s="110">
        <f>Sheet1!H14</f>
        <v>2382.9599999999991</v>
      </c>
      <c r="D10" s="81">
        <v>8087.5</v>
      </c>
      <c r="E10" s="83">
        <f>4872.5+2530+1642-445</f>
        <v>8599.5</v>
      </c>
      <c r="F10" s="86">
        <f>F7-(21019.08-420.62-444.88)</f>
        <v>1602.1399999999994</v>
      </c>
      <c r="G10" s="83">
        <f>54.165+371.852+533.756-116.15</f>
        <v>843.62299999999993</v>
      </c>
      <c r="H10" s="84">
        <f>H7-(22485.2-478-703.4)</f>
        <v>3073.7999999999993</v>
      </c>
      <c r="I10" s="83">
        <f>1596.6+793.9+539.1-171.1</f>
        <v>2758.5</v>
      </c>
      <c r="J10" s="84">
        <f>J7-(78156.6-997.2-3675.1)</f>
        <v>22739.099999999991</v>
      </c>
      <c r="K10" s="83">
        <f>10599.1+3944.3+1021.5-1919.5</f>
        <v>13645.400000000001</v>
      </c>
    </row>
    <row r="11" spans="1:18" x14ac:dyDescent="0.3">
      <c r="A11" s="80" t="s">
        <v>186</v>
      </c>
      <c r="B11" s="85">
        <f>Sheet1!D14</f>
        <v>1992.875</v>
      </c>
      <c r="C11" s="110">
        <f>Sheet1!E14</f>
        <v>1390.377999999997</v>
      </c>
      <c r="D11" s="81">
        <v>7200.3</v>
      </c>
      <c r="E11" s="83">
        <f>1677.9+2904.5+2368.9-552.4</f>
        <v>6398.9</v>
      </c>
      <c r="F11" s="86">
        <v>1490.6</v>
      </c>
      <c r="G11" s="83">
        <f>(-72.723)+877.004+430.433-243.741</f>
        <v>990.97299999999996</v>
      </c>
      <c r="H11" s="84">
        <f>H8-(18614.4-666.1-805.3)</f>
        <v>1592.2999999999956</v>
      </c>
      <c r="I11" s="83">
        <f>201.4+810.5+688.1-84.7</f>
        <v>1615.3</v>
      </c>
      <c r="J11" s="84">
        <f>J8-(60578.3-1196.5-2540.2)</f>
        <v>11937.599999999991</v>
      </c>
      <c r="K11" s="83">
        <f>6554.7+3332.2+1352.7-1744.7</f>
        <v>9494.9</v>
      </c>
    </row>
    <row r="12" spans="1:18" x14ac:dyDescent="0.3">
      <c r="A12" s="80" t="s">
        <v>142</v>
      </c>
      <c r="B12" s="87">
        <f>Sheet1!G16</f>
        <v>2.7701962468815289E-2</v>
      </c>
      <c r="C12" s="109">
        <f>Sheet1!H16</f>
        <v>0.19672571097692004</v>
      </c>
      <c r="D12" s="88">
        <f t="shared" ref="D12:K12" si="1">(D10/D11)^(1/3)-1</f>
        <v>3.9492197909078763E-2</v>
      </c>
      <c r="E12" s="112">
        <f t="shared" si="1"/>
        <v>0.10354308195805162</v>
      </c>
      <c r="F12" s="88">
        <f t="shared" si="1"/>
        <v>2.4345464476662526E-2</v>
      </c>
      <c r="G12" s="112">
        <f t="shared" si="1"/>
        <v>-5.2246209831407042E-2</v>
      </c>
      <c r="H12" s="88">
        <f t="shared" si="1"/>
        <v>0.24513632648101491</v>
      </c>
      <c r="I12" s="112">
        <f t="shared" si="1"/>
        <v>0.19528994202606498</v>
      </c>
      <c r="J12" s="88">
        <f t="shared" si="1"/>
        <v>0.23961098545547377</v>
      </c>
      <c r="K12" s="112">
        <f t="shared" si="1"/>
        <v>0.12849236546816001</v>
      </c>
    </row>
    <row r="13" spans="1:18" x14ac:dyDescent="0.3">
      <c r="A13" s="80" t="s">
        <v>18</v>
      </c>
      <c r="B13" s="90">
        <f t="shared" ref="B13:K13" si="2">B10/B7</f>
        <v>8.4524897493596721E-2</v>
      </c>
      <c r="C13" s="111">
        <f t="shared" si="2"/>
        <v>0.11511806200344535</v>
      </c>
      <c r="D13" s="90">
        <f t="shared" si="2"/>
        <v>0.10066967897730809</v>
      </c>
      <c r="E13" s="111">
        <f t="shared" si="2"/>
        <v>0.10258897128296161</v>
      </c>
      <c r="F13" s="90">
        <f t="shared" si="2"/>
        <v>7.3642242132184052E-2</v>
      </c>
      <c r="G13" s="111">
        <f t="shared" si="2"/>
        <v>4.1624135814529957E-2</v>
      </c>
      <c r="H13" s="90">
        <f t="shared" si="2"/>
        <v>0.12609116566027825</v>
      </c>
      <c r="I13" s="111">
        <f t="shared" si="2"/>
        <v>0.1017033513991815</v>
      </c>
      <c r="J13" s="90">
        <f t="shared" si="2"/>
        <v>0.2363156986762055</v>
      </c>
      <c r="K13" s="111">
        <f t="shared" si="2"/>
        <v>0.13460333869626506</v>
      </c>
    </row>
    <row r="14" spans="1:18" x14ac:dyDescent="0.3">
      <c r="A14" s="80" t="s">
        <v>24</v>
      </c>
      <c r="B14" s="84">
        <f>Sheet1!G25</f>
        <v>1091.9760000000001</v>
      </c>
      <c r="C14" s="80">
        <f>Sheet1!H25</f>
        <v>1157.166999999999</v>
      </c>
      <c r="D14" s="93">
        <v>2370.4</v>
      </c>
      <c r="E14" s="83">
        <f>416.7*10</f>
        <v>4167</v>
      </c>
      <c r="F14" s="84">
        <v>678.19</v>
      </c>
      <c r="G14" s="121">
        <v>8.0350000000000001</v>
      </c>
      <c r="H14" s="94">
        <v>1409.8</v>
      </c>
      <c r="I14" s="83">
        <v>1305.4000000000001</v>
      </c>
      <c r="J14" s="84">
        <v>15468.9</v>
      </c>
      <c r="K14" s="83">
        <f>8047.5</f>
        <v>8047.5</v>
      </c>
    </row>
    <row r="15" spans="1:18" x14ac:dyDescent="0.3">
      <c r="A15" s="80" t="s">
        <v>188</v>
      </c>
      <c r="B15" s="89">
        <f>Sheet1!D25</f>
        <v>306.83300000000008</v>
      </c>
      <c r="C15" s="110">
        <f>Sheet1!E25</f>
        <v>284.83099999999695</v>
      </c>
      <c r="D15" s="93">
        <v>2284.1</v>
      </c>
      <c r="E15" s="76">
        <v>2387</v>
      </c>
      <c r="F15" s="84">
        <v>211.7</v>
      </c>
      <c r="G15" s="83">
        <v>-5.5839999999999996</v>
      </c>
      <c r="H15" s="94">
        <v>132.30000000000001</v>
      </c>
      <c r="I15" s="83">
        <v>132.80000000000001</v>
      </c>
      <c r="J15" s="84">
        <v>7147.8</v>
      </c>
      <c r="K15" s="83">
        <v>5909.7</v>
      </c>
    </row>
    <row r="16" spans="1:18" x14ac:dyDescent="0.3">
      <c r="A16" s="80" t="s">
        <v>142</v>
      </c>
      <c r="B16" s="88">
        <f t="shared" ref="B16:K16" si="3">(B14/B15)^(1/3)-1</f>
        <v>0.52675848521136803</v>
      </c>
      <c r="C16" s="112">
        <f t="shared" si="3"/>
        <v>0.59564494895576314</v>
      </c>
      <c r="D16" s="88">
        <f t="shared" si="3"/>
        <v>1.2438942559136912E-2</v>
      </c>
      <c r="E16" s="112">
        <f t="shared" si="3"/>
        <v>0.20408467003241837</v>
      </c>
      <c r="F16" s="88">
        <f t="shared" si="3"/>
        <v>0.47415621553914433</v>
      </c>
      <c r="G16" s="112">
        <f t="shared" si="3"/>
        <v>-2.1289641654414049</v>
      </c>
      <c r="H16" s="88">
        <f t="shared" si="3"/>
        <v>1.2005566536373671</v>
      </c>
      <c r="I16" s="112">
        <f t="shared" si="3"/>
        <v>1.1421432568109173</v>
      </c>
      <c r="J16" s="88">
        <f t="shared" si="3"/>
        <v>0.29348782895894043</v>
      </c>
      <c r="K16" s="112">
        <f t="shared" si="3"/>
        <v>0.10840510362568923</v>
      </c>
    </row>
    <row r="17" spans="1:11" x14ac:dyDescent="0.3">
      <c r="A17" s="80" t="s">
        <v>25</v>
      </c>
      <c r="B17" s="90">
        <f t="shared" ref="B17:K17" si="4">B14/B7</f>
        <v>4.2669360053380075E-2</v>
      </c>
      <c r="C17" s="91">
        <f>C14/C7</f>
        <v>5.5901409362448709E-2</v>
      </c>
      <c r="D17" s="90">
        <f t="shared" si="4"/>
        <v>2.950570720838468E-2</v>
      </c>
      <c r="E17" s="111">
        <f t="shared" si="4"/>
        <v>4.9710825435909191E-2</v>
      </c>
      <c r="F17" s="90">
        <f>F14/F7</f>
        <v>3.1172951297405924E-2</v>
      </c>
      <c r="G17" s="111">
        <f t="shared" si="4"/>
        <v>3.9644477600746806E-4</v>
      </c>
      <c r="H17" s="90">
        <f t="shared" si="4"/>
        <v>5.7831779994749283E-2</v>
      </c>
      <c r="I17" s="111">
        <f t="shared" si="4"/>
        <v>4.8128894296353648E-2</v>
      </c>
      <c r="J17" s="90">
        <f t="shared" si="4"/>
        <v>0.16076027244932106</v>
      </c>
      <c r="K17" s="111">
        <f t="shared" si="4"/>
        <v>7.9383555495492475E-2</v>
      </c>
    </row>
    <row r="18" spans="1:11" x14ac:dyDescent="0.3">
      <c r="A18" s="80" t="s">
        <v>29</v>
      </c>
      <c r="B18" s="94">
        <f>Sheet1!G35</f>
        <v>5.45</v>
      </c>
      <c r="C18" s="98">
        <f>Sheet1!H35</f>
        <v>5.77</v>
      </c>
      <c r="D18" s="84">
        <v>9.1300000000000008</v>
      </c>
      <c r="E18" s="83">
        <v>15.49</v>
      </c>
      <c r="F18" s="84">
        <v>4.7</v>
      </c>
      <c r="G18" s="83">
        <v>0.06</v>
      </c>
      <c r="H18" s="84">
        <v>32.06</v>
      </c>
      <c r="I18" s="83">
        <v>27.26</v>
      </c>
      <c r="J18" s="84">
        <v>53.51</v>
      </c>
      <c r="K18" s="83">
        <v>27.95</v>
      </c>
    </row>
    <row r="19" spans="1:11" x14ac:dyDescent="0.3">
      <c r="A19" s="80" t="s">
        <v>187</v>
      </c>
      <c r="B19" s="94">
        <f>Sheet1!D35</f>
        <v>1.5</v>
      </c>
      <c r="C19" s="98">
        <f>Sheet1!E35</f>
        <v>1.42</v>
      </c>
      <c r="D19" s="84">
        <v>8.64</v>
      </c>
      <c r="E19" s="83">
        <v>8.74</v>
      </c>
      <c r="F19" s="84">
        <v>1.47</v>
      </c>
      <c r="G19" s="83">
        <v>-0.12</v>
      </c>
      <c r="H19" s="84">
        <v>3.36</v>
      </c>
      <c r="I19" s="83">
        <v>3.37</v>
      </c>
      <c r="J19" s="84">
        <v>24.72</v>
      </c>
      <c r="K19" s="83">
        <v>101.45</v>
      </c>
    </row>
    <row r="20" spans="1:11" x14ac:dyDescent="0.3">
      <c r="A20" s="80" t="s">
        <v>142</v>
      </c>
      <c r="B20" s="88">
        <f t="shared" ref="B20:K20" si="5">(B18/B19)^(1/3)-1</f>
        <v>0.53733464485903237</v>
      </c>
      <c r="C20" s="112">
        <f t="shared" si="5"/>
        <v>0.59574131565678412</v>
      </c>
      <c r="D20" s="88">
        <f t="shared" si="5"/>
        <v>1.8557798709567308E-2</v>
      </c>
      <c r="E20" s="112">
        <f t="shared" si="5"/>
        <v>0.21017077771113479</v>
      </c>
      <c r="F20" s="88">
        <f t="shared" si="5"/>
        <v>0.47319479036104806</v>
      </c>
      <c r="G20" s="112">
        <f t="shared" si="5"/>
        <v>-1.7937005259840997</v>
      </c>
      <c r="H20" s="88">
        <f t="shared" si="5"/>
        <v>1.121003638549392</v>
      </c>
      <c r="I20" s="112">
        <f t="shared" si="5"/>
        <v>1.0073910501685246</v>
      </c>
      <c r="J20" s="88">
        <f t="shared" si="5"/>
        <v>0.29358656038140496</v>
      </c>
      <c r="K20" s="112">
        <f t="shared" si="5"/>
        <v>-0.3493063224366465</v>
      </c>
    </row>
    <row r="21" spans="1:11" x14ac:dyDescent="0.3">
      <c r="E21" s="92"/>
    </row>
    <row r="22" spans="1:11" x14ac:dyDescent="0.3">
      <c r="A22" s="145" t="s">
        <v>126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</row>
    <row r="23" spans="1:11" x14ac:dyDescent="0.3">
      <c r="A23" s="95" t="s">
        <v>143</v>
      </c>
      <c r="B23" s="89">
        <f>Sheet1!R6</f>
        <v>5356.8250000000007</v>
      </c>
      <c r="C23" s="110">
        <f>Sheet1!S6</f>
        <v>6499.7870000000003</v>
      </c>
      <c r="D23" s="84">
        <v>29505.3</v>
      </c>
      <c r="E23" s="96">
        <v>33456</v>
      </c>
      <c r="F23" s="84">
        <v>5389.9</v>
      </c>
      <c r="G23" s="80">
        <v>5403.5820000000003</v>
      </c>
      <c r="H23" s="84">
        <v>7159.3</v>
      </c>
      <c r="I23" s="76">
        <v>8831.2999999999993</v>
      </c>
      <c r="J23" s="84">
        <v>78413</v>
      </c>
      <c r="K23" s="80">
        <v>86519.6</v>
      </c>
    </row>
    <row r="24" spans="1:11" x14ac:dyDescent="0.3">
      <c r="A24" s="95" t="s">
        <v>88</v>
      </c>
      <c r="B24" s="81">
        <f>SUM(B25:B26)</f>
        <v>5986.0450000000001</v>
      </c>
      <c r="C24" s="113">
        <f t="shared" ref="C24:K24" si="6">SUM(C25:C26)</f>
        <v>8373.7219999999998</v>
      </c>
      <c r="D24" s="84">
        <f t="shared" si="6"/>
        <v>17594.5</v>
      </c>
      <c r="E24" s="84">
        <f>SUM(E25:E26)</f>
        <v>14040</v>
      </c>
      <c r="F24" s="86">
        <f t="shared" si="6"/>
        <v>5582.1900000000005</v>
      </c>
      <c r="G24" s="97">
        <f t="shared" si="6"/>
        <v>4648.6490000000003</v>
      </c>
      <c r="H24" s="84">
        <f t="shared" si="6"/>
        <v>7603.9</v>
      </c>
      <c r="I24" s="80">
        <f t="shared" si="6"/>
        <v>8237.2999999999993</v>
      </c>
      <c r="J24" s="84">
        <f t="shared" si="6"/>
        <v>19830.300000000003</v>
      </c>
      <c r="K24" s="80">
        <f t="shared" si="6"/>
        <v>16774.599999999999</v>
      </c>
    </row>
    <row r="25" spans="1:11" x14ac:dyDescent="0.3">
      <c r="A25" s="95" t="s">
        <v>144</v>
      </c>
      <c r="B25" s="81">
        <f>Sheet1!R8</f>
        <v>1072.9090000000001</v>
      </c>
      <c r="C25" s="113">
        <f>Sheet1!S8</f>
        <v>2783.1509999999998</v>
      </c>
      <c r="D25" s="84">
        <v>7577.3</v>
      </c>
      <c r="E25" s="118">
        <v>3783</v>
      </c>
      <c r="F25" s="86">
        <v>2528.8200000000002</v>
      </c>
      <c r="G25" s="80">
        <v>1628.075</v>
      </c>
      <c r="H25" s="84">
        <v>1805.5</v>
      </c>
      <c r="I25" s="80">
        <v>3395.3</v>
      </c>
      <c r="J25" s="84">
        <v>9210.6</v>
      </c>
      <c r="K25" s="98">
        <v>9313.5</v>
      </c>
    </row>
    <row r="26" spans="1:11" x14ac:dyDescent="0.3">
      <c r="A26" s="95" t="s">
        <v>145</v>
      </c>
      <c r="B26" s="81">
        <f>Sheet1!R9</f>
        <v>4913.1360000000004</v>
      </c>
      <c r="C26" s="113">
        <f>Sheet1!S9</f>
        <v>5590.5709999999999</v>
      </c>
      <c r="D26" s="84">
        <v>10017.200000000001</v>
      </c>
      <c r="E26" s="96">
        <v>10257</v>
      </c>
      <c r="F26" s="86">
        <v>3053.37</v>
      </c>
      <c r="G26" s="80">
        <v>3020.5740000000001</v>
      </c>
      <c r="H26" s="84">
        <v>5798.4</v>
      </c>
      <c r="I26" s="80">
        <v>4842</v>
      </c>
      <c r="J26" s="81">
        <v>10619.7</v>
      </c>
      <c r="K26" s="80">
        <v>7461.1</v>
      </c>
    </row>
    <row r="28" spans="1:11" x14ac:dyDescent="0.3">
      <c r="A28" s="76" t="s">
        <v>126</v>
      </c>
    </row>
    <row r="30" spans="1:11" x14ac:dyDescent="0.3">
      <c r="A30" s="136" t="s">
        <v>146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</row>
    <row r="31" spans="1:11" x14ac:dyDescent="0.3">
      <c r="A31" s="80" t="s">
        <v>158</v>
      </c>
      <c r="B31" s="94">
        <v>-946.06</v>
      </c>
      <c r="C31" s="130">
        <v>3061.616</v>
      </c>
      <c r="D31" s="84">
        <v>5945.7</v>
      </c>
      <c r="E31" s="128">
        <v>6660.7</v>
      </c>
      <c r="F31" s="84">
        <v>1013.81</v>
      </c>
      <c r="G31" s="128">
        <v>1409.6310000000001</v>
      </c>
      <c r="H31" s="84">
        <v>910.6</v>
      </c>
      <c r="I31" s="128">
        <v>2157.8000000000002</v>
      </c>
      <c r="J31" s="84">
        <v>14445.8</v>
      </c>
      <c r="K31" s="128">
        <v>18528.400000000001</v>
      </c>
    </row>
    <row r="32" spans="1:11" x14ac:dyDescent="0.3">
      <c r="A32" s="80" t="s">
        <v>159</v>
      </c>
      <c r="B32" s="89">
        <v>-41.85</v>
      </c>
      <c r="C32" s="128">
        <v>-2097.8780000000002</v>
      </c>
      <c r="D32" s="84">
        <v>-1857.9</v>
      </c>
      <c r="E32" s="128">
        <v>-3043.3</v>
      </c>
      <c r="F32" s="84">
        <v>-524.96</v>
      </c>
      <c r="G32" s="128">
        <v>-175.38200000000001</v>
      </c>
      <c r="H32" s="84">
        <v>-2039</v>
      </c>
      <c r="I32" s="127">
        <v>-3890.7</v>
      </c>
      <c r="J32" s="84">
        <v>-5190.7</v>
      </c>
      <c r="K32" s="128">
        <v>-6217.4</v>
      </c>
    </row>
    <row r="33" spans="1:11" x14ac:dyDescent="0.3">
      <c r="A33" s="80" t="s">
        <v>85</v>
      </c>
      <c r="B33" s="89">
        <f>B31+B32</f>
        <v>-987.91</v>
      </c>
      <c r="C33" s="129">
        <f t="shared" ref="C33:K33" si="7">C31+C32</f>
        <v>963.73799999999983</v>
      </c>
      <c r="D33" s="89">
        <f t="shared" si="7"/>
        <v>4087.7999999999997</v>
      </c>
      <c r="E33" s="129">
        <f t="shared" si="7"/>
        <v>3617.3999999999996</v>
      </c>
      <c r="F33" s="89">
        <f t="shared" si="7"/>
        <v>488.84999999999991</v>
      </c>
      <c r="G33" s="129">
        <f t="shared" si="7"/>
        <v>1234.249</v>
      </c>
      <c r="H33" s="89">
        <f t="shared" si="7"/>
        <v>-1128.4000000000001</v>
      </c>
      <c r="I33" s="129">
        <f t="shared" si="7"/>
        <v>-1732.8999999999996</v>
      </c>
      <c r="J33" s="89">
        <f t="shared" si="7"/>
        <v>9255.0999999999985</v>
      </c>
      <c r="K33" s="129">
        <f t="shared" si="7"/>
        <v>12311.000000000002</v>
      </c>
    </row>
    <row r="36" spans="1:11" x14ac:dyDescent="0.3">
      <c r="A36" s="99" t="s">
        <v>160</v>
      </c>
      <c r="B36" s="94">
        <f>200520400/1000000</f>
        <v>200.5204</v>
      </c>
      <c r="C36" s="98">
        <f>200520400/1000000</f>
        <v>200.5204</v>
      </c>
      <c r="D36" s="94">
        <f>260897474/1000000</f>
        <v>260.89747399999999</v>
      </c>
      <c r="E36" s="98">
        <v>261.49</v>
      </c>
      <c r="F36" s="94">
        <f>144147168/1000000</f>
        <v>144.14716799999999</v>
      </c>
      <c r="G36" s="98">
        <f>144147168/1000000</f>
        <v>144.14716799999999</v>
      </c>
      <c r="H36" s="94">
        <f>45046559/1000000</f>
        <v>45.046559000000002</v>
      </c>
      <c r="I36" s="98">
        <v>48.7</v>
      </c>
      <c r="J36" s="74">
        <f>289083650/1000000</f>
        <v>289.08364999999998</v>
      </c>
      <c r="K36" s="74">
        <f>289083650/1000000</f>
        <v>289.08364999999998</v>
      </c>
    </row>
    <row r="37" spans="1:11" x14ac:dyDescent="0.3">
      <c r="A37" s="99" t="s">
        <v>87</v>
      </c>
      <c r="B37" s="86">
        <f>B36*B51</f>
        <v>56165.764040000002</v>
      </c>
      <c r="C37" s="97">
        <f>C36*C51</f>
        <v>64286.840240000005</v>
      </c>
      <c r="D37" s="86">
        <f>D36*D51</f>
        <v>30133.658246999999</v>
      </c>
      <c r="E37" s="97">
        <f>E36*E51</f>
        <v>21677.521000000001</v>
      </c>
      <c r="F37" s="86">
        <f t="shared" ref="F37:J37" si="8">F36*F51</f>
        <v>9009.1980000000003</v>
      </c>
      <c r="G37" s="97">
        <f>G36*G51</f>
        <v>2652.3078911999996</v>
      </c>
      <c r="H37" s="86">
        <f t="shared" si="8"/>
        <v>11642.28317355</v>
      </c>
      <c r="I37" s="97">
        <f>I36*I51</f>
        <v>10640.95</v>
      </c>
      <c r="J37" s="97">
        <f t="shared" si="8"/>
        <v>125910.38375749999</v>
      </c>
      <c r="K37" s="97">
        <f>K36*K51</f>
        <v>89023.310017499985</v>
      </c>
    </row>
    <row r="38" spans="1:11" x14ac:dyDescent="0.3">
      <c r="A38" s="99" t="s">
        <v>161</v>
      </c>
      <c r="B38" s="86">
        <f>B37+B24-B39</f>
        <v>61812.262040000001</v>
      </c>
      <c r="C38" s="97">
        <f>C37+C24-C39</f>
        <v>69541.491240000003</v>
      </c>
      <c r="D38" s="86">
        <f>D37+D24-D39</f>
        <v>47130.358246999996</v>
      </c>
      <c r="E38" s="97">
        <f>E37+E24-E39</f>
        <v>34948.360999999997</v>
      </c>
      <c r="F38" s="86">
        <f t="shared" ref="F38:J38" si="9">F37+F24-F39</f>
        <v>14304.901000000002</v>
      </c>
      <c r="G38" s="97">
        <f>G37+G24-G39</f>
        <v>7025.2798911999998</v>
      </c>
      <c r="H38" s="86">
        <f>H37+H24-H39</f>
        <v>19023.183173550002</v>
      </c>
      <c r="I38" s="97">
        <f>I37+I24-I39</f>
        <v>18598.47</v>
      </c>
      <c r="J38" s="97">
        <f t="shared" si="9"/>
        <v>144523.58375749999</v>
      </c>
      <c r="K38" s="97">
        <f>K37+K24-K39</f>
        <v>102055.71001749999</v>
      </c>
    </row>
    <row r="39" spans="1:11" x14ac:dyDescent="0.3">
      <c r="A39" s="99" t="s">
        <v>162</v>
      </c>
      <c r="B39" s="94">
        <f>Sheet1!G56+Sheet1!R31</f>
        <v>339.54700000000003</v>
      </c>
      <c r="C39" s="127">
        <f>Sheet1!H56+Sheet1!S31</f>
        <v>3119.0709999999999</v>
      </c>
      <c r="D39" s="84">
        <v>597.79999999999995</v>
      </c>
      <c r="E39" s="80">
        <v>769.16</v>
      </c>
      <c r="F39" s="84">
        <v>286.48700000000002</v>
      </c>
      <c r="G39" s="80">
        <f>31.728+243.949</f>
        <v>275.67700000000002</v>
      </c>
      <c r="H39" s="84">
        <v>223</v>
      </c>
      <c r="I39" s="80">
        <v>279.77999999999997</v>
      </c>
      <c r="J39" s="80">
        <v>1217.0999999999999</v>
      </c>
      <c r="K39" s="80">
        <f>756+2986.2</f>
        <v>3742.2</v>
      </c>
    </row>
    <row r="42" spans="1:11" x14ac:dyDescent="0.3">
      <c r="A42" s="136" t="s">
        <v>147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</row>
    <row r="43" spans="1:11" x14ac:dyDescent="0.3">
      <c r="A43" s="80" t="s">
        <v>148</v>
      </c>
      <c r="B43" s="94">
        <f t="shared" ref="B43:K43" si="10">B51/B18</f>
        <v>51.394495412844037</v>
      </c>
      <c r="C43" s="98">
        <f t="shared" si="10"/>
        <v>55.563258232235711</v>
      </c>
      <c r="D43" s="94">
        <f t="shared" si="10"/>
        <v>12.650602409638553</v>
      </c>
      <c r="E43" s="98">
        <f t="shared" si="10"/>
        <v>5.3518398967075536</v>
      </c>
      <c r="F43" s="94">
        <f t="shared" si="10"/>
        <v>13.297872340425531</v>
      </c>
      <c r="G43" s="98">
        <f t="shared" si="10"/>
        <v>306.66666666666663</v>
      </c>
      <c r="H43" s="94">
        <f t="shared" si="10"/>
        <v>8.0614472863381152</v>
      </c>
      <c r="I43" s="94">
        <f t="shared" si="10"/>
        <v>8.0154071900220103</v>
      </c>
      <c r="J43" s="94">
        <f t="shared" si="10"/>
        <v>8.1396000747523836</v>
      </c>
      <c r="K43" s="98">
        <f t="shared" si="10"/>
        <v>11.017889087656529</v>
      </c>
    </row>
    <row r="44" spans="1:11" x14ac:dyDescent="0.3">
      <c r="A44" s="80" t="s">
        <v>163</v>
      </c>
      <c r="B44" s="98">
        <v>0.25</v>
      </c>
      <c r="C44" s="98">
        <v>0.1</v>
      </c>
      <c r="D44" s="80"/>
      <c r="E44" s="80" t="s">
        <v>181</v>
      </c>
      <c r="F44" s="80"/>
      <c r="G44" s="80" t="s">
        <v>181</v>
      </c>
      <c r="H44" s="84"/>
      <c r="I44" s="83" t="s">
        <v>181</v>
      </c>
      <c r="J44" s="80"/>
      <c r="K44" s="83" t="s">
        <v>181</v>
      </c>
    </row>
    <row r="45" spans="1:11" x14ac:dyDescent="0.3">
      <c r="A45" s="80" t="s">
        <v>149</v>
      </c>
      <c r="B45" s="87">
        <f>B52/B36</f>
        <v>1.2467559410414104E-3</v>
      </c>
      <c r="C45" s="109">
        <f>C52/C36</f>
        <v>4.9870237641656411E-4</v>
      </c>
      <c r="D45" s="87">
        <f>D52/D36</f>
        <v>0</v>
      </c>
      <c r="E45" s="80" t="s">
        <v>181</v>
      </c>
      <c r="F45" s="87">
        <f>F52/F36</f>
        <v>0</v>
      </c>
      <c r="G45" s="80" t="s">
        <v>181</v>
      </c>
      <c r="H45" s="87">
        <f>H52/H36</f>
        <v>4.4398507775033381E-2</v>
      </c>
      <c r="I45" s="83" t="s">
        <v>181</v>
      </c>
      <c r="J45" s="87">
        <f>J52/J36</f>
        <v>0</v>
      </c>
      <c r="K45" s="83" t="s">
        <v>181</v>
      </c>
    </row>
    <row r="46" spans="1:11" x14ac:dyDescent="0.3">
      <c r="A46" s="80" t="s">
        <v>150</v>
      </c>
      <c r="B46" s="94">
        <f t="shared" ref="B46:I46" si="11">B51/B53</f>
        <v>10.484898058084779</v>
      </c>
      <c r="C46" s="98">
        <f t="shared" si="11"/>
        <v>9.8906072214366407</v>
      </c>
      <c r="D46" s="94">
        <f t="shared" si="11"/>
        <v>1.0212964534168436</v>
      </c>
      <c r="E46" s="98">
        <f t="shared" si="11"/>
        <v>0.64794120636059305</v>
      </c>
      <c r="F46" s="94">
        <f t="shared" si="11"/>
        <v>1.6714963171858477</v>
      </c>
      <c r="G46" s="98">
        <f t="shared" si="11"/>
        <v>0.49084253578459613</v>
      </c>
      <c r="H46" s="94">
        <f t="shared" si="11"/>
        <v>1.6261761867151816</v>
      </c>
      <c r="I46" s="94">
        <f t="shared" si="11"/>
        <v>1.2049132064361987</v>
      </c>
      <c r="J46" s="94">
        <f t="shared" ref="J46:K46" si="12">J51/J53</f>
        <v>1.6057335359889304</v>
      </c>
      <c r="K46" s="98">
        <f t="shared" si="12"/>
        <v>1.0289380674147821</v>
      </c>
    </row>
    <row r="47" spans="1:11" x14ac:dyDescent="0.3">
      <c r="A47" s="80" t="s">
        <v>151</v>
      </c>
      <c r="B47" s="94">
        <f t="shared" ref="B47:K47" si="13">B38/B10</f>
        <v>28.575446190118463</v>
      </c>
      <c r="C47" s="98">
        <f t="shared" si="13"/>
        <v>29.182819367509328</v>
      </c>
      <c r="D47" s="94">
        <f t="shared" si="13"/>
        <v>5.8275558883462129</v>
      </c>
      <c r="E47" s="98">
        <f t="shared" si="13"/>
        <v>4.0639991859991857</v>
      </c>
      <c r="F47" s="94">
        <f t="shared" si="13"/>
        <v>8.9286210942863971</v>
      </c>
      <c r="G47" s="98">
        <f t="shared" si="13"/>
        <v>8.3275110934623644</v>
      </c>
      <c r="H47" s="94">
        <f t="shared" si="13"/>
        <v>6.1888161798262757</v>
      </c>
      <c r="I47" s="94">
        <f t="shared" si="13"/>
        <v>6.7422403480152262</v>
      </c>
      <c r="J47" s="94">
        <f t="shared" si="13"/>
        <v>6.3557301633529928</v>
      </c>
      <c r="K47" s="98">
        <f t="shared" si="13"/>
        <v>7.4791292316458282</v>
      </c>
    </row>
    <row r="50" spans="1:11" x14ac:dyDescent="0.3">
      <c r="A50" s="136" t="s">
        <v>152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</row>
    <row r="51" spans="1:11" x14ac:dyDescent="0.3">
      <c r="A51" s="80" t="s">
        <v>189</v>
      </c>
      <c r="B51" s="84">
        <f>Sheet1!R54</f>
        <v>280.10000000000002</v>
      </c>
      <c r="C51" s="80">
        <f>Sheet1!S54</f>
        <v>320.60000000000002</v>
      </c>
      <c r="D51" s="84">
        <v>115.5</v>
      </c>
      <c r="E51" s="75">
        <v>82.9</v>
      </c>
      <c r="F51" s="84">
        <v>62.5</v>
      </c>
      <c r="G51" s="122">
        <v>18.399999999999999</v>
      </c>
      <c r="H51" s="84">
        <v>258.45</v>
      </c>
      <c r="I51" s="122">
        <v>218.5</v>
      </c>
      <c r="J51" s="84">
        <v>435.55</v>
      </c>
      <c r="K51" s="125">
        <v>307.95</v>
      </c>
    </row>
    <row r="52" spans="1:11" x14ac:dyDescent="0.3">
      <c r="A52" s="80" t="s">
        <v>153</v>
      </c>
      <c r="B52" s="94">
        <f>Sheet1!R57</f>
        <v>0.25</v>
      </c>
      <c r="C52" s="98">
        <v>0.1</v>
      </c>
      <c r="D52" s="100"/>
      <c r="E52" s="80" t="s">
        <v>180</v>
      </c>
      <c r="F52" s="84">
        <v>0</v>
      </c>
      <c r="G52" s="83" t="s">
        <v>180</v>
      </c>
      <c r="H52" s="84">
        <v>2</v>
      </c>
      <c r="I52" s="83" t="s">
        <v>181</v>
      </c>
      <c r="J52" s="84">
        <v>0</v>
      </c>
      <c r="K52" s="83" t="s">
        <v>181</v>
      </c>
    </row>
    <row r="53" spans="1:11" x14ac:dyDescent="0.3">
      <c r="A53" s="80" t="s">
        <v>154</v>
      </c>
      <c r="B53" s="94">
        <f t="shared" ref="B53:I53" si="14">B23/B36</f>
        <v>26.714613575476616</v>
      </c>
      <c r="C53" s="98">
        <f t="shared" si="14"/>
        <v>32.4145922310149</v>
      </c>
      <c r="D53" s="94">
        <f t="shared" si="14"/>
        <v>113.09155105119953</v>
      </c>
      <c r="E53" s="98">
        <f t="shared" si="14"/>
        <v>127.94370721633715</v>
      </c>
      <c r="F53" s="94">
        <f t="shared" si="14"/>
        <v>37.391646848032423</v>
      </c>
      <c r="G53" s="98">
        <f t="shared" si="14"/>
        <v>37.486563731866035</v>
      </c>
      <c r="H53" s="94">
        <f t="shared" si="14"/>
        <v>158.93111835689825</v>
      </c>
      <c r="I53" s="98">
        <f t="shared" si="14"/>
        <v>181.34086242299793</v>
      </c>
      <c r="J53" s="94">
        <f t="shared" ref="J53:K53" si="15">J23/J36</f>
        <v>271.24674812982335</v>
      </c>
      <c r="K53" s="98">
        <f t="shared" si="15"/>
        <v>299.28915038951533</v>
      </c>
    </row>
    <row r="54" spans="1:11" x14ac:dyDescent="0.3">
      <c r="A54" s="101" t="s">
        <v>155</v>
      </c>
      <c r="B54" s="87">
        <f t="shared" ref="B54:K54" si="16">B14/B23</f>
        <v>0.20384761495848752</v>
      </c>
      <c r="C54" s="109">
        <f t="shared" si="16"/>
        <v>0.17803152626386048</v>
      </c>
      <c r="D54" s="87">
        <f t="shared" si="16"/>
        <v>8.0338108746564177E-2</v>
      </c>
      <c r="E54" s="109">
        <f t="shared" si="16"/>
        <v>0.12455164992826399</v>
      </c>
      <c r="F54" s="87">
        <f t="shared" si="16"/>
        <v>0.12582608211655136</v>
      </c>
      <c r="G54" s="109">
        <f t="shared" si="16"/>
        <v>1.4869766018170908E-3</v>
      </c>
      <c r="H54" s="87">
        <f t="shared" si="16"/>
        <v>0.1969186931683265</v>
      </c>
      <c r="I54" s="109">
        <f t="shared" si="16"/>
        <v>0.14781515745133789</v>
      </c>
      <c r="J54" s="87">
        <f t="shared" si="16"/>
        <v>0.19727468659533495</v>
      </c>
      <c r="K54" s="109">
        <f t="shared" si="16"/>
        <v>9.3013606165539359E-2</v>
      </c>
    </row>
    <row r="55" spans="1:11" x14ac:dyDescent="0.3">
      <c r="A55" s="101" t="s">
        <v>156</v>
      </c>
      <c r="B55" s="87">
        <f t="shared" ref="B55:K55" si="17">B56/B57</f>
        <v>0.29220046967180247</v>
      </c>
      <c r="C55" s="109">
        <f t="shared" si="17"/>
        <v>0.21939081158156493</v>
      </c>
      <c r="D55" s="87">
        <f t="shared" si="17"/>
        <v>0.14635380194925751</v>
      </c>
      <c r="E55" s="109">
        <f t="shared" si="17"/>
        <v>0.15116774304422653</v>
      </c>
      <c r="F55" s="87">
        <f t="shared" si="17"/>
        <v>0.16186983738933958</v>
      </c>
      <c r="G55" s="109">
        <f t="shared" si="17"/>
        <v>6.5198572121543799E-2</v>
      </c>
      <c r="H55" s="87">
        <f t="shared" si="17"/>
        <v>0.28479600226367546</v>
      </c>
      <c r="I55" s="109">
        <f t="shared" si="17"/>
        <v>0.15488560571419563</v>
      </c>
      <c r="J55" s="87">
        <f t="shared" si="17"/>
        <v>0.23547528012906932</v>
      </c>
      <c r="K55" s="109">
        <f t="shared" si="17"/>
        <v>9.8112608366741794E-2</v>
      </c>
    </row>
    <row r="56" spans="1:11" x14ac:dyDescent="0.3">
      <c r="A56" s="80" t="s">
        <v>164</v>
      </c>
      <c r="B56" s="89">
        <f>Sheet1!G14-Sheet1!G18+Sheet1!G20</f>
        <v>1913.0730000000001</v>
      </c>
      <c r="C56" s="110">
        <f>Sheet1!H14-Sheet1!H18+Sheet1!H20</f>
        <v>2058.5169999999994</v>
      </c>
      <c r="D56" s="84">
        <v>5872.9</v>
      </c>
      <c r="E56" s="80">
        <f>E10-2530.1</f>
        <v>6069.4</v>
      </c>
      <c r="F56" s="86">
        <v>1311</v>
      </c>
      <c r="G56" s="98">
        <f>G10-371.852</f>
        <v>471.77099999999996</v>
      </c>
      <c r="H56" s="84">
        <v>2667.2</v>
      </c>
      <c r="I56" s="83">
        <f>I10-793.9</f>
        <v>1964.6</v>
      </c>
      <c r="J56" s="84">
        <v>21309.1</v>
      </c>
      <c r="K56" s="83">
        <f>K10-3944.3</f>
        <v>9701.1000000000022</v>
      </c>
    </row>
    <row r="57" spans="1:11" x14ac:dyDescent="0.3">
      <c r="A57" s="80" t="s">
        <v>40</v>
      </c>
      <c r="B57" s="89">
        <f t="shared" ref="B57:K57" si="18">B58+B23</f>
        <v>6547.1250000000009</v>
      </c>
      <c r="C57" s="110">
        <f t="shared" si="18"/>
        <v>9382.8770000000004</v>
      </c>
      <c r="D57" s="102">
        <f t="shared" si="18"/>
        <v>40128.1</v>
      </c>
      <c r="E57" s="119">
        <f t="shared" si="18"/>
        <v>40150.1</v>
      </c>
      <c r="F57" s="102">
        <f t="shared" si="18"/>
        <v>8099.0999999999995</v>
      </c>
      <c r="G57" s="119">
        <f t="shared" si="18"/>
        <v>7235.91</v>
      </c>
      <c r="H57" s="102">
        <f t="shared" si="18"/>
        <v>9365.2999999999993</v>
      </c>
      <c r="I57" s="119">
        <f t="shared" si="18"/>
        <v>12684.199999999999</v>
      </c>
      <c r="J57" s="102">
        <f t="shared" si="18"/>
        <v>90494</v>
      </c>
      <c r="K57" s="119">
        <f t="shared" si="18"/>
        <v>98877.200000000012</v>
      </c>
    </row>
    <row r="58" spans="1:11" x14ac:dyDescent="0.3">
      <c r="A58" s="80" t="s">
        <v>165</v>
      </c>
      <c r="B58" s="89">
        <v>1190.3</v>
      </c>
      <c r="C58" s="114">
        <v>2883.09</v>
      </c>
      <c r="D58" s="102">
        <v>10622.8</v>
      </c>
      <c r="E58" s="80">
        <f>6694.1</f>
        <v>6694.1</v>
      </c>
      <c r="F58" s="102">
        <v>2709.2</v>
      </c>
      <c r="G58" s="98">
        <f>1832.328</f>
        <v>1832.328</v>
      </c>
      <c r="H58" s="102">
        <v>2206</v>
      </c>
      <c r="I58" s="83">
        <v>3852.9</v>
      </c>
      <c r="J58" s="102">
        <v>12081</v>
      </c>
      <c r="K58" s="83">
        <v>12357.6</v>
      </c>
    </row>
    <row r="59" spans="1:11" x14ac:dyDescent="0.3">
      <c r="A59" s="101" t="s">
        <v>106</v>
      </c>
      <c r="B59" s="94">
        <f t="shared" ref="B59:K59" si="19">B7/SUM((B60:B62))</f>
        <v>11.49273922649949</v>
      </c>
      <c r="C59" s="98">
        <f t="shared" si="19"/>
        <v>5.2094564837161546</v>
      </c>
      <c r="D59" s="94">
        <f t="shared" si="19"/>
        <v>2.3611931612778077</v>
      </c>
      <c r="E59" s="98">
        <f t="shared" si="19"/>
        <v>2.4770629188780271</v>
      </c>
      <c r="F59" s="94">
        <f t="shared" si="19"/>
        <v>3.0095769301532891</v>
      </c>
      <c r="G59" s="98">
        <f t="shared" si="19"/>
        <v>3.7567151920753918</v>
      </c>
      <c r="H59" s="94">
        <f t="shared" si="19"/>
        <v>3.6413282148565282</v>
      </c>
      <c r="I59" s="98">
        <f t="shared" si="19"/>
        <v>2.8751484056987788</v>
      </c>
      <c r="J59" s="94">
        <f t="shared" si="19"/>
        <v>2.0818878693532787</v>
      </c>
      <c r="K59" s="98">
        <f t="shared" si="19"/>
        <v>1.8869152650897529</v>
      </c>
    </row>
    <row r="60" spans="1:11" x14ac:dyDescent="0.3">
      <c r="A60" s="99" t="s">
        <v>166</v>
      </c>
      <c r="B60" s="94">
        <v>2041.3</v>
      </c>
      <c r="C60" s="98">
        <v>3647.46</v>
      </c>
      <c r="D60" s="84">
        <v>31893.599999999999</v>
      </c>
      <c r="E60" s="80">
        <v>31373.4</v>
      </c>
      <c r="F60" s="84">
        <v>7160</v>
      </c>
      <c r="G60" s="98">
        <v>5340.5190000000002</v>
      </c>
      <c r="H60" s="84">
        <v>5947.5</v>
      </c>
      <c r="I60" s="83">
        <v>7196.3</v>
      </c>
      <c r="J60" s="84">
        <v>34699.9</v>
      </c>
      <c r="K60" s="83">
        <v>39137.5</v>
      </c>
    </row>
    <row r="61" spans="1:11" x14ac:dyDescent="0.3">
      <c r="A61" s="99" t="s">
        <v>167</v>
      </c>
      <c r="B61" s="103">
        <v>0</v>
      </c>
      <c r="C61" s="98">
        <v>89.83</v>
      </c>
      <c r="D61" s="84">
        <v>453.2</v>
      </c>
      <c r="E61" s="80">
        <v>787.2</v>
      </c>
      <c r="F61" s="84">
        <v>68.83</v>
      </c>
      <c r="G61" s="98">
        <v>51.353999999999999</v>
      </c>
      <c r="H61" s="84">
        <v>739.3</v>
      </c>
      <c r="I61" s="83">
        <v>2229.8000000000002</v>
      </c>
      <c r="J61" s="84">
        <v>2412.1</v>
      </c>
      <c r="K61" s="83">
        <v>510.2</v>
      </c>
    </row>
    <row r="62" spans="1:11" x14ac:dyDescent="0.3">
      <c r="A62" s="99" t="s">
        <v>168</v>
      </c>
      <c r="B62" s="94">
        <v>185.46</v>
      </c>
      <c r="C62" s="98">
        <v>236.28</v>
      </c>
      <c r="D62" s="84">
        <v>1677.1</v>
      </c>
      <c r="E62" s="80">
        <v>1679.8</v>
      </c>
      <c r="F62" s="89">
        <v>0</v>
      </c>
      <c r="G62" s="80">
        <v>3.17</v>
      </c>
      <c r="H62" s="89">
        <v>7.9</v>
      </c>
      <c r="I62" s="83">
        <v>7.5</v>
      </c>
      <c r="J62" s="89">
        <v>9107.2999999999993</v>
      </c>
      <c r="K62" s="83">
        <f>1883.8+12193.7</f>
        <v>14077.5</v>
      </c>
    </row>
    <row r="63" spans="1:11" x14ac:dyDescent="0.3">
      <c r="A63" s="77" t="s">
        <v>157</v>
      </c>
      <c r="B63" s="86">
        <f t="shared" ref="B63:G63" si="20">B24/B23</f>
        <v>1.1174613693745827</v>
      </c>
      <c r="C63" s="126">
        <f t="shared" si="20"/>
        <v>1.2883071399108923</v>
      </c>
      <c r="D63" s="86">
        <f t="shared" si="20"/>
        <v>0.59631659396786341</v>
      </c>
      <c r="E63" s="97">
        <f t="shared" si="20"/>
        <v>0.41965566714490676</v>
      </c>
      <c r="F63" s="94">
        <f t="shared" si="20"/>
        <v>1.035675986567469</v>
      </c>
      <c r="G63" s="98">
        <f t="shared" si="20"/>
        <v>0.86029026671567121</v>
      </c>
      <c r="H63" s="94">
        <f t="shared" ref="H63:K63" si="21">H24/H23</f>
        <v>1.0621010433980975</v>
      </c>
      <c r="I63" s="98">
        <f t="shared" si="21"/>
        <v>0.93273923431431383</v>
      </c>
      <c r="J63" s="94">
        <f t="shared" si="21"/>
        <v>0.25289556578628547</v>
      </c>
      <c r="K63" s="98">
        <f t="shared" si="21"/>
        <v>0.19388207989865877</v>
      </c>
    </row>
    <row r="64" spans="1:11" x14ac:dyDescent="0.3">
      <c r="A64" s="77" t="s">
        <v>169</v>
      </c>
      <c r="B64" s="86">
        <f t="shared" ref="B64:K64" si="22">(B24-B39)/B23</f>
        <v>1.0540755018131074</v>
      </c>
      <c r="C64" s="126">
        <f t="shared" si="22"/>
        <v>0.80843433792522734</v>
      </c>
      <c r="D64" s="86">
        <f t="shared" si="22"/>
        <v>0.57605582725815363</v>
      </c>
      <c r="E64" s="97">
        <f t="shared" si="22"/>
        <v>0.39666547106647537</v>
      </c>
      <c r="F64" s="94">
        <f t="shared" si="22"/>
        <v>0.98252342344013821</v>
      </c>
      <c r="G64" s="98">
        <f t="shared" si="22"/>
        <v>0.8092728119976712</v>
      </c>
      <c r="H64" s="94">
        <f t="shared" si="22"/>
        <v>1.0309527467769195</v>
      </c>
      <c r="I64" s="98">
        <f t="shared" si="22"/>
        <v>0.90105873427468208</v>
      </c>
      <c r="J64" s="94">
        <f t="shared" si="22"/>
        <v>0.23737390483720816</v>
      </c>
      <c r="K64" s="98">
        <f t="shared" si="22"/>
        <v>0.15062945274827896</v>
      </c>
    </row>
    <row r="65" spans="1:11" x14ac:dyDescent="0.3">
      <c r="A65" s="77" t="s">
        <v>107</v>
      </c>
      <c r="B65" s="104">
        <f t="shared" ref="B65:K65" si="23">B56/B66</f>
        <v>4.1623833249929287</v>
      </c>
      <c r="C65" s="115">
        <f t="shared" si="23"/>
        <v>3.9738176132195657</v>
      </c>
      <c r="D65" s="104">
        <f t="shared" si="23"/>
        <v>2.9834391668783335</v>
      </c>
      <c r="E65" s="115">
        <f t="shared" si="23"/>
        <v>3.6954456892352652</v>
      </c>
      <c r="F65" s="104">
        <f t="shared" si="23"/>
        <v>3.1168275402976557</v>
      </c>
      <c r="G65" s="115">
        <f t="shared" si="23"/>
        <v>0.88387015789986434</v>
      </c>
      <c r="H65" s="104">
        <f t="shared" si="23"/>
        <v>5.5799163179916311</v>
      </c>
      <c r="I65" s="115">
        <f t="shared" si="23"/>
        <v>3.6442218512335369</v>
      </c>
      <c r="J65" s="104">
        <f t="shared" si="23"/>
        <v>21.368933012434816</v>
      </c>
      <c r="K65" s="115">
        <f t="shared" si="23"/>
        <v>9.4969162995594729</v>
      </c>
    </row>
    <row r="66" spans="1:11" x14ac:dyDescent="0.3">
      <c r="A66" s="99" t="s">
        <v>170</v>
      </c>
      <c r="B66" s="84">
        <v>459.61</v>
      </c>
      <c r="C66" s="98">
        <v>518.02</v>
      </c>
      <c r="D66" s="84">
        <v>1968.5</v>
      </c>
      <c r="E66" s="115">
        <v>1642.4</v>
      </c>
      <c r="F66" s="84">
        <v>420.62</v>
      </c>
      <c r="G66" s="98">
        <v>533.75599999999997</v>
      </c>
      <c r="H66" s="84">
        <v>478</v>
      </c>
      <c r="I66" s="123">
        <v>539.1</v>
      </c>
      <c r="J66" s="84">
        <v>997.2</v>
      </c>
      <c r="K66" s="123">
        <v>1021.5</v>
      </c>
    </row>
    <row r="67" spans="1:11" x14ac:dyDescent="0.3">
      <c r="A67" s="77" t="s">
        <v>171</v>
      </c>
      <c r="B67" s="87">
        <f t="shared" ref="B67:K67" si="24">B66/B24</f>
        <v>7.6780244719176022E-2</v>
      </c>
      <c r="C67" s="109">
        <f t="shared" si="24"/>
        <v>6.1862574372543055E-2</v>
      </c>
      <c r="D67" s="87">
        <f t="shared" si="24"/>
        <v>0.111881553894683</v>
      </c>
      <c r="E67" s="109">
        <f t="shared" si="24"/>
        <v>0.11698005698005699</v>
      </c>
      <c r="F67" s="87">
        <f t="shared" si="24"/>
        <v>7.5350355326493715E-2</v>
      </c>
      <c r="G67" s="109">
        <f t="shared" si="24"/>
        <v>0.1148195959729375</v>
      </c>
      <c r="H67" s="105">
        <f t="shared" si="24"/>
        <v>6.2862478464998234E-2</v>
      </c>
      <c r="I67" s="124">
        <f t="shared" si="24"/>
        <v>6.5446202032219306E-2</v>
      </c>
      <c r="J67" s="105">
        <f t="shared" si="24"/>
        <v>5.0286682501021161E-2</v>
      </c>
      <c r="K67" s="124">
        <f t="shared" si="24"/>
        <v>6.0895639836419352E-2</v>
      </c>
    </row>
  </sheetData>
  <mergeCells count="11">
    <mergeCell ref="A42:K42"/>
    <mergeCell ref="A50:K50"/>
    <mergeCell ref="A30:K30"/>
    <mergeCell ref="A1:R1"/>
    <mergeCell ref="A3:K3"/>
    <mergeCell ref="B5:C5"/>
    <mergeCell ref="D5:E5"/>
    <mergeCell ref="F5:G5"/>
    <mergeCell ref="H5:I5"/>
    <mergeCell ref="J5:K5"/>
    <mergeCell ref="A22:K2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6"/>
  <sheetViews>
    <sheetView workbookViewId="0">
      <selection activeCell="F4" sqref="F4"/>
    </sheetView>
  </sheetViews>
  <sheetFormatPr defaultRowHeight="14.5" x14ac:dyDescent="0.35"/>
  <cols>
    <col min="2" max="2" width="19.453125" customWidth="1"/>
    <col min="3" max="3" width="12.6328125" customWidth="1"/>
  </cols>
  <sheetData>
    <row r="1" spans="2:7" x14ac:dyDescent="0.35">
      <c r="C1" s="71" t="s">
        <v>177</v>
      </c>
      <c r="D1" s="71" t="s">
        <v>176</v>
      </c>
      <c r="E1" s="71" t="s">
        <v>155</v>
      </c>
      <c r="F1" s="71" t="s">
        <v>156</v>
      </c>
      <c r="G1" s="71" t="s">
        <v>179</v>
      </c>
    </row>
    <row r="2" spans="2:7" x14ac:dyDescent="0.35">
      <c r="B2" t="s">
        <v>178</v>
      </c>
      <c r="C2" s="69">
        <v>8.4500000000000006E-2</v>
      </c>
      <c r="D2" s="69">
        <v>4.2900000000000001E-2</v>
      </c>
      <c r="E2" s="69">
        <v>0.22950000000000001</v>
      </c>
      <c r="F2" s="69">
        <v>0.1925</v>
      </c>
      <c r="G2">
        <v>1.1200000000000001</v>
      </c>
    </row>
    <row r="3" spans="2:7" x14ac:dyDescent="0.35">
      <c r="B3" t="s">
        <v>172</v>
      </c>
      <c r="C3" s="69">
        <v>0.1007</v>
      </c>
      <c r="D3" s="69">
        <v>2.9499999999999998E-2</v>
      </c>
      <c r="E3" s="69">
        <v>8.5199999999999998E-2</v>
      </c>
      <c r="F3" s="69">
        <v>0.1216</v>
      </c>
      <c r="G3">
        <v>0.61</v>
      </c>
    </row>
    <row r="4" spans="2:7" x14ac:dyDescent="0.35">
      <c r="B4" t="s">
        <v>173</v>
      </c>
      <c r="C4" s="69">
        <v>7.3599999999999999E-2</v>
      </c>
      <c r="D4" s="69">
        <v>3.1199999999999999E-2</v>
      </c>
      <c r="E4" s="69">
        <v>0.1343</v>
      </c>
      <c r="F4" s="69">
        <v>0.12670000000000001</v>
      </c>
      <c r="G4">
        <v>1.04</v>
      </c>
    </row>
    <row r="5" spans="2:7" x14ac:dyDescent="0.35">
      <c r="B5" t="s">
        <v>174</v>
      </c>
      <c r="C5" s="69">
        <v>0.12620000000000001</v>
      </c>
      <c r="D5" s="69">
        <v>5.7799999999999997E-2</v>
      </c>
      <c r="E5" s="69">
        <v>0.22550000000000001</v>
      </c>
      <c r="F5" s="69">
        <v>0.17680000000000001</v>
      </c>
      <c r="G5">
        <v>1.1100000000000001</v>
      </c>
    </row>
    <row r="6" spans="2:7" x14ac:dyDescent="0.35">
      <c r="B6" t="s">
        <v>175</v>
      </c>
      <c r="C6" s="70">
        <v>0.24</v>
      </c>
      <c r="D6" s="69">
        <v>0.16200000000000001</v>
      </c>
      <c r="E6" s="69">
        <v>0.21929999999999999</v>
      </c>
      <c r="F6" s="69">
        <v>0.2374</v>
      </c>
      <c r="G6">
        <v>0.19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Sheet3</vt:lpstr>
      <vt:lpstr>Sheet2</vt:lpstr>
      <vt:lpstr>Peer Analysis</vt:lpstr>
      <vt:lpstr>Sheet4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Manav Kapasi</dc:creator>
  <cp:lastModifiedBy>Dell</cp:lastModifiedBy>
  <cp:lastPrinted>2023-08-09T09:28:44Z</cp:lastPrinted>
  <dcterms:created xsi:type="dcterms:W3CDTF">2022-03-25T06:39:15Z</dcterms:created>
  <dcterms:modified xsi:type="dcterms:W3CDTF">2024-06-10T09:17:11Z</dcterms:modified>
</cp:coreProperties>
</file>