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8A5D927-47B0-494A-AA58-CF8AD3E26B9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3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G50" i="1"/>
  <c r="R6" i="1"/>
  <c r="H43" i="1"/>
  <c r="Q6" i="1" l="1"/>
  <c r="Q7" i="1" s="1"/>
  <c r="H55" i="1" l="1"/>
  <c r="H56" i="1" s="1"/>
  <c r="F56" i="1" l="1"/>
  <c r="G43" i="1"/>
  <c r="S59" i="1"/>
  <c r="R59" i="1"/>
  <c r="I43" i="1"/>
  <c r="S11" i="1"/>
  <c r="R11" i="1"/>
  <c r="S6" i="1"/>
  <c r="R65" i="1"/>
  <c r="I33" i="1"/>
  <c r="I32" i="1"/>
  <c r="H33" i="1"/>
  <c r="H32" i="1"/>
  <c r="H8" i="1"/>
  <c r="I5" i="1"/>
  <c r="S67" i="1" s="1"/>
  <c r="H5" i="1"/>
  <c r="R67" i="1" s="1"/>
  <c r="S65" i="1" l="1"/>
  <c r="R69" i="1"/>
  <c r="R58" i="1"/>
  <c r="R60" i="1" s="1"/>
  <c r="R62" i="1"/>
  <c r="H14" i="1"/>
  <c r="I6" i="1"/>
  <c r="S62" i="1"/>
  <c r="I47" i="1"/>
  <c r="I13" i="1"/>
  <c r="I8" i="1" s="1"/>
  <c r="S40" i="1"/>
  <c r="S42" i="1"/>
  <c r="S46" i="1"/>
  <c r="S43" i="1" s="1"/>
  <c r="S7" i="1" s="1"/>
  <c r="S39" i="1"/>
  <c r="S24" i="1"/>
  <c r="I55" i="1"/>
  <c r="I56" i="1" s="1"/>
  <c r="R46" i="1"/>
  <c r="R43" i="1" s="1"/>
  <c r="R7" i="1" s="1"/>
  <c r="R42" i="1"/>
  <c r="R40" i="1"/>
  <c r="I14" i="1" l="1"/>
  <c r="I18" i="1" s="1"/>
  <c r="S69" i="1"/>
  <c r="S68" i="1"/>
  <c r="I22" i="1"/>
  <c r="I15" i="1"/>
  <c r="H18" i="1"/>
  <c r="H22" i="1"/>
  <c r="S58" i="1"/>
  <c r="S60" i="1" s="1"/>
  <c r="S36" i="1"/>
  <c r="S70" i="1" s="1"/>
  <c r="H25" i="1" l="1"/>
  <c r="H24" i="1"/>
  <c r="I25" i="1"/>
  <c r="I24" i="1"/>
  <c r="I59" i="1"/>
  <c r="I58" i="1"/>
  <c r="I60" i="1" s="1"/>
  <c r="S50" i="1"/>
  <c r="S49" i="1" s="1"/>
  <c r="B4" i="3"/>
  <c r="F4" i="3" s="1"/>
  <c r="K2" i="3"/>
  <c r="K5" i="3"/>
  <c r="K6" i="3"/>
  <c r="K7" i="3"/>
  <c r="K8" i="3"/>
  <c r="K9" i="3"/>
  <c r="K10" i="3"/>
  <c r="K12" i="3"/>
  <c r="K13" i="3"/>
  <c r="K1" i="3"/>
  <c r="F3" i="3"/>
  <c r="I3" i="3"/>
  <c r="K3" i="3" s="1"/>
  <c r="I11" i="3"/>
  <c r="K11" i="3" s="1"/>
  <c r="F6" i="3"/>
  <c r="F7" i="3"/>
  <c r="F8" i="3"/>
  <c r="F9" i="3"/>
  <c r="F10" i="3"/>
  <c r="F11" i="3"/>
  <c r="F13" i="3"/>
  <c r="F14" i="3"/>
  <c r="F2" i="3"/>
  <c r="D6" i="3"/>
  <c r="D7" i="3"/>
  <c r="D8" i="3"/>
  <c r="D9" i="3"/>
  <c r="D10" i="3"/>
  <c r="D11" i="3"/>
  <c r="D13" i="3"/>
  <c r="D14" i="3"/>
  <c r="D2" i="3"/>
  <c r="B5" i="3"/>
  <c r="F5" i="3" s="1"/>
  <c r="B12" i="3"/>
  <c r="D12" i="3" s="1"/>
  <c r="R24" i="1"/>
  <c r="S51" i="1"/>
  <c r="I50" i="1"/>
  <c r="S63" i="1" l="1"/>
  <c r="I27" i="1"/>
  <c r="I26" i="1"/>
  <c r="S66" i="1"/>
  <c r="S9" i="1"/>
  <c r="S61" i="1" s="1"/>
  <c r="R63" i="1"/>
  <c r="H30" i="1"/>
  <c r="H27" i="1"/>
  <c r="H26" i="1"/>
  <c r="F12" i="3"/>
  <c r="D5" i="3"/>
  <c r="I4" i="3"/>
  <c r="K4" i="3" s="1"/>
  <c r="S64" i="1"/>
  <c r="D4" i="3"/>
  <c r="D3" i="3"/>
  <c r="R57" i="1"/>
  <c r="R36" i="1" l="1"/>
  <c r="H50" i="1"/>
  <c r="H47" i="1"/>
  <c r="R70" i="1" l="1"/>
  <c r="I46" i="1"/>
  <c r="I51" i="1" s="1"/>
  <c r="I53" i="1" s="1"/>
  <c r="G13" i="1"/>
  <c r="H59" i="1"/>
  <c r="H58" i="1"/>
  <c r="H60" i="1" s="1"/>
  <c r="Q42" i="1"/>
  <c r="Q40" i="1"/>
  <c r="Q16" i="1"/>
  <c r="Q39" i="1"/>
  <c r="R68" i="1" s="1"/>
  <c r="G28" i="1"/>
  <c r="G32" i="1"/>
  <c r="G33" i="1"/>
  <c r="R66" i="1" l="1"/>
  <c r="I30" i="1"/>
  <c r="R51" i="1"/>
  <c r="R50" i="1"/>
  <c r="R49" i="1" s="1"/>
  <c r="Q36" i="1"/>
  <c r="C59" i="1"/>
  <c r="D59" i="1"/>
  <c r="E59" i="1"/>
  <c r="F59" i="1"/>
  <c r="G59" i="1"/>
  <c r="B59" i="1"/>
  <c r="R64" i="1" l="1"/>
  <c r="R9" i="1"/>
  <c r="R61" i="1" s="1"/>
  <c r="H46" i="1"/>
  <c r="H51" i="1" s="1"/>
  <c r="H53" i="1" s="1"/>
  <c r="C58" i="1"/>
  <c r="D58" i="1"/>
  <c r="E58" i="1"/>
  <c r="F58" i="1"/>
  <c r="G58" i="1"/>
  <c r="B58" i="1"/>
  <c r="C57" i="1"/>
  <c r="D57" i="1"/>
  <c r="E57" i="1"/>
  <c r="F57" i="1"/>
  <c r="G57" i="1"/>
  <c r="B57" i="1"/>
  <c r="F52" i="1"/>
  <c r="C50" i="1" l="1"/>
  <c r="D50" i="1"/>
  <c r="E50" i="1"/>
  <c r="F50" i="1"/>
  <c r="F51" i="1" s="1"/>
  <c r="F53" i="1" s="1"/>
  <c r="G8" i="1" l="1"/>
  <c r="Q77" i="1" s="1"/>
  <c r="R77" i="1" s="1"/>
  <c r="P6" i="1"/>
  <c r="P7" i="1" s="1"/>
  <c r="N11" i="1"/>
  <c r="M11" i="1"/>
  <c r="O11" i="1"/>
  <c r="P11" i="1"/>
  <c r="Q11" i="1"/>
  <c r="C43" i="1"/>
  <c r="F43" i="1"/>
  <c r="L11" i="1"/>
  <c r="B43" i="1"/>
  <c r="P57" i="1"/>
  <c r="P59" i="1" s="1"/>
  <c r="O57" i="1"/>
  <c r="O59" i="1" s="1"/>
  <c r="N57" i="1"/>
  <c r="N59" i="1" s="1"/>
  <c r="M57" i="1"/>
  <c r="M59" i="1" s="1"/>
  <c r="L57" i="1"/>
  <c r="L59" i="1" s="1"/>
  <c r="G60" i="1"/>
  <c r="F60" i="1"/>
  <c r="E56" i="1"/>
  <c r="E60" i="1" s="1"/>
  <c r="D56" i="1"/>
  <c r="D60" i="1" s="1"/>
  <c r="C56" i="1"/>
  <c r="C60" i="1" s="1"/>
  <c r="B56" i="1"/>
  <c r="B60" i="1" s="1"/>
  <c r="B50" i="1"/>
  <c r="E48" i="1"/>
  <c r="D48" i="1"/>
  <c r="C48" i="1"/>
  <c r="B48" i="1"/>
  <c r="G47" i="1"/>
  <c r="E47" i="1"/>
  <c r="E52" i="1" s="1"/>
  <c r="D47" i="1"/>
  <c r="D52" i="1" s="1"/>
  <c r="C47" i="1"/>
  <c r="C52" i="1" s="1"/>
  <c r="B47" i="1"/>
  <c r="Q43" i="1"/>
  <c r="P43" i="1"/>
  <c r="O43" i="1"/>
  <c r="N43" i="1"/>
  <c r="L43" i="1"/>
  <c r="O36" i="1"/>
  <c r="N36" i="1"/>
  <c r="M36" i="1"/>
  <c r="L36" i="1"/>
  <c r="E33" i="1"/>
  <c r="F32" i="1"/>
  <c r="E32" i="1"/>
  <c r="D32" i="1"/>
  <c r="C32" i="1"/>
  <c r="Q24" i="1"/>
  <c r="P24" i="1"/>
  <c r="P50" i="1" s="1"/>
  <c r="O24" i="1"/>
  <c r="O50" i="1" s="1"/>
  <c r="N24" i="1"/>
  <c r="M24" i="1"/>
  <c r="L24" i="1"/>
  <c r="L50" i="1" s="1"/>
  <c r="F8" i="1"/>
  <c r="P77" i="1" s="1"/>
  <c r="O77" i="1" s="1"/>
  <c r="E8" i="1"/>
  <c r="D8" i="1"/>
  <c r="C8" i="1"/>
  <c r="B8" i="1"/>
  <c r="O6" i="1"/>
  <c r="O7" i="1" s="1"/>
  <c r="N6" i="1"/>
  <c r="N7" i="1" s="1"/>
  <c r="M6" i="1"/>
  <c r="M7" i="1" s="1"/>
  <c r="L6" i="1"/>
  <c r="G5" i="1"/>
  <c r="F5" i="1"/>
  <c r="I7" i="1" s="1"/>
  <c r="E5" i="1"/>
  <c r="H7" i="1" s="1"/>
  <c r="D5" i="1"/>
  <c r="N62" i="1" s="1"/>
  <c r="C5" i="1"/>
  <c r="M62" i="1" s="1"/>
  <c r="B5" i="1"/>
  <c r="L62" i="1" s="1"/>
  <c r="L7" i="1" l="1"/>
  <c r="L65" i="1"/>
  <c r="Q61" i="1"/>
  <c r="Q62" i="1"/>
  <c r="H6" i="1"/>
  <c r="P76" i="1"/>
  <c r="O76" i="1" s="1"/>
  <c r="P78" i="1"/>
  <c r="O78" i="1" s="1"/>
  <c r="Q76" i="1"/>
  <c r="R76" i="1" s="1"/>
  <c r="R79" i="1" s="1"/>
  <c r="Q78" i="1"/>
  <c r="R78" i="1" s="1"/>
  <c r="Q63" i="1"/>
  <c r="O62" i="1"/>
  <c r="G14" i="1"/>
  <c r="H15" i="1" s="1"/>
  <c r="M51" i="1"/>
  <c r="O51" i="1"/>
  <c r="P62" i="1"/>
  <c r="F14" i="1"/>
  <c r="I16" i="1" s="1"/>
  <c r="L51" i="1"/>
  <c r="Q9" i="1"/>
  <c r="N51" i="1"/>
  <c r="Q51" i="1"/>
  <c r="G7" i="1"/>
  <c r="G6" i="1"/>
  <c r="Q66" i="1"/>
  <c r="Q65" i="1"/>
  <c r="M49" i="1"/>
  <c r="L49" i="1"/>
  <c r="N49" i="1"/>
  <c r="O49" i="1"/>
  <c r="Q49" i="1"/>
  <c r="L66" i="1"/>
  <c r="O65" i="1"/>
  <c r="O66" i="1"/>
  <c r="P65" i="1"/>
  <c r="P66" i="1"/>
  <c r="N63" i="1"/>
  <c r="N66" i="1"/>
  <c r="N65" i="1"/>
  <c r="M65" i="1"/>
  <c r="M66" i="1"/>
  <c r="P9" i="1"/>
  <c r="L58" i="1"/>
  <c r="L60" i="1" s="1"/>
  <c r="M58" i="1"/>
  <c r="M60" i="1" s="1"/>
  <c r="P58" i="1"/>
  <c r="P60" i="1" s="1"/>
  <c r="Q58" i="1"/>
  <c r="N58" i="1"/>
  <c r="N60" i="1" s="1"/>
  <c r="O58" i="1"/>
  <c r="O60" i="1" s="1"/>
  <c r="D43" i="1"/>
  <c r="E37" i="1" s="1"/>
  <c r="E43" i="1" s="1"/>
  <c r="L70" i="1"/>
  <c r="D6" i="1"/>
  <c r="C6" i="1"/>
  <c r="C14" i="1"/>
  <c r="M70" i="1"/>
  <c r="F6" i="1"/>
  <c r="E14" i="1"/>
  <c r="H16" i="1" s="1"/>
  <c r="E6" i="1"/>
  <c r="Q50" i="1"/>
  <c r="E7" i="1"/>
  <c r="B14" i="1"/>
  <c r="L61" i="1" s="1"/>
  <c r="P36" i="1"/>
  <c r="D14" i="1"/>
  <c r="F7" i="1"/>
  <c r="M50" i="1"/>
  <c r="N50" i="1"/>
  <c r="P61" i="1" l="1"/>
  <c r="G22" i="1"/>
  <c r="O61" i="1"/>
  <c r="Q64" i="1"/>
  <c r="P49" i="1"/>
  <c r="P64" i="1" s="1"/>
  <c r="P51" i="1"/>
  <c r="G16" i="1"/>
  <c r="G15" i="1"/>
  <c r="N64" i="1"/>
  <c r="O64" i="1"/>
  <c r="N61" i="1"/>
  <c r="C22" i="1"/>
  <c r="C25" i="1" s="1"/>
  <c r="M64" i="1"/>
  <c r="L64" i="1"/>
  <c r="M61" i="1"/>
  <c r="G18" i="1"/>
  <c r="C18" i="1"/>
  <c r="C15" i="1"/>
  <c r="O9" i="1"/>
  <c r="N9" i="1"/>
  <c r="M9" i="1"/>
  <c r="L9" i="1"/>
  <c r="D15" i="1"/>
  <c r="D18" i="1"/>
  <c r="D22" i="1"/>
  <c r="D30" i="1" s="1"/>
  <c r="B18" i="1"/>
  <c r="B22" i="1"/>
  <c r="B25" i="1" s="1"/>
  <c r="F22" i="1"/>
  <c r="F25" i="1" s="1"/>
  <c r="F16" i="1"/>
  <c r="F18" i="1"/>
  <c r="F15" i="1"/>
  <c r="E16" i="1"/>
  <c r="E18" i="1"/>
  <c r="E22" i="1"/>
  <c r="E25" i="1" s="1"/>
  <c r="H28" i="1" s="1"/>
  <c r="E15" i="1"/>
  <c r="G27" i="1" l="1"/>
  <c r="I28" i="1"/>
  <c r="C24" i="1"/>
  <c r="F30" i="1"/>
  <c r="P63" i="1"/>
  <c r="B30" i="1"/>
  <c r="L63" i="1"/>
  <c r="C30" i="1"/>
  <c r="M63" i="1"/>
  <c r="E30" i="1"/>
  <c r="O63" i="1"/>
  <c r="C46" i="1"/>
  <c r="C51" i="1" s="1"/>
  <c r="C53" i="1" s="1"/>
  <c r="G30" i="1"/>
  <c r="G26" i="1"/>
  <c r="G24" i="1"/>
  <c r="G46" i="1"/>
  <c r="D24" i="1"/>
  <c r="D46" i="1"/>
  <c r="D51" i="1" s="1"/>
  <c r="D53" i="1" s="1"/>
  <c r="F24" i="1"/>
  <c r="B24" i="1"/>
  <c r="B46" i="1"/>
  <c r="B51" i="1" s="1"/>
  <c r="B53" i="1" s="1"/>
  <c r="E24" i="1"/>
  <c r="E46" i="1"/>
  <c r="C26" i="1"/>
  <c r="G51" i="1" l="1"/>
  <c r="G53" i="1" s="1"/>
  <c r="E51" i="1"/>
  <c r="E53" i="1" s="1"/>
  <c r="C27" i="1"/>
  <c r="B26" i="1"/>
  <c r="E27" i="1"/>
  <c r="E28" i="1"/>
  <c r="E26" i="1"/>
  <c r="D27" i="1"/>
  <c r="D26" i="1"/>
  <c r="F26" i="1"/>
  <c r="F27" i="1"/>
  <c r="F28" i="1"/>
</calcChain>
</file>

<file path=xl/sharedStrings.xml><?xml version="1.0" encoding="utf-8"?>
<sst xmlns="http://schemas.openxmlformats.org/spreadsheetml/2006/main" count="222" uniqueCount="136">
  <si>
    <t>Income Statement</t>
  </si>
  <si>
    <t>Balance Sheet</t>
  </si>
  <si>
    <t>Y/E, Mar (Rs. mn)</t>
  </si>
  <si>
    <t>FY17</t>
  </si>
  <si>
    <t>FY18</t>
  </si>
  <si>
    <t>FY19</t>
  </si>
  <si>
    <t>FY20</t>
  </si>
  <si>
    <t>FY21</t>
  </si>
  <si>
    <t>Revenue from Operations</t>
  </si>
  <si>
    <t>Share Capital</t>
  </si>
  <si>
    <t>Net sales</t>
  </si>
  <si>
    <t>Other Equity</t>
  </si>
  <si>
    <t>Growth (%)</t>
  </si>
  <si>
    <t>NA</t>
  </si>
  <si>
    <t>Networth/Shareholders Fund/ Book Value</t>
  </si>
  <si>
    <t>CAGR (%)</t>
  </si>
  <si>
    <t>Expenditure</t>
  </si>
  <si>
    <t>Changes in Inventory</t>
  </si>
  <si>
    <t>Capital Employed</t>
  </si>
  <si>
    <t>Employee Benefit expenses</t>
  </si>
  <si>
    <t>EV</t>
  </si>
  <si>
    <t>Gross Block</t>
  </si>
  <si>
    <t>EBITDA</t>
  </si>
  <si>
    <t>(a) Property, plant and equipment</t>
  </si>
  <si>
    <t>(b) Capital Work-in-Progress</t>
  </si>
  <si>
    <t>EBITDA margin (%)</t>
  </si>
  <si>
    <t>Depreciation</t>
  </si>
  <si>
    <t>Finance Cost</t>
  </si>
  <si>
    <t>Other Income</t>
  </si>
  <si>
    <t>PBT</t>
  </si>
  <si>
    <t>Tax</t>
  </si>
  <si>
    <t>Effective tax rate (%)</t>
  </si>
  <si>
    <t>- Others</t>
  </si>
  <si>
    <t>PAT</t>
  </si>
  <si>
    <t>(f) Deferred Tax Assets (Net)</t>
  </si>
  <si>
    <t>(g) Other Non-Current Assets</t>
  </si>
  <si>
    <t>CURRENT ASSETS, LOANS &amp; ADVANCES</t>
  </si>
  <si>
    <t>PAT margin (%)</t>
  </si>
  <si>
    <t>(a) Inventories</t>
  </si>
  <si>
    <t>(b) Financial Assets</t>
  </si>
  <si>
    <t>-Investments</t>
  </si>
  <si>
    <t>Other Comprehensive Income</t>
  </si>
  <si>
    <t>-Trade Receivables (Debtors)</t>
  </si>
  <si>
    <t>Total Comprehensive Income</t>
  </si>
  <si>
    <t>EPS</t>
  </si>
  <si>
    <t>-Bank balances</t>
  </si>
  <si>
    <t>-Short Term Loans &amp; Advances</t>
  </si>
  <si>
    <t>-Others</t>
  </si>
  <si>
    <t>(c ) Current Tax Assets (net)</t>
  </si>
  <si>
    <t>Cash Flow</t>
  </si>
  <si>
    <t>(d) Other Current Assets</t>
  </si>
  <si>
    <t>CURRENT LIABILITIES &amp; PROVISIONS</t>
  </si>
  <si>
    <t>Cash and Cash Equivalents at Beginning of the year</t>
  </si>
  <si>
    <t>Cash Flow From Operating Activities</t>
  </si>
  <si>
    <t>Cash Flow from Investing Activities</t>
  </si>
  <si>
    <t>Cash Flow From Financing Activities</t>
  </si>
  <si>
    <t>Other Current Liabilities</t>
  </si>
  <si>
    <t>Net Inc./(Dec.) in Cash and Cash Equivalent</t>
  </si>
  <si>
    <t>Cash and Cash Equivalents at End of the year</t>
  </si>
  <si>
    <t>NON-CURRENT LIABILITIES</t>
  </si>
  <si>
    <t>Our Calculations</t>
  </si>
  <si>
    <t xml:space="preserve">Pre-Tax Profit </t>
  </si>
  <si>
    <t xml:space="preserve">Depreciation </t>
  </si>
  <si>
    <t>Provisions</t>
  </si>
  <si>
    <t xml:space="preserve">Other Adjustments </t>
  </si>
  <si>
    <t xml:space="preserve">Change in Working capital </t>
  </si>
  <si>
    <t xml:space="preserve">Taxes Paid </t>
  </si>
  <si>
    <t xml:space="preserve">Operating Cash Inflow </t>
  </si>
  <si>
    <t xml:space="preserve">Capital Expenditure </t>
  </si>
  <si>
    <t>Total Assets</t>
  </si>
  <si>
    <t>FCF</t>
  </si>
  <si>
    <t>Total Liabilities</t>
  </si>
  <si>
    <t>No. of shares</t>
  </si>
  <si>
    <t>Key ratios</t>
  </si>
  <si>
    <t>Debt</t>
  </si>
  <si>
    <t xml:space="preserve">Y/E, Mar </t>
  </si>
  <si>
    <t>Cash</t>
  </si>
  <si>
    <t>CMP(Rs)</t>
  </si>
  <si>
    <t>EPS (Rs)</t>
  </si>
  <si>
    <t>BVPS (Rs)</t>
  </si>
  <si>
    <t>P/E (x)</t>
  </si>
  <si>
    <t>P/BV (x)</t>
  </si>
  <si>
    <t>EV/EBIDTA (x)</t>
  </si>
  <si>
    <t>Fixed Asset Turnover</t>
  </si>
  <si>
    <t>RoE (%)</t>
  </si>
  <si>
    <t>RoCE (%)</t>
  </si>
  <si>
    <t>Gross D/E(x)</t>
  </si>
  <si>
    <t>Net D/E (x)</t>
  </si>
  <si>
    <t>Debtor Days</t>
  </si>
  <si>
    <t>Creditor Days</t>
  </si>
  <si>
    <t>Inventory Days</t>
  </si>
  <si>
    <t>Working Capital Days</t>
  </si>
  <si>
    <t>Excise Duty Expense</t>
  </si>
  <si>
    <t>Effect of Exchange Rate</t>
  </si>
  <si>
    <t>(c) Investment property</t>
  </si>
  <si>
    <t>(d ) Goodwill</t>
  </si>
  <si>
    <t>(e) Intangible Assets</t>
  </si>
  <si>
    <t>(f) Financial Assets</t>
  </si>
  <si>
    <t xml:space="preserve">-Investments </t>
  </si>
  <si>
    <t>- Loans</t>
  </si>
  <si>
    <t>NON CURRENT ASSETS</t>
  </si>
  <si>
    <t>Financial Liabilities</t>
  </si>
  <si>
    <t>- Borrowings</t>
  </si>
  <si>
    <t>- Trade Payables</t>
  </si>
  <si>
    <t>Cost of Materials Consumed</t>
  </si>
  <si>
    <t>3 Year CAGR (%)</t>
  </si>
  <si>
    <t xml:space="preserve">-Cash </t>
  </si>
  <si>
    <t>Bank</t>
  </si>
  <si>
    <t>Market Cap</t>
  </si>
  <si>
    <t>Praj Industries Limited - Consolidated</t>
  </si>
  <si>
    <t>FY22</t>
  </si>
  <si>
    <t xml:space="preserve"> NA</t>
  </si>
  <si>
    <t>Minority Int</t>
  </si>
  <si>
    <t>- Other Financial Liabilities &amp; Lease Liabilities</t>
  </si>
  <si>
    <t>Other expense (Includes exchange gains)</t>
  </si>
  <si>
    <t>FY23</t>
  </si>
  <si>
    <t>Q1-FY24</t>
  </si>
  <si>
    <t>PARTICULARS (INR Mn)</t>
  </si>
  <si>
    <t>Q2-FY24</t>
  </si>
  <si>
    <t>Q2-FY23</t>
  </si>
  <si>
    <t>Y-o-Y</t>
  </si>
  <si>
    <t>Q-o-Q</t>
  </si>
  <si>
    <t>Operational Revenue</t>
  </si>
  <si>
    <t>Total Expenses</t>
  </si>
  <si>
    <t>EBITDA Margins (%)</t>
  </si>
  <si>
    <t>19*</t>
  </si>
  <si>
    <t>PAT Margins (%)</t>
  </si>
  <si>
    <t>EPS (INR)</t>
  </si>
  <si>
    <t>Diluted EPS (INR)</t>
  </si>
  <si>
    <t>(f) Intangible Assets under development</t>
  </si>
  <si>
    <t>- Other Financial Liabilities and Lease Liability</t>
  </si>
  <si>
    <t>FY24</t>
  </si>
  <si>
    <t xml:space="preserve">Balance Sheet and Mixed Ratios are as per FY24 Result Updates while P&amp;L Ratio is as per FY24 Result Updates       
</t>
  </si>
  <si>
    <t>€ Asset classified as held for sale</t>
  </si>
  <si>
    <t>Deferred Tax Liabilities (Net)</t>
  </si>
  <si>
    <t>Provisions &amp; Current Tax Liabilities (Net)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</si>
</sst>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0.0%"/>
    <numFmt numFmtId="167" formatCode="0.0"/>
    <numFmt numFmtId="169" formatCode="_(* #,##0_);_(* \(#,##0\);_(* &quot;-&quot;??_);_(@_)"/>
    <numFmt numFmtId="170" formatCode="_(* #,##0.0_);_(* \(#,##0.0\);_(* &quot;-&quot;??_);_(@_)"/>
  </numFmts>
  <fonts count="1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8"/>
      <name val="Univers 55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14" fillId="0" borderId="0"/>
  </cellStyleXfs>
  <cellXfs count="231">
    <xf numFmtId="0" fontId="0" fillId="0" borderId="0" xfId="0"/>
    <xf numFmtId="0" fontId="7" fillId="0" borderId="0" xfId="3" applyFont="1" applyAlignment="1">
      <alignment horizontal="right"/>
    </xf>
    <xf numFmtId="0" fontId="6" fillId="0" borderId="0" xfId="3" applyFont="1" applyAlignment="1">
      <alignment horizontal="right"/>
    </xf>
    <xf numFmtId="0" fontId="6" fillId="3" borderId="8" xfId="3" applyFont="1" applyFill="1" applyBorder="1"/>
    <xf numFmtId="0" fontId="6" fillId="3" borderId="9" xfId="3" applyFont="1" applyFill="1" applyBorder="1" applyAlignment="1">
      <alignment horizontal="center"/>
    </xf>
    <xf numFmtId="0" fontId="6" fillId="3" borderId="10" xfId="3" applyFont="1" applyFill="1" applyBorder="1" applyAlignment="1">
      <alignment horizontal="center"/>
    </xf>
    <xf numFmtId="0" fontId="6" fillId="0" borderId="11" xfId="3" applyFont="1" applyBorder="1"/>
    <xf numFmtId="165" fontId="8" fillId="4" borderId="12" xfId="1" applyNumberFormat="1" applyFont="1" applyFill="1" applyBorder="1"/>
    <xf numFmtId="165" fontId="8" fillId="0" borderId="12" xfId="1" applyNumberFormat="1" applyFont="1" applyFill="1" applyBorder="1"/>
    <xf numFmtId="165" fontId="6" fillId="0" borderId="0" xfId="1" applyNumberFormat="1" applyFont="1" applyFill="1" applyBorder="1"/>
    <xf numFmtId="0" fontId="6" fillId="5" borderId="11" xfId="3" applyFont="1" applyFill="1" applyBorder="1"/>
    <xf numFmtId="165" fontId="6" fillId="5" borderId="12" xfId="1" applyNumberFormat="1" applyFont="1" applyFill="1" applyBorder="1"/>
    <xf numFmtId="166" fontId="7" fillId="0" borderId="0" xfId="2" applyNumberFormat="1" applyFont="1" applyFill="1" applyBorder="1" applyAlignment="1">
      <alignment horizontal="right"/>
    </xf>
    <xf numFmtId="165" fontId="7" fillId="0" borderId="12" xfId="1" applyNumberFormat="1" applyFont="1" applyBorder="1"/>
    <xf numFmtId="0" fontId="10" fillId="0" borderId="11" xfId="3" applyFont="1" applyBorder="1"/>
    <xf numFmtId="166" fontId="7" fillId="0" borderId="12" xfId="2" applyNumberFormat="1" applyFont="1" applyFill="1" applyBorder="1" applyAlignment="1">
      <alignment horizontal="right"/>
    </xf>
    <xf numFmtId="0" fontId="10" fillId="5" borderId="11" xfId="3" applyFont="1" applyFill="1" applyBorder="1"/>
    <xf numFmtId="166" fontId="7" fillId="5" borderId="12" xfId="2" applyNumberFormat="1" applyFont="1" applyFill="1" applyBorder="1" applyAlignment="1">
      <alignment horizontal="right"/>
    </xf>
    <xf numFmtId="3" fontId="6" fillId="0" borderId="0" xfId="3" applyNumberFormat="1" applyFont="1" applyAlignment="1">
      <alignment horizontal="right"/>
    </xf>
    <xf numFmtId="3" fontId="6" fillId="0" borderId="12" xfId="3" applyNumberFormat="1" applyFont="1" applyBorder="1" applyAlignment="1">
      <alignment horizontal="right"/>
    </xf>
    <xf numFmtId="0" fontId="7" fillId="0" borderId="0" xfId="2" applyNumberFormat="1" applyFont="1" applyFill="1" applyBorder="1"/>
    <xf numFmtId="0" fontId="7" fillId="0" borderId="11" xfId="3" applyFont="1" applyBorder="1"/>
    <xf numFmtId="3" fontId="7" fillId="0" borderId="12" xfId="3" applyNumberFormat="1" applyFont="1" applyBorder="1" applyAlignment="1">
      <alignment horizontal="right"/>
    </xf>
    <xf numFmtId="3" fontId="7" fillId="4" borderId="12" xfId="3" applyNumberFormat="1" applyFont="1" applyFill="1" applyBorder="1" applyAlignment="1">
      <alignment horizontal="right"/>
    </xf>
    <xf numFmtId="165" fontId="7" fillId="4" borderId="12" xfId="1" applyNumberFormat="1" applyFont="1" applyFill="1" applyBorder="1"/>
    <xf numFmtId="0" fontId="6" fillId="0" borderId="0" xfId="3" applyFont="1"/>
    <xf numFmtId="1" fontId="6" fillId="0" borderId="0" xfId="3" applyNumberFormat="1" applyFont="1"/>
    <xf numFmtId="165" fontId="9" fillId="0" borderId="12" xfId="1" applyNumberFormat="1" applyFont="1" applyBorder="1"/>
    <xf numFmtId="1" fontId="6" fillId="5" borderId="12" xfId="3" applyNumberFormat="1" applyFont="1" applyFill="1" applyBorder="1"/>
    <xf numFmtId="166" fontId="6" fillId="0" borderId="0" xfId="2" applyNumberFormat="1" applyFont="1" applyFill="1" applyBorder="1" applyAlignment="1">
      <alignment horizontal="right"/>
    </xf>
    <xf numFmtId="166" fontId="6" fillId="0" borderId="0" xfId="2" applyNumberFormat="1" applyFont="1" applyFill="1" applyBorder="1"/>
    <xf numFmtId="165" fontId="9" fillId="0" borderId="12" xfId="1" applyNumberFormat="1" applyFont="1" applyFill="1" applyBorder="1"/>
    <xf numFmtId="1" fontId="7" fillId="0" borderId="12" xfId="3" applyNumberFormat="1" applyFont="1" applyBorder="1"/>
    <xf numFmtId="0" fontId="13" fillId="5" borderId="11" xfId="3" applyFont="1" applyFill="1" applyBorder="1"/>
    <xf numFmtId="166" fontId="6" fillId="5" borderId="12" xfId="2" applyNumberFormat="1" applyFont="1" applyFill="1" applyBorder="1"/>
    <xf numFmtId="1" fontId="7" fillId="0" borderId="0" xfId="3" applyNumberFormat="1" applyFont="1"/>
    <xf numFmtId="1" fontId="7" fillId="0" borderId="12" xfId="2" applyNumberFormat="1" applyFont="1" applyBorder="1"/>
    <xf numFmtId="1" fontId="7" fillId="4" borderId="12" xfId="2" applyNumberFormat="1" applyFont="1" applyFill="1" applyBorder="1"/>
    <xf numFmtId="166" fontId="7" fillId="0" borderId="0" xfId="2" applyNumberFormat="1" applyFont="1" applyFill="1" applyBorder="1"/>
    <xf numFmtId="166" fontId="7" fillId="0" borderId="12" xfId="2" applyNumberFormat="1" applyFont="1" applyBorder="1"/>
    <xf numFmtId="2" fontId="7" fillId="0" borderId="0" xfId="2" applyNumberFormat="1" applyFont="1" applyFill="1" applyBorder="1" applyAlignment="1">
      <alignment horizontal="right"/>
    </xf>
    <xf numFmtId="2" fontId="6" fillId="0" borderId="0" xfId="3" applyNumberFormat="1" applyFont="1"/>
    <xf numFmtId="0" fontId="9" fillId="0" borderId="0" xfId="4" applyFont="1"/>
    <xf numFmtId="1" fontId="7" fillId="5" borderId="12" xfId="2" applyNumberFormat="1" applyFont="1" applyFill="1" applyBorder="1" applyAlignment="1">
      <alignment horizontal="right"/>
    </xf>
    <xf numFmtId="167" fontId="7" fillId="5" borderId="12" xfId="2" applyNumberFormat="1" applyFont="1" applyFill="1" applyBorder="1" applyAlignment="1">
      <alignment horizontal="right"/>
    </xf>
    <xf numFmtId="2" fontId="6" fillId="5" borderId="12" xfId="3" applyNumberFormat="1" applyFont="1" applyFill="1" applyBorder="1"/>
    <xf numFmtId="0" fontId="9" fillId="0" borderId="0" xfId="5" applyFont="1" applyAlignment="1">
      <alignment vertical="center"/>
    </xf>
    <xf numFmtId="0" fontId="6" fillId="3" borderId="2" xfId="3" applyFont="1" applyFill="1" applyBorder="1"/>
    <xf numFmtId="165" fontId="9" fillId="0" borderId="0" xfId="5" applyNumberFormat="1" applyFont="1" applyAlignment="1">
      <alignment vertical="center"/>
    </xf>
    <xf numFmtId="165" fontId="12" fillId="0" borderId="12" xfId="1" applyNumberFormat="1" applyFont="1" applyBorder="1"/>
    <xf numFmtId="167" fontId="12" fillId="0" borderId="5" xfId="3" applyNumberFormat="1" applyFont="1" applyBorder="1"/>
    <xf numFmtId="165" fontId="12" fillId="0" borderId="6" xfId="1" applyNumberFormat="1" applyFont="1" applyFill="1" applyBorder="1"/>
    <xf numFmtId="165" fontId="9" fillId="0" borderId="6" xfId="1" applyNumberFormat="1" applyFont="1" applyFill="1" applyBorder="1"/>
    <xf numFmtId="167" fontId="9" fillId="0" borderId="11" xfId="3" applyNumberFormat="1" applyFont="1" applyBorder="1"/>
    <xf numFmtId="165" fontId="9" fillId="0" borderId="13" xfId="1" applyNumberFormat="1" applyFont="1" applyFill="1" applyBorder="1"/>
    <xf numFmtId="167" fontId="12" fillId="0" borderId="16" xfId="3" applyNumberFormat="1" applyFont="1" applyBorder="1"/>
    <xf numFmtId="165" fontId="12" fillId="0" borderId="17" xfId="1" applyNumberFormat="1" applyFont="1" applyFill="1" applyBorder="1"/>
    <xf numFmtId="0" fontId="12" fillId="3" borderId="19" xfId="4" applyFont="1" applyFill="1" applyBorder="1"/>
    <xf numFmtId="0" fontId="6" fillId="3" borderId="20" xfId="3" applyFont="1" applyFill="1" applyBorder="1" applyAlignment="1">
      <alignment horizontal="center"/>
    </xf>
    <xf numFmtId="0" fontId="9" fillId="0" borderId="21" xfId="4" applyFont="1" applyBorder="1"/>
    <xf numFmtId="165" fontId="9" fillId="0" borderId="22" xfId="1" applyNumberFormat="1" applyFont="1" applyBorder="1"/>
    <xf numFmtId="165" fontId="11" fillId="0" borderId="22" xfId="1" applyNumberFormat="1" applyFont="1" applyBorder="1"/>
    <xf numFmtId="0" fontId="9" fillId="0" borderId="11" xfId="4" applyFont="1" applyBorder="1"/>
    <xf numFmtId="165" fontId="11" fillId="0" borderId="12" xfId="1" applyNumberFormat="1" applyFont="1" applyBorder="1"/>
    <xf numFmtId="0" fontId="12" fillId="0" borderId="11" xfId="4" applyFont="1" applyBorder="1"/>
    <xf numFmtId="165" fontId="12" fillId="0" borderId="12" xfId="1" applyNumberFormat="1" applyFont="1" applyFill="1" applyBorder="1"/>
    <xf numFmtId="1" fontId="9" fillId="0" borderId="0" xfId="4" applyNumberFormat="1" applyFont="1"/>
    <xf numFmtId="165" fontId="6" fillId="0" borderId="0" xfId="1" applyNumberFormat="1" applyFont="1" applyBorder="1"/>
    <xf numFmtId="167" fontId="9" fillId="0" borderId="0" xfId="3" applyNumberFormat="1" applyFont="1" applyAlignment="1">
      <alignment horizontal="center"/>
    </xf>
    <xf numFmtId="0" fontId="11" fillId="0" borderId="0" xfId="0" applyFont="1"/>
    <xf numFmtId="0" fontId="7" fillId="5" borderId="11" xfId="3" applyFont="1" applyFill="1" applyBorder="1"/>
    <xf numFmtId="1" fontId="9" fillId="0" borderId="12" xfId="3" applyNumberFormat="1" applyFont="1" applyBorder="1" applyAlignment="1">
      <alignment horizontal="center"/>
    </xf>
    <xf numFmtId="1" fontId="9" fillId="0" borderId="13" xfId="3" applyNumberFormat="1" applyFont="1" applyBorder="1" applyAlignment="1">
      <alignment horizontal="center"/>
    </xf>
    <xf numFmtId="0" fontId="3" fillId="0" borderId="0" xfId="0" applyFont="1"/>
    <xf numFmtId="165" fontId="11" fillId="4" borderId="13" xfId="1" applyNumberFormat="1" applyFont="1" applyFill="1" applyBorder="1" applyAlignment="1">
      <alignment horizontal="right"/>
    </xf>
    <xf numFmtId="165" fontId="11" fillId="4" borderId="12" xfId="1" applyNumberFormat="1" applyFont="1" applyFill="1" applyBorder="1" applyAlignment="1">
      <alignment horizontal="right"/>
    </xf>
    <xf numFmtId="165" fontId="12" fillId="0" borderId="7" xfId="1" applyNumberFormat="1" applyFont="1" applyFill="1" applyBorder="1"/>
    <xf numFmtId="0" fontId="9" fillId="0" borderId="23" xfId="4" applyFont="1" applyBorder="1"/>
    <xf numFmtId="1" fontId="12" fillId="0" borderId="16" xfId="4" applyNumberFormat="1" applyFont="1" applyBorder="1"/>
    <xf numFmtId="0" fontId="9" fillId="0" borderId="24" xfId="4" applyFont="1" applyBorder="1"/>
    <xf numFmtId="2" fontId="11" fillId="0" borderId="12" xfId="3" applyNumberFormat="1" applyFont="1" applyBorder="1" applyAlignment="1">
      <alignment horizontal="center"/>
    </xf>
    <xf numFmtId="167" fontId="11" fillId="0" borderId="13" xfId="3" applyNumberFormat="1" applyFont="1" applyBorder="1" applyAlignment="1">
      <alignment horizontal="center"/>
    </xf>
    <xf numFmtId="1" fontId="11" fillId="5" borderId="12" xfId="3" applyNumberFormat="1" applyFont="1" applyFill="1" applyBorder="1" applyAlignment="1">
      <alignment horizontal="center"/>
    </xf>
    <xf numFmtId="167" fontId="11" fillId="0" borderId="12" xfId="3" applyNumberFormat="1" applyFont="1" applyBorder="1" applyAlignment="1">
      <alignment horizontal="center"/>
    </xf>
    <xf numFmtId="166" fontId="11" fillId="5" borderId="12" xfId="2" applyNumberFormat="1" applyFont="1" applyFill="1" applyBorder="1" applyAlignment="1">
      <alignment horizontal="center"/>
    </xf>
    <xf numFmtId="167" fontId="11" fillId="5" borderId="12" xfId="3" applyNumberFormat="1" applyFont="1" applyFill="1" applyBorder="1" applyAlignment="1">
      <alignment horizontal="center"/>
    </xf>
    <xf numFmtId="0" fontId="7" fillId="5" borderId="16" xfId="3" applyFont="1" applyFill="1" applyBorder="1"/>
    <xf numFmtId="1" fontId="9" fillId="5" borderId="17" xfId="3" applyNumberFormat="1" applyFont="1" applyFill="1" applyBorder="1" applyAlignment="1">
      <alignment horizontal="center"/>
    </xf>
    <xf numFmtId="1" fontId="9" fillId="5" borderId="18" xfId="3" applyNumberFormat="1" applyFont="1" applyFill="1" applyBorder="1" applyAlignment="1">
      <alignment horizontal="center"/>
    </xf>
    <xf numFmtId="1" fontId="11" fillId="0" borderId="12" xfId="3" applyNumberFormat="1" applyFont="1" applyBorder="1" applyAlignment="1">
      <alignment horizontal="center"/>
    </xf>
    <xf numFmtId="1" fontId="11" fillId="5" borderId="17" xfId="3" applyNumberFormat="1" applyFont="1" applyFill="1" applyBorder="1" applyAlignment="1">
      <alignment horizontal="center"/>
    </xf>
    <xf numFmtId="0" fontId="6" fillId="3" borderId="3" xfId="3" applyFont="1" applyFill="1" applyBorder="1" applyAlignment="1">
      <alignment horizontal="center"/>
    </xf>
    <xf numFmtId="0" fontId="12" fillId="5" borderId="26" xfId="4" applyFont="1" applyFill="1" applyBorder="1"/>
    <xf numFmtId="165" fontId="12" fillId="5" borderId="27" xfId="1" applyNumberFormat="1" applyFont="1" applyFill="1" applyBorder="1"/>
    <xf numFmtId="0" fontId="9" fillId="0" borderId="16" xfId="4" applyFont="1" applyBorder="1"/>
    <xf numFmtId="165" fontId="9" fillId="0" borderId="17" xfId="1" applyNumberFormat="1" applyFont="1" applyBorder="1"/>
    <xf numFmtId="165" fontId="9" fillId="0" borderId="17" xfId="1" applyNumberFormat="1" applyFont="1" applyBorder="1" applyAlignment="1">
      <alignment horizontal="right" indent="1"/>
    </xf>
    <xf numFmtId="165" fontId="8" fillId="5" borderId="27" xfId="1" applyNumberFormat="1" applyFont="1" applyFill="1" applyBorder="1"/>
    <xf numFmtId="169" fontId="1" fillId="0" borderId="12" xfId="1" applyNumberFormat="1" applyFont="1" applyBorder="1"/>
    <xf numFmtId="169" fontId="11" fillId="0" borderId="12" xfId="1" applyNumberFormat="1" applyFont="1" applyBorder="1"/>
    <xf numFmtId="169" fontId="9" fillId="0" borderId="12" xfId="1" applyNumberFormat="1" applyFont="1" applyBorder="1"/>
    <xf numFmtId="165" fontId="7" fillId="0" borderId="12" xfId="1" applyNumberFormat="1" applyFont="1" applyFill="1" applyBorder="1"/>
    <xf numFmtId="169" fontId="6" fillId="5" borderId="12" xfId="1" applyNumberFormat="1" applyFont="1" applyFill="1" applyBorder="1"/>
    <xf numFmtId="0" fontId="6" fillId="3" borderId="1" xfId="3" applyFont="1" applyFill="1" applyBorder="1"/>
    <xf numFmtId="0" fontId="6" fillId="3" borderId="0" xfId="3" applyFont="1" applyFill="1"/>
    <xf numFmtId="165" fontId="12" fillId="0" borderId="22" xfId="1" applyNumberFormat="1" applyFont="1" applyFill="1" applyBorder="1"/>
    <xf numFmtId="2" fontId="9" fillId="0" borderId="3" xfId="4" applyNumberFormat="1" applyFont="1" applyBorder="1" applyAlignment="1">
      <alignment horizontal="center"/>
    </xf>
    <xf numFmtId="2" fontId="11" fillId="0" borderId="12" xfId="4" applyNumberFormat="1" applyFont="1" applyBorder="1" applyAlignment="1">
      <alignment horizontal="center"/>
    </xf>
    <xf numFmtId="165" fontId="9" fillId="0" borderId="7" xfId="1" applyNumberFormat="1" applyFont="1" applyFill="1" applyBorder="1"/>
    <xf numFmtId="165" fontId="9" fillId="0" borderId="13" xfId="1" applyNumberFormat="1" applyFont="1" applyBorder="1"/>
    <xf numFmtId="165" fontId="12" fillId="0" borderId="13" xfId="1" applyNumberFormat="1" applyFont="1" applyBorder="1"/>
    <xf numFmtId="165" fontId="9" fillId="0" borderId="18" xfId="1" applyNumberFormat="1" applyFont="1" applyBorder="1"/>
    <xf numFmtId="164" fontId="0" fillId="0" borderId="0" xfId="0" applyNumberFormat="1"/>
    <xf numFmtId="10" fontId="0" fillId="0" borderId="0" xfId="0" applyNumberFormat="1"/>
    <xf numFmtId="166" fontId="0" fillId="0" borderId="0" xfId="2" applyNumberFormat="1" applyFont="1"/>
    <xf numFmtId="10" fontId="0" fillId="0" borderId="0" xfId="2" applyNumberFormat="1" applyFont="1"/>
    <xf numFmtId="0" fontId="9" fillId="0" borderId="2" xfId="4" applyFont="1" applyBorder="1"/>
    <xf numFmtId="0" fontId="11" fillId="0" borderId="3" xfId="0" applyFont="1" applyBorder="1"/>
    <xf numFmtId="0" fontId="9" fillId="0" borderId="3" xfId="4" applyFont="1" applyBorder="1"/>
    <xf numFmtId="0" fontId="0" fillId="0" borderId="4" xfId="0" applyBorder="1"/>
    <xf numFmtId="0" fontId="0" fillId="0" borderId="3" xfId="0" applyBorder="1"/>
    <xf numFmtId="43" fontId="9" fillId="0" borderId="0" xfId="4" applyNumberFormat="1" applyFont="1"/>
    <xf numFmtId="0" fontId="0" fillId="4" borderId="0" xfId="0" applyFill="1"/>
    <xf numFmtId="165" fontId="0" fillId="0" borderId="0" xfId="0" applyNumberFormat="1"/>
    <xf numFmtId="1" fontId="0" fillId="0" borderId="0" xfId="0" applyNumberFormat="1"/>
    <xf numFmtId="165" fontId="9" fillId="0" borderId="0" xfId="4" applyNumberFormat="1" applyFont="1"/>
    <xf numFmtId="0" fontId="6" fillId="3" borderId="4" xfId="3" applyFont="1" applyFill="1" applyBorder="1" applyAlignment="1">
      <alignment horizontal="center"/>
    </xf>
    <xf numFmtId="0" fontId="7" fillId="0" borderId="21" xfId="3" applyFont="1" applyBorder="1"/>
    <xf numFmtId="2" fontId="11" fillId="0" borderId="22" xfId="4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67" fontId="9" fillId="0" borderId="28" xfId="3" applyNumberFormat="1" applyFont="1" applyBorder="1" applyAlignment="1">
      <alignment horizontal="center"/>
    </xf>
    <xf numFmtId="0" fontId="9" fillId="0" borderId="22" xfId="4" applyFont="1" applyBorder="1" applyAlignment="1">
      <alignment horizontal="center"/>
    </xf>
    <xf numFmtId="3" fontId="0" fillId="0" borderId="0" xfId="0" applyNumberFormat="1"/>
    <xf numFmtId="0" fontId="6" fillId="3" borderId="34" xfId="3" applyFont="1" applyFill="1" applyBorder="1" applyAlignment="1">
      <alignment horizontal="center"/>
    </xf>
    <xf numFmtId="169" fontId="11" fillId="0" borderId="12" xfId="1" applyNumberFormat="1" applyFont="1" applyFill="1" applyBorder="1"/>
    <xf numFmtId="167" fontId="11" fillId="0" borderId="33" xfId="3" applyNumberFormat="1" applyFont="1" applyBorder="1" applyAlignment="1">
      <alignment horizontal="center"/>
    </xf>
    <xf numFmtId="2" fontId="9" fillId="0" borderId="6" xfId="4" applyNumberFormat="1" applyFont="1" applyBorder="1" applyAlignment="1">
      <alignment horizontal="center"/>
    </xf>
    <xf numFmtId="167" fontId="11" fillId="0" borderId="15" xfId="3" applyNumberFormat="1" applyFont="1" applyBorder="1" applyAlignment="1">
      <alignment horizontal="center"/>
    </xf>
    <xf numFmtId="1" fontId="11" fillId="0" borderId="15" xfId="3" applyNumberFormat="1" applyFont="1" applyBorder="1" applyAlignment="1">
      <alignment horizontal="center"/>
    </xf>
    <xf numFmtId="167" fontId="11" fillId="5" borderId="15" xfId="3" applyNumberFormat="1" applyFont="1" applyFill="1" applyBorder="1" applyAlignment="1">
      <alignment horizontal="center"/>
    </xf>
    <xf numFmtId="1" fontId="11" fillId="5" borderId="31" xfId="3" applyNumberFormat="1" applyFont="1" applyFill="1" applyBorder="1" applyAlignment="1">
      <alignment horizontal="center"/>
    </xf>
    <xf numFmtId="1" fontId="7" fillId="0" borderId="12" xfId="2" applyNumberFormat="1" applyFont="1" applyFill="1" applyBorder="1"/>
    <xf numFmtId="165" fontId="11" fillId="0" borderId="12" xfId="1" applyNumberFormat="1" applyFont="1" applyFill="1" applyBorder="1" applyAlignment="1">
      <alignment horizontal="right"/>
    </xf>
    <xf numFmtId="166" fontId="7" fillId="0" borderId="12" xfId="2" applyNumberFormat="1" applyFont="1" applyFill="1" applyBorder="1"/>
    <xf numFmtId="165" fontId="12" fillId="0" borderId="14" xfId="1" applyNumberFormat="1" applyFont="1" applyFill="1" applyBorder="1"/>
    <xf numFmtId="165" fontId="9" fillId="0" borderId="15" xfId="1" applyNumberFormat="1" applyFont="1" applyFill="1" applyBorder="1"/>
    <xf numFmtId="165" fontId="12" fillId="0" borderId="30" xfId="1" applyNumberFormat="1" applyFont="1" applyFill="1" applyBorder="1"/>
    <xf numFmtId="165" fontId="12" fillId="0" borderId="31" xfId="1" applyNumberFormat="1" applyFont="1" applyFill="1" applyBorder="1"/>
    <xf numFmtId="165" fontId="9" fillId="0" borderId="22" xfId="1" applyNumberFormat="1" applyFont="1" applyFill="1" applyBorder="1"/>
    <xf numFmtId="165" fontId="9" fillId="0" borderId="35" xfId="1" applyNumberFormat="1" applyFont="1" applyFill="1" applyBorder="1"/>
    <xf numFmtId="165" fontId="9" fillId="0" borderId="36" xfId="1" applyNumberFormat="1" applyFont="1" applyFill="1" applyBorder="1"/>
    <xf numFmtId="165" fontId="12" fillId="0" borderId="36" xfId="1" applyNumberFormat="1" applyFont="1" applyFill="1" applyBorder="1"/>
    <xf numFmtId="165" fontId="8" fillId="5" borderId="32" xfId="1" applyNumberFormat="1" applyFont="1" applyFill="1" applyBorder="1"/>
    <xf numFmtId="165" fontId="8" fillId="5" borderId="10" xfId="1" applyNumberFormat="1" applyFont="1" applyFill="1" applyBorder="1"/>
    <xf numFmtId="0" fontId="6" fillId="3" borderId="2" xfId="3" applyFont="1" applyFill="1" applyBorder="1" applyAlignment="1">
      <alignment horizont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6" fillId="3" borderId="1" xfId="3" applyFont="1" applyFill="1" applyBorder="1" applyAlignment="1">
      <alignment horizontal="center"/>
    </xf>
    <xf numFmtId="0" fontId="6" fillId="3" borderId="0" xfId="3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9" fontId="6" fillId="5" borderId="12" xfId="1" applyNumberFormat="1" applyFont="1" applyFill="1" applyBorder="1" applyAlignment="1">
      <alignment horizontal="right"/>
    </xf>
    <xf numFmtId="170" fontId="7" fillId="0" borderId="22" xfId="1" applyNumberFormat="1" applyFont="1" applyFill="1" applyBorder="1"/>
    <xf numFmtId="170" fontId="7" fillId="0" borderId="28" xfId="1" applyNumberFormat="1" applyFont="1" applyFill="1" applyBorder="1"/>
    <xf numFmtId="170" fontId="7" fillId="0" borderId="35" xfId="1" applyNumberFormat="1" applyFont="1" applyFill="1" applyBorder="1"/>
    <xf numFmtId="169" fontId="9" fillId="0" borderId="13" xfId="1" applyNumberFormat="1" applyFont="1" applyBorder="1"/>
    <xf numFmtId="169" fontId="9" fillId="0" borderId="36" xfId="1" applyNumberFormat="1" applyFont="1" applyBorder="1"/>
    <xf numFmtId="169" fontId="9" fillId="0" borderId="25" xfId="1" applyNumberFormat="1" applyFont="1" applyBorder="1"/>
    <xf numFmtId="169" fontId="9" fillId="0" borderId="29" xfId="1" applyNumberFormat="1" applyFont="1" applyBorder="1"/>
    <xf numFmtId="169" fontId="9" fillId="0" borderId="37" xfId="1" applyNumberFormat="1" applyFont="1" applyBorder="1"/>
    <xf numFmtId="169" fontId="12" fillId="0" borderId="17" xfId="1" applyNumberFormat="1" applyFont="1" applyFill="1" applyBorder="1"/>
    <xf numFmtId="169" fontId="12" fillId="0" borderId="18" xfId="1" applyNumberFormat="1" applyFont="1" applyFill="1" applyBorder="1"/>
    <xf numFmtId="169" fontId="12" fillId="0" borderId="38" xfId="1" applyNumberFormat="1" applyFont="1" applyFill="1" applyBorder="1"/>
    <xf numFmtId="169" fontId="11" fillId="0" borderId="22" xfId="1" applyNumberFormat="1" applyFont="1" applyFill="1" applyBorder="1"/>
    <xf numFmtId="169" fontId="11" fillId="0" borderId="33" xfId="1" applyNumberFormat="1" applyFont="1" applyFill="1" applyBorder="1"/>
    <xf numFmtId="169" fontId="11" fillId="0" borderId="15" xfId="1" applyNumberFormat="1" applyFont="1" applyFill="1" applyBorder="1"/>
    <xf numFmtId="165" fontId="6" fillId="5" borderId="15" xfId="1" applyNumberFormat="1" applyFont="1" applyFill="1" applyBorder="1"/>
    <xf numFmtId="0" fontId="9" fillId="0" borderId="11" xfId="3" quotePrefix="1" applyFont="1" applyBorder="1"/>
    <xf numFmtId="1" fontId="9" fillId="0" borderId="11" xfId="3" quotePrefix="1" applyNumberFormat="1" applyFont="1" applyBorder="1"/>
    <xf numFmtId="0" fontId="7" fillId="0" borderId="11" xfId="3" quotePrefix="1" applyFont="1" applyBorder="1"/>
    <xf numFmtId="0" fontId="9" fillId="0" borderId="11" xfId="4" quotePrefix="1" applyFont="1" applyBorder="1"/>
    <xf numFmtId="0" fontId="6" fillId="0" borderId="16" xfId="3" applyFont="1" applyBorder="1"/>
    <xf numFmtId="0" fontId="6" fillId="3" borderId="21" xfId="3" applyFont="1" applyFill="1" applyBorder="1"/>
    <xf numFmtId="0" fontId="6" fillId="3" borderId="22" xfId="3" applyFont="1" applyFill="1" applyBorder="1" applyAlignment="1">
      <alignment horizontal="center"/>
    </xf>
    <xf numFmtId="0" fontId="6" fillId="3" borderId="39" xfId="3" applyFont="1" applyFill="1" applyBorder="1" applyAlignment="1">
      <alignment horizontal="center"/>
    </xf>
    <xf numFmtId="165" fontId="8" fillId="0" borderId="15" xfId="1" applyNumberFormat="1" applyFont="1" applyFill="1" applyBorder="1"/>
    <xf numFmtId="166" fontId="7" fillId="0" borderId="15" xfId="2" applyNumberFormat="1" applyFont="1" applyFill="1" applyBorder="1" applyAlignment="1">
      <alignment horizontal="right"/>
    </xf>
    <xf numFmtId="166" fontId="7" fillId="5" borderId="15" xfId="2" applyNumberFormat="1" applyFont="1" applyFill="1" applyBorder="1" applyAlignment="1">
      <alignment horizontal="right"/>
    </xf>
    <xf numFmtId="3" fontId="6" fillId="0" borderId="15" xfId="3" applyNumberFormat="1" applyFont="1" applyBorder="1" applyAlignment="1">
      <alignment horizontal="right"/>
    </xf>
    <xf numFmtId="3" fontId="7" fillId="0" borderId="15" xfId="3" applyNumberFormat="1" applyFont="1" applyBorder="1" applyAlignment="1">
      <alignment horizontal="right"/>
    </xf>
    <xf numFmtId="165" fontId="7" fillId="0" borderId="15" xfId="1" applyNumberFormat="1" applyFont="1" applyFill="1" applyBorder="1"/>
    <xf numFmtId="169" fontId="6" fillId="5" borderId="15" xfId="1" applyNumberFormat="1" applyFont="1" applyFill="1" applyBorder="1"/>
    <xf numFmtId="166" fontId="6" fillId="5" borderId="15" xfId="2" applyNumberFormat="1" applyFont="1" applyFill="1" applyBorder="1"/>
    <xf numFmtId="1" fontId="7" fillId="0" borderId="15" xfId="2" applyNumberFormat="1" applyFont="1" applyFill="1" applyBorder="1"/>
    <xf numFmtId="165" fontId="11" fillId="0" borderId="15" xfId="1" applyNumberFormat="1" applyFont="1" applyFill="1" applyBorder="1" applyAlignment="1">
      <alignment horizontal="right"/>
    </xf>
    <xf numFmtId="1" fontId="7" fillId="0" borderId="15" xfId="3" applyNumberFormat="1" applyFont="1" applyBorder="1"/>
    <xf numFmtId="166" fontId="7" fillId="0" borderId="15" xfId="2" applyNumberFormat="1" applyFont="1" applyFill="1" applyBorder="1"/>
    <xf numFmtId="0" fontId="9" fillId="5" borderId="11" xfId="4" applyFont="1" applyFill="1" applyBorder="1"/>
    <xf numFmtId="1" fontId="7" fillId="5" borderId="15" xfId="2" applyNumberFormat="1" applyFont="1" applyFill="1" applyBorder="1" applyAlignment="1">
      <alignment horizontal="right"/>
    </xf>
    <xf numFmtId="0" fontId="12" fillId="5" borderId="11" xfId="4" applyFont="1" applyFill="1" applyBorder="1"/>
    <xf numFmtId="169" fontId="6" fillId="5" borderId="15" xfId="1" applyNumberFormat="1" applyFont="1" applyFill="1" applyBorder="1" applyAlignment="1">
      <alignment horizontal="right"/>
    </xf>
    <xf numFmtId="2" fontId="6" fillId="5" borderId="15" xfId="3" applyNumberFormat="1" applyFont="1" applyFill="1" applyBorder="1"/>
    <xf numFmtId="0" fontId="10" fillId="5" borderId="16" xfId="3" applyFont="1" applyFill="1" applyBorder="1"/>
    <xf numFmtId="166" fontId="7" fillId="5" borderId="17" xfId="2" applyNumberFormat="1" applyFont="1" applyFill="1" applyBorder="1" applyAlignment="1">
      <alignment horizontal="right"/>
    </xf>
    <xf numFmtId="166" fontId="7" fillId="5" borderId="31" xfId="2" applyNumberFormat="1" applyFont="1" applyFill="1" applyBorder="1" applyAlignment="1">
      <alignment horizontal="right"/>
    </xf>
    <xf numFmtId="0" fontId="6" fillId="3" borderId="40" xfId="3" applyFont="1" applyFill="1" applyBorder="1" applyAlignment="1">
      <alignment horizontal="center"/>
    </xf>
    <xf numFmtId="169" fontId="9" fillId="0" borderId="22" xfId="1" applyNumberFormat="1" applyFont="1" applyBorder="1"/>
    <xf numFmtId="169" fontId="11" fillId="0" borderId="22" xfId="1" applyNumberFormat="1" applyFont="1" applyBorder="1"/>
    <xf numFmtId="169" fontId="7" fillId="0" borderId="12" xfId="1" applyNumberFormat="1" applyFont="1" applyFill="1" applyBorder="1"/>
    <xf numFmtId="169" fontId="11" fillId="0" borderId="15" xfId="1" applyNumberFormat="1" applyFont="1" applyBorder="1"/>
    <xf numFmtId="169" fontId="6" fillId="0" borderId="12" xfId="1" applyNumberFormat="1" applyFont="1" applyBorder="1"/>
    <xf numFmtId="169" fontId="6" fillId="0" borderId="12" xfId="1" applyNumberFormat="1" applyFont="1" applyFill="1" applyBorder="1"/>
    <xf numFmtId="169" fontId="6" fillId="0" borderId="15" xfId="1" applyNumberFormat="1" applyFont="1" applyFill="1" applyBorder="1"/>
    <xf numFmtId="169" fontId="12" fillId="0" borderId="12" xfId="1" applyNumberFormat="1" applyFont="1" applyFill="1" applyBorder="1"/>
    <xf numFmtId="169" fontId="12" fillId="0" borderId="15" xfId="1" applyNumberFormat="1" applyFont="1" applyFill="1" applyBorder="1"/>
    <xf numFmtId="169" fontId="9" fillId="0" borderId="12" xfId="1" applyNumberFormat="1" applyFont="1" applyFill="1" applyBorder="1"/>
    <xf numFmtId="169" fontId="7" fillId="0" borderId="12" xfId="1" applyNumberFormat="1" applyFont="1" applyBorder="1"/>
    <xf numFmtId="169" fontId="6" fillId="0" borderId="12" xfId="1" applyNumberFormat="1" applyFont="1" applyBorder="1" applyAlignment="1">
      <alignment horizontal="right"/>
    </xf>
    <xf numFmtId="169" fontId="6" fillId="0" borderId="12" xfId="1" applyNumberFormat="1" applyFont="1" applyFill="1" applyBorder="1" applyAlignment="1">
      <alignment horizontal="right"/>
    </xf>
    <xf numFmtId="169" fontId="6" fillId="0" borderId="15" xfId="1" applyNumberFormat="1" applyFont="1" applyFill="1" applyBorder="1" applyAlignment="1">
      <alignment horizontal="right"/>
    </xf>
    <xf numFmtId="169" fontId="9" fillId="0" borderId="12" xfId="1" applyNumberFormat="1" applyFont="1" applyBorder="1" applyAlignment="1">
      <alignment horizontal="center"/>
    </xf>
    <xf numFmtId="169" fontId="9" fillId="4" borderId="12" xfId="1" applyNumberFormat="1" applyFont="1" applyFill="1" applyBorder="1" applyAlignment="1">
      <alignment horizontal="center"/>
    </xf>
    <xf numFmtId="169" fontId="12" fillId="0" borderId="12" xfId="1" applyNumberFormat="1" applyFont="1" applyBorder="1" applyAlignment="1">
      <alignment horizontal="center"/>
    </xf>
    <xf numFmtId="169" fontId="12" fillId="4" borderId="12" xfId="1" applyNumberFormat="1" applyFont="1" applyFill="1" applyBorder="1" applyAlignment="1">
      <alignment horizontal="center"/>
    </xf>
    <xf numFmtId="169" fontId="9" fillId="4" borderId="12" xfId="1" applyNumberFormat="1" applyFont="1" applyFill="1" applyBorder="1"/>
    <xf numFmtId="169" fontId="12" fillId="0" borderId="12" xfId="1" applyNumberFormat="1" applyFont="1" applyBorder="1"/>
    <xf numFmtId="169" fontId="9" fillId="0" borderId="15" xfId="1" applyNumberFormat="1" applyFont="1" applyFill="1" applyBorder="1"/>
    <xf numFmtId="169" fontId="6" fillId="0" borderId="17" xfId="1" applyNumberFormat="1" applyFont="1" applyBorder="1"/>
    <xf numFmtId="169" fontId="6" fillId="0" borderId="17" xfId="1" applyNumberFormat="1" applyFont="1" applyFill="1" applyBorder="1"/>
    <xf numFmtId="169" fontId="6" fillId="0" borderId="31" xfId="1" applyNumberFormat="1" applyFont="1" applyFill="1" applyBorder="1"/>
    <xf numFmtId="165" fontId="9" fillId="0" borderId="31" xfId="1" applyNumberFormat="1" applyFont="1" applyBorder="1"/>
  </cellXfs>
  <cellStyles count="6">
    <cellStyle name="Comma" xfId="1" builtinId="3"/>
    <cellStyle name="Normal" xfId="0" builtinId="0"/>
    <cellStyle name="Normal 2" xfId="4" xr:uid="{00000000-0005-0000-0000-000002000000}"/>
    <cellStyle name="Normal_TEMP_CO" xfId="5" xr:uid="{00000000-0005-0000-0000-000003000000}"/>
    <cellStyle name="Percent" xfId="2" builtinId="5"/>
    <cellStyle name="Style 1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1"/>
  <sheetViews>
    <sheetView tabSelected="1" zoomScale="84" zoomScaleNormal="84" workbookViewId="0">
      <selection activeCell="U66" sqref="U64:V66"/>
    </sheetView>
  </sheetViews>
  <sheetFormatPr defaultColWidth="11.125" defaultRowHeight="15.75"/>
  <cols>
    <col min="1" max="1" width="35.625" bestFit="1" customWidth="1"/>
    <col min="10" max="10" width="13.875" customWidth="1"/>
    <col min="11" max="11" width="33.5" bestFit="1" customWidth="1"/>
  </cols>
  <sheetData>
    <row r="1" spans="1:19" ht="16.5" thickBot="1">
      <c r="A1" s="159" t="s">
        <v>109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19" ht="16.5" thickBot="1">
      <c r="A2" s="154" t="s">
        <v>0</v>
      </c>
      <c r="B2" s="155"/>
      <c r="C2" s="155"/>
      <c r="D2" s="155"/>
      <c r="E2" s="155"/>
      <c r="F2" s="155"/>
      <c r="G2" s="155"/>
      <c r="H2" s="155"/>
      <c r="I2" s="156"/>
      <c r="J2" s="1"/>
      <c r="K2" s="157" t="s">
        <v>1</v>
      </c>
      <c r="L2" s="158"/>
      <c r="M2" s="158"/>
      <c r="N2" s="158"/>
      <c r="O2" s="158"/>
      <c r="P2" s="158"/>
      <c r="Q2" s="158"/>
      <c r="R2" s="158"/>
      <c r="S2" s="158"/>
    </row>
    <row r="3" spans="1:19" ht="16.5" thickBot="1">
      <c r="A3" s="182" t="s">
        <v>2</v>
      </c>
      <c r="B3" s="183" t="s">
        <v>3</v>
      </c>
      <c r="C3" s="183" t="s">
        <v>4</v>
      </c>
      <c r="D3" s="183" t="s">
        <v>5</v>
      </c>
      <c r="E3" s="183" t="s">
        <v>6</v>
      </c>
      <c r="F3" s="183" t="s">
        <v>7</v>
      </c>
      <c r="G3" s="183" t="s">
        <v>110</v>
      </c>
      <c r="H3" s="183" t="s">
        <v>115</v>
      </c>
      <c r="I3" s="184" t="s">
        <v>131</v>
      </c>
      <c r="J3" s="2"/>
      <c r="K3" s="3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 t="s">
        <v>7</v>
      </c>
      <c r="Q3" s="133" t="s">
        <v>110</v>
      </c>
      <c r="R3" s="4" t="s">
        <v>115</v>
      </c>
      <c r="S3" s="126" t="s">
        <v>131</v>
      </c>
    </row>
    <row r="4" spans="1:19">
      <c r="A4" s="6" t="s">
        <v>8</v>
      </c>
      <c r="B4" s="7">
        <v>9551</v>
      </c>
      <c r="C4" s="7">
        <v>9235</v>
      </c>
      <c r="D4" s="7">
        <v>11411</v>
      </c>
      <c r="E4" s="7">
        <v>11024</v>
      </c>
      <c r="F4" s="8">
        <v>13047</v>
      </c>
      <c r="G4" s="7">
        <v>23333</v>
      </c>
      <c r="H4" s="8">
        <v>35280.370000000003</v>
      </c>
      <c r="I4" s="185">
        <v>34662.784</v>
      </c>
      <c r="J4" s="9"/>
      <c r="K4" s="127" t="s">
        <v>9</v>
      </c>
      <c r="L4" s="206">
        <v>359</v>
      </c>
      <c r="M4" s="207">
        <v>362</v>
      </c>
      <c r="N4" s="207">
        <v>365</v>
      </c>
      <c r="O4" s="207">
        <v>366</v>
      </c>
      <c r="P4" s="207">
        <v>366</v>
      </c>
      <c r="Q4" s="207">
        <v>367.34699999999998</v>
      </c>
      <c r="R4" s="173">
        <v>367</v>
      </c>
      <c r="S4" s="174">
        <v>367.62599999999998</v>
      </c>
    </row>
    <row r="5" spans="1:19">
      <c r="A5" s="10" t="s">
        <v>10</v>
      </c>
      <c r="B5" s="11">
        <f t="shared" ref="B5:F5" si="0">SUM(B4:B4)</f>
        <v>9551</v>
      </c>
      <c r="C5" s="11">
        <f t="shared" si="0"/>
        <v>9235</v>
      </c>
      <c r="D5" s="11">
        <f t="shared" si="0"/>
        <v>11411</v>
      </c>
      <c r="E5" s="11">
        <f t="shared" si="0"/>
        <v>11024</v>
      </c>
      <c r="F5" s="11">
        <f t="shared" si="0"/>
        <v>13047</v>
      </c>
      <c r="G5" s="11">
        <f>G4</f>
        <v>23333</v>
      </c>
      <c r="H5" s="11">
        <f>H4</f>
        <v>35280.370000000003</v>
      </c>
      <c r="I5" s="176">
        <f>I4</f>
        <v>34662.784</v>
      </c>
      <c r="J5" s="12"/>
      <c r="K5" s="21" t="s">
        <v>11</v>
      </c>
      <c r="L5" s="100">
        <v>6737</v>
      </c>
      <c r="M5" s="98">
        <v>6899</v>
      </c>
      <c r="N5" s="98">
        <v>7085</v>
      </c>
      <c r="O5" s="98">
        <v>6826</v>
      </c>
      <c r="P5" s="98">
        <v>7652</v>
      </c>
      <c r="Q5" s="98">
        <v>8789.8379999999997</v>
      </c>
      <c r="R5" s="134">
        <v>10412.549999999999</v>
      </c>
      <c r="S5" s="175">
        <v>12377.073</v>
      </c>
    </row>
    <row r="6" spans="1:19">
      <c r="A6" s="14" t="s">
        <v>12</v>
      </c>
      <c r="B6" s="15" t="s">
        <v>13</v>
      </c>
      <c r="C6" s="15">
        <f t="shared" ref="C6:E6" si="1">+C5/B5-1</f>
        <v>-3.3085540781070066E-2</v>
      </c>
      <c r="D6" s="15">
        <f t="shared" si="1"/>
        <v>0.23562533838657274</v>
      </c>
      <c r="E6" s="15">
        <f t="shared" si="1"/>
        <v>-3.3914643764788366E-2</v>
      </c>
      <c r="F6" s="15">
        <f>+F5/E5-1</f>
        <v>0.18350870827285926</v>
      </c>
      <c r="G6" s="15">
        <f>+G5/F5-1</f>
        <v>0.78838047060626959</v>
      </c>
      <c r="H6" s="15">
        <f>+H5/G5-1</f>
        <v>0.51203745767796693</v>
      </c>
      <c r="I6" s="186">
        <f>+I5/H5-1</f>
        <v>-1.750508852373156E-2</v>
      </c>
      <c r="J6" s="12"/>
      <c r="K6" s="10" t="s">
        <v>14</v>
      </c>
      <c r="L6" s="102">
        <f t="shared" ref="L6:M6" si="2">SUM(L4:L5)</f>
        <v>7096</v>
      </c>
      <c r="M6" s="102">
        <f t="shared" si="2"/>
        <v>7261</v>
      </c>
      <c r="N6" s="102">
        <f t="shared" ref="N6:P6" si="3">SUM(N4:N5)</f>
        <v>7450</v>
      </c>
      <c r="O6" s="102">
        <f t="shared" si="3"/>
        <v>7192</v>
      </c>
      <c r="P6" s="102">
        <f t="shared" si="3"/>
        <v>8018</v>
      </c>
      <c r="Q6" s="102">
        <f>SUM(Q4:Q5)</f>
        <v>9157.1849999999995</v>
      </c>
      <c r="R6" s="102">
        <f>SUM(R4:R5)</f>
        <v>10779.55</v>
      </c>
      <c r="S6" s="191">
        <f>SUM(S4:S5)</f>
        <v>12744.699000000001</v>
      </c>
    </row>
    <row r="7" spans="1:19">
      <c r="A7" s="16" t="s">
        <v>105</v>
      </c>
      <c r="B7" s="17" t="s">
        <v>13</v>
      </c>
      <c r="C7" s="17" t="s">
        <v>13</v>
      </c>
      <c r="D7" s="17" t="s">
        <v>13</v>
      </c>
      <c r="E7" s="17">
        <f t="shared" ref="E7" si="4">+((E5/B5)^(1/3)-1)</f>
        <v>4.8970930856131467E-2</v>
      </c>
      <c r="F7" s="17">
        <f>+((F5/C5)^(1/3)-1)</f>
        <v>0.12208197905651308</v>
      </c>
      <c r="G7" s="17">
        <f>+((G5/D5)^(1/3)-1)</f>
        <v>0.26925522110288602</v>
      </c>
      <c r="H7" s="17">
        <f>+((H5/E5)^(1/3)-1)</f>
        <v>0.47366230747508342</v>
      </c>
      <c r="I7" s="187">
        <f>+((I5/F5)^(1/3)-1)</f>
        <v>0.38500367625621235</v>
      </c>
      <c r="J7" s="18"/>
      <c r="K7" s="10" t="s">
        <v>18</v>
      </c>
      <c r="L7" s="102">
        <f t="shared" ref="L7:P7" si="5">L6+L38+L45</f>
        <v>7140</v>
      </c>
      <c r="M7" s="102">
        <f t="shared" si="5"/>
        <v>7320</v>
      </c>
      <c r="N7" s="102">
        <f t="shared" si="5"/>
        <v>7450</v>
      </c>
      <c r="O7" s="102">
        <f t="shared" si="5"/>
        <v>7192</v>
      </c>
      <c r="P7" s="102">
        <f t="shared" si="5"/>
        <v>8018</v>
      </c>
      <c r="Q7" s="102">
        <f>Q6+Q38+Q45</f>
        <v>9157.1849999999995</v>
      </c>
      <c r="R7" s="102">
        <f>R6+R43+R8</f>
        <v>11181.224999999999</v>
      </c>
      <c r="S7" s="191">
        <f>S6+S43+S8</f>
        <v>14363.223</v>
      </c>
    </row>
    <row r="8" spans="1:19">
      <c r="A8" s="6" t="s">
        <v>16</v>
      </c>
      <c r="B8" s="19">
        <f t="shared" ref="B8:F8" si="6">SUM(B9:B13)</f>
        <v>8864</v>
      </c>
      <c r="C8" s="19">
        <f t="shared" si="6"/>
        <v>8720</v>
      </c>
      <c r="D8" s="19">
        <f t="shared" si="6"/>
        <v>10618</v>
      </c>
      <c r="E8" s="19">
        <f t="shared" si="6"/>
        <v>10244</v>
      </c>
      <c r="F8" s="19">
        <f t="shared" si="6"/>
        <v>11923</v>
      </c>
      <c r="G8" s="19">
        <f>SUM(G9:G13)</f>
        <v>21274.600000000002</v>
      </c>
      <c r="H8" s="19">
        <f>SUM(H9:H13)</f>
        <v>32100.26</v>
      </c>
      <c r="I8" s="188">
        <f>SUM(I9:I13)</f>
        <v>30784.719999999998</v>
      </c>
      <c r="J8" s="20"/>
      <c r="K8" s="21" t="s">
        <v>112</v>
      </c>
      <c r="L8" s="208">
        <v>2.8</v>
      </c>
      <c r="M8" s="208">
        <v>6.6</v>
      </c>
      <c r="N8" s="208">
        <v>6.64</v>
      </c>
      <c r="O8" s="208">
        <v>6.6970000000000001</v>
      </c>
      <c r="P8" s="208">
        <v>6.8150000000000004</v>
      </c>
      <c r="Q8" s="208">
        <v>6.8410000000000002</v>
      </c>
      <c r="R8" s="99">
        <v>1</v>
      </c>
      <c r="S8" s="209">
        <v>0.999</v>
      </c>
    </row>
    <row r="9" spans="1:19">
      <c r="A9" s="21" t="s">
        <v>104</v>
      </c>
      <c r="B9" s="22">
        <v>4770</v>
      </c>
      <c r="C9" s="22">
        <v>4712</v>
      </c>
      <c r="D9" s="22">
        <v>6013</v>
      </c>
      <c r="E9" s="22">
        <v>5670</v>
      </c>
      <c r="F9" s="23">
        <v>7310</v>
      </c>
      <c r="G9" s="23">
        <v>14811.3</v>
      </c>
      <c r="H9" s="22">
        <v>22291.93</v>
      </c>
      <c r="I9" s="189">
        <v>19121.692999999999</v>
      </c>
      <c r="J9" s="20"/>
      <c r="K9" s="6" t="s">
        <v>20</v>
      </c>
      <c r="L9" s="210">
        <f t="shared" ref="L9:Q9" si="7">B60</f>
        <v>13704</v>
      </c>
      <c r="M9" s="210">
        <f t="shared" si="7"/>
        <v>13831.36</v>
      </c>
      <c r="N9" s="210">
        <f t="shared" si="7"/>
        <v>27703.519999999997</v>
      </c>
      <c r="O9" s="210">
        <f t="shared" si="7"/>
        <v>9621.6549999999988</v>
      </c>
      <c r="P9" s="210">
        <f t="shared" si="7"/>
        <v>34648.879999999997</v>
      </c>
      <c r="Q9" s="210">
        <f t="shared" si="7"/>
        <v>72072.437000000005</v>
      </c>
      <c r="R9" s="211">
        <f>H60</f>
        <v>61188.787353600004</v>
      </c>
      <c r="S9" s="212">
        <f>I60</f>
        <v>95790.173977600018</v>
      </c>
    </row>
    <row r="10" spans="1:19">
      <c r="A10" s="21" t="s">
        <v>17</v>
      </c>
      <c r="B10" s="22">
        <v>-99</v>
      </c>
      <c r="C10" s="22">
        <v>-19</v>
      </c>
      <c r="D10" s="22">
        <v>82</v>
      </c>
      <c r="E10" s="22">
        <v>-146</v>
      </c>
      <c r="F10" s="23">
        <v>51</v>
      </c>
      <c r="G10" s="23">
        <v>-273.8</v>
      </c>
      <c r="H10" s="22">
        <v>-277.58</v>
      </c>
      <c r="I10" s="189">
        <v>499.46300000000002</v>
      </c>
      <c r="J10" s="20"/>
      <c r="K10" s="62" t="s">
        <v>21</v>
      </c>
      <c r="L10" s="100">
        <v>4628</v>
      </c>
      <c r="M10" s="99">
        <v>5133</v>
      </c>
      <c r="N10" s="99">
        <v>4203</v>
      </c>
      <c r="O10" s="99">
        <v>5664</v>
      </c>
      <c r="P10" s="99">
        <v>5740</v>
      </c>
      <c r="Q10" s="99">
        <v>5740</v>
      </c>
      <c r="R10" s="134">
        <v>5164.3530000000001</v>
      </c>
      <c r="S10" s="175"/>
    </row>
    <row r="11" spans="1:19">
      <c r="A11" s="21" t="s">
        <v>19</v>
      </c>
      <c r="B11" s="13">
        <v>1480</v>
      </c>
      <c r="C11" s="13">
        <v>1495</v>
      </c>
      <c r="D11" s="13">
        <v>1606</v>
      </c>
      <c r="E11" s="13">
        <v>1640</v>
      </c>
      <c r="F11" s="24">
        <v>1722</v>
      </c>
      <c r="G11" s="24">
        <v>2176.1999999999998</v>
      </c>
      <c r="H11" s="101">
        <v>2575.91</v>
      </c>
      <c r="I11" s="190">
        <v>3187.3539999999998</v>
      </c>
      <c r="J11" s="20"/>
      <c r="K11" s="6" t="s">
        <v>100</v>
      </c>
      <c r="L11" s="213">
        <f t="shared" ref="L11:Q11" si="8">SUM(L12:L23)</f>
        <v>3521</v>
      </c>
      <c r="M11" s="213">
        <f t="shared" si="8"/>
        <v>3413</v>
      </c>
      <c r="N11" s="213">
        <f t="shared" si="8"/>
        <v>3862</v>
      </c>
      <c r="O11" s="213">
        <f t="shared" si="8"/>
        <v>3818</v>
      </c>
      <c r="P11" s="213">
        <f t="shared" si="8"/>
        <v>3585</v>
      </c>
      <c r="Q11" s="213">
        <f t="shared" si="8"/>
        <v>3722.2309999999998</v>
      </c>
      <c r="R11" s="213">
        <f>SUM(R12:R23)</f>
        <v>4367.12</v>
      </c>
      <c r="S11" s="214">
        <f>SUM(S12:S23)</f>
        <v>6714.8830000000007</v>
      </c>
    </row>
    <row r="12" spans="1:19">
      <c r="A12" s="21" t="s">
        <v>92</v>
      </c>
      <c r="B12" s="13">
        <v>402</v>
      </c>
      <c r="C12" s="13">
        <v>69</v>
      </c>
      <c r="D12" s="13">
        <v>0</v>
      </c>
      <c r="E12" s="13">
        <v>0</v>
      </c>
      <c r="F12" s="24">
        <v>0</v>
      </c>
      <c r="G12" s="24">
        <v>0</v>
      </c>
      <c r="H12" s="101">
        <v>0</v>
      </c>
      <c r="I12" s="190">
        <v>0</v>
      </c>
      <c r="J12" s="20"/>
      <c r="K12" s="21" t="s">
        <v>23</v>
      </c>
      <c r="L12" s="100">
        <v>1915</v>
      </c>
      <c r="M12" s="215">
        <v>2198</v>
      </c>
      <c r="N12" s="215">
        <v>2128</v>
      </c>
      <c r="O12" s="215">
        <v>2167</v>
      </c>
      <c r="P12" s="215">
        <v>2064</v>
      </c>
      <c r="Q12" s="99">
        <v>2085.3290000000002</v>
      </c>
      <c r="R12" s="134">
        <v>2365.9899999999998</v>
      </c>
      <c r="S12" s="175">
        <v>4071.8580000000002</v>
      </c>
    </row>
    <row r="13" spans="1:19">
      <c r="A13" s="21" t="s">
        <v>114</v>
      </c>
      <c r="B13" s="13">
        <v>2311</v>
      </c>
      <c r="C13" s="13">
        <v>2463</v>
      </c>
      <c r="D13" s="13">
        <v>2917</v>
      </c>
      <c r="E13" s="13">
        <v>3080</v>
      </c>
      <c r="F13" s="24">
        <v>2840</v>
      </c>
      <c r="G13" s="24">
        <f>4681.6-120.7</f>
        <v>4560.9000000000005</v>
      </c>
      <c r="H13" s="101">
        <v>7510</v>
      </c>
      <c r="I13" s="190">
        <f>8135.816-159.606</f>
        <v>7976.21</v>
      </c>
      <c r="J13" s="20"/>
      <c r="K13" s="21" t="s">
        <v>24</v>
      </c>
      <c r="L13" s="216">
        <v>315</v>
      </c>
      <c r="M13" s="99">
        <v>42</v>
      </c>
      <c r="N13" s="99">
        <v>22</v>
      </c>
      <c r="O13" s="99">
        <v>21</v>
      </c>
      <c r="P13" s="99">
        <v>4</v>
      </c>
      <c r="Q13" s="99">
        <v>14.260999999999999</v>
      </c>
      <c r="R13" s="134">
        <v>68.72</v>
      </c>
      <c r="S13" s="175">
        <v>31.991</v>
      </c>
    </row>
    <row r="14" spans="1:19">
      <c r="A14" s="10" t="s">
        <v>22</v>
      </c>
      <c r="B14" s="28">
        <f t="shared" ref="B14:E14" si="9">+B5-B8</f>
        <v>687</v>
      </c>
      <c r="C14" s="28">
        <f t="shared" si="9"/>
        <v>515</v>
      </c>
      <c r="D14" s="28">
        <f t="shared" si="9"/>
        <v>793</v>
      </c>
      <c r="E14" s="28">
        <f t="shared" si="9"/>
        <v>780</v>
      </c>
      <c r="F14" s="102">
        <f>+F5-F8</f>
        <v>1124</v>
      </c>
      <c r="G14" s="102">
        <f>G5-G8</f>
        <v>2058.3999999999978</v>
      </c>
      <c r="H14" s="102">
        <f>H5-H8</f>
        <v>3180.1100000000042</v>
      </c>
      <c r="I14" s="191">
        <f>I5-I8</f>
        <v>3878.0640000000021</v>
      </c>
      <c r="J14" s="29"/>
      <c r="K14" s="21" t="s">
        <v>94</v>
      </c>
      <c r="L14" s="216">
        <v>137</v>
      </c>
      <c r="M14" s="99">
        <v>137</v>
      </c>
      <c r="N14" s="99">
        <v>137</v>
      </c>
      <c r="O14" s="99">
        <v>137</v>
      </c>
      <c r="P14" s="99">
        <v>137</v>
      </c>
      <c r="Q14" s="100">
        <v>136.928</v>
      </c>
      <c r="R14" s="134">
        <v>136.91999999999999</v>
      </c>
      <c r="S14" s="175">
        <v>0</v>
      </c>
    </row>
    <row r="15" spans="1:19">
      <c r="A15" s="14" t="s">
        <v>12</v>
      </c>
      <c r="B15" s="15" t="s">
        <v>13</v>
      </c>
      <c r="C15" s="15">
        <f t="shared" ref="C15:G15" si="10">+C14/B14-1</f>
        <v>-0.25036390101892281</v>
      </c>
      <c r="D15" s="15">
        <f t="shared" si="10"/>
        <v>0.53980582524271847</v>
      </c>
      <c r="E15" s="15">
        <f t="shared" si="10"/>
        <v>-1.6393442622950838E-2</v>
      </c>
      <c r="F15" s="15">
        <f t="shared" si="10"/>
        <v>0.44102564102564101</v>
      </c>
      <c r="G15" s="15">
        <f t="shared" si="10"/>
        <v>0.83131672597864581</v>
      </c>
      <c r="H15" s="15">
        <f>+H14/G14-1</f>
        <v>0.5449426739214962</v>
      </c>
      <c r="I15" s="186">
        <f>+I14/H14-1</f>
        <v>0.21947479804157632</v>
      </c>
      <c r="J15" s="30"/>
      <c r="K15" s="21" t="s">
        <v>95</v>
      </c>
      <c r="L15" s="216">
        <v>626</v>
      </c>
      <c r="M15" s="99">
        <v>626</v>
      </c>
      <c r="N15" s="99">
        <v>626</v>
      </c>
      <c r="O15" s="99">
        <v>626</v>
      </c>
      <c r="P15" s="99">
        <v>626</v>
      </c>
      <c r="Q15" s="100">
        <v>626.15</v>
      </c>
      <c r="R15" s="134">
        <v>626.20000000000005</v>
      </c>
      <c r="S15" s="175">
        <v>626.15</v>
      </c>
    </row>
    <row r="16" spans="1:19">
      <c r="A16" s="16" t="s">
        <v>105</v>
      </c>
      <c r="B16" s="17" t="s">
        <v>13</v>
      </c>
      <c r="C16" s="17" t="s">
        <v>13</v>
      </c>
      <c r="D16" s="17" t="s">
        <v>13</v>
      </c>
      <c r="E16" s="17">
        <f>+((E14/B14)^(1/3)-1)</f>
        <v>4.3228128838227686E-2</v>
      </c>
      <c r="F16" s="17">
        <f>+((F14/C14)^(1/3)-1)</f>
        <v>0.29713853295841752</v>
      </c>
      <c r="G16" s="17">
        <f>+((G14/D14)^(1/3)-1)</f>
        <v>0.37431260128780997</v>
      </c>
      <c r="H16" s="17">
        <f>+((H14/E14)^(1/3)-1)</f>
        <v>0.59753057904053852</v>
      </c>
      <c r="I16" s="187">
        <f>+((I14/F14)^(1/3)-1)</f>
        <v>0.51106409732129809</v>
      </c>
      <c r="J16" s="30"/>
      <c r="K16" s="21" t="s">
        <v>96</v>
      </c>
      <c r="L16" s="216">
        <v>20</v>
      </c>
      <c r="M16" s="99">
        <v>11</v>
      </c>
      <c r="N16" s="99">
        <v>9</v>
      </c>
      <c r="O16" s="99">
        <v>8</v>
      </c>
      <c r="P16" s="99">
        <v>11</v>
      </c>
      <c r="Q16" s="100">
        <f>12.173+6.65</f>
        <v>18.823</v>
      </c>
      <c r="R16" s="134">
        <v>39.17</v>
      </c>
      <c r="S16" s="175">
        <v>46.009</v>
      </c>
    </row>
    <row r="17" spans="1:21">
      <c r="A17" s="16"/>
      <c r="B17" s="17"/>
      <c r="C17" s="17"/>
      <c r="D17" s="17"/>
      <c r="E17" s="17"/>
      <c r="F17" s="17"/>
      <c r="G17" s="17"/>
      <c r="H17" s="17"/>
      <c r="I17" s="187"/>
      <c r="J17" s="30"/>
      <c r="K17" s="21" t="s">
        <v>129</v>
      </c>
      <c r="L17" s="216">
        <v>0</v>
      </c>
      <c r="M17" s="216">
        <v>0</v>
      </c>
      <c r="N17" s="216">
        <v>0</v>
      </c>
      <c r="O17" s="216">
        <v>0</v>
      </c>
      <c r="P17" s="216">
        <v>0</v>
      </c>
      <c r="Q17" s="216">
        <v>0</v>
      </c>
      <c r="R17" s="134">
        <v>1</v>
      </c>
      <c r="S17" s="175">
        <v>401.54599999999999</v>
      </c>
    </row>
    <row r="18" spans="1:21">
      <c r="A18" s="33" t="s">
        <v>25</v>
      </c>
      <c r="B18" s="34">
        <f>+B14/B5</f>
        <v>7.1929640875301015E-2</v>
      </c>
      <c r="C18" s="34">
        <f>+C14/C5</f>
        <v>5.576610720086627E-2</v>
      </c>
      <c r="D18" s="34">
        <f>+D14/D5</f>
        <v>6.9494347559372532E-2</v>
      </c>
      <c r="E18" s="34">
        <f>+E14/E5</f>
        <v>7.0754716981132074E-2</v>
      </c>
      <c r="F18" s="34">
        <f>+F14/F5</f>
        <v>8.6150072813673637E-2</v>
      </c>
      <c r="G18" s="34">
        <f>G14/G5</f>
        <v>8.8218403120044475E-2</v>
      </c>
      <c r="H18" s="34">
        <f>H14/H5</f>
        <v>9.0138227008390331E-2</v>
      </c>
      <c r="I18" s="192">
        <f>I14/I5</f>
        <v>0.11187976130249672</v>
      </c>
      <c r="J18" s="35"/>
      <c r="K18" s="21" t="s">
        <v>97</v>
      </c>
      <c r="L18" s="216"/>
      <c r="M18" s="99"/>
      <c r="N18" s="99"/>
      <c r="O18" s="99"/>
      <c r="P18" s="99"/>
      <c r="Q18" s="100"/>
      <c r="R18" s="134"/>
      <c r="S18" s="175"/>
    </row>
    <row r="19" spans="1:21">
      <c r="A19" s="21" t="s">
        <v>26</v>
      </c>
      <c r="B19" s="36">
        <v>221</v>
      </c>
      <c r="C19" s="36">
        <v>241</v>
      </c>
      <c r="D19" s="36">
        <v>229</v>
      </c>
      <c r="E19" s="36">
        <v>218</v>
      </c>
      <c r="F19" s="37">
        <v>221</v>
      </c>
      <c r="G19" s="37">
        <v>226</v>
      </c>
      <c r="H19" s="141">
        <v>302.47000000000003</v>
      </c>
      <c r="I19" s="193">
        <v>440.55900000000003</v>
      </c>
      <c r="J19" s="20"/>
      <c r="K19" s="177" t="s">
        <v>98</v>
      </c>
      <c r="L19" s="100">
        <v>0</v>
      </c>
      <c r="M19" s="99">
        <v>100</v>
      </c>
      <c r="N19" s="99">
        <v>448</v>
      </c>
      <c r="O19" s="99">
        <v>398</v>
      </c>
      <c r="P19" s="99">
        <v>398</v>
      </c>
      <c r="Q19" s="100">
        <v>652.19200000000001</v>
      </c>
      <c r="R19" s="134">
        <v>844.53</v>
      </c>
      <c r="S19" s="175">
        <v>945.39</v>
      </c>
    </row>
    <row r="20" spans="1:21">
      <c r="A20" s="21" t="s">
        <v>27</v>
      </c>
      <c r="B20" s="36">
        <v>13</v>
      </c>
      <c r="C20" s="36">
        <v>11</v>
      </c>
      <c r="D20" s="36">
        <v>8</v>
      </c>
      <c r="E20" s="36">
        <v>31</v>
      </c>
      <c r="F20" s="36">
        <v>29</v>
      </c>
      <c r="G20" s="36">
        <v>25</v>
      </c>
      <c r="H20" s="141">
        <v>46.28</v>
      </c>
      <c r="I20" s="193">
        <v>97.882999999999996</v>
      </c>
      <c r="J20" s="20"/>
      <c r="K20" s="178" t="s">
        <v>99</v>
      </c>
      <c r="L20" s="100">
        <v>61</v>
      </c>
      <c r="M20" s="100">
        <v>72</v>
      </c>
      <c r="N20" s="100">
        <v>50</v>
      </c>
      <c r="O20" s="100">
        <v>60</v>
      </c>
      <c r="P20" s="100">
        <v>66</v>
      </c>
      <c r="Q20" s="100">
        <v>0</v>
      </c>
      <c r="R20" s="134">
        <v>0</v>
      </c>
      <c r="S20" s="175">
        <v>0</v>
      </c>
    </row>
    <row r="21" spans="1:21">
      <c r="A21" s="21" t="s">
        <v>28</v>
      </c>
      <c r="B21" s="74">
        <v>222</v>
      </c>
      <c r="C21" s="75">
        <v>267</v>
      </c>
      <c r="D21" s="75">
        <v>323</v>
      </c>
      <c r="E21" s="75">
        <v>300</v>
      </c>
      <c r="F21" s="75">
        <v>257</v>
      </c>
      <c r="G21" s="75">
        <v>241</v>
      </c>
      <c r="H21" s="142">
        <v>356</v>
      </c>
      <c r="I21" s="194">
        <v>434.98599999999999</v>
      </c>
      <c r="J21" s="20"/>
      <c r="K21" s="177" t="s">
        <v>32</v>
      </c>
      <c r="L21" s="216">
        <v>233</v>
      </c>
      <c r="M21" s="100">
        <v>70</v>
      </c>
      <c r="N21" s="100">
        <v>232</v>
      </c>
      <c r="O21" s="100">
        <v>127</v>
      </c>
      <c r="P21" s="100">
        <v>85</v>
      </c>
      <c r="Q21" s="100">
        <v>138.703</v>
      </c>
      <c r="R21" s="134">
        <v>123.36</v>
      </c>
      <c r="S21" s="175">
        <v>421.435</v>
      </c>
    </row>
    <row r="22" spans="1:21">
      <c r="A22" s="10" t="s">
        <v>29</v>
      </c>
      <c r="B22" s="11">
        <f t="shared" ref="B22:G22" si="11">B14-SUM(B19:B20)+B21</f>
        <v>675</v>
      </c>
      <c r="C22" s="11">
        <f t="shared" si="11"/>
        <v>530</v>
      </c>
      <c r="D22" s="11">
        <f t="shared" si="11"/>
        <v>879</v>
      </c>
      <c r="E22" s="11">
        <f t="shared" si="11"/>
        <v>831</v>
      </c>
      <c r="F22" s="11">
        <f t="shared" si="11"/>
        <v>1131</v>
      </c>
      <c r="G22" s="11">
        <f t="shared" si="11"/>
        <v>2048.3999999999978</v>
      </c>
      <c r="H22" s="11">
        <f>H14-SUM(H19:H20)+H21</f>
        <v>3187.3600000000042</v>
      </c>
      <c r="I22" s="176">
        <f>I14-SUM(I19:I20)+I21</f>
        <v>3774.608000000002</v>
      </c>
      <c r="J22" s="9"/>
      <c r="K22" s="177" t="s">
        <v>34</v>
      </c>
      <c r="L22" s="100">
        <v>26</v>
      </c>
      <c r="M22" s="100">
        <v>41</v>
      </c>
      <c r="N22" s="100">
        <v>93</v>
      </c>
      <c r="O22" s="100">
        <v>181</v>
      </c>
      <c r="P22" s="100">
        <v>104</v>
      </c>
      <c r="Q22" s="100">
        <v>19.283000000000001</v>
      </c>
      <c r="R22" s="134">
        <v>111.47</v>
      </c>
      <c r="S22" s="175">
        <v>90.703999999999994</v>
      </c>
    </row>
    <row r="23" spans="1:21">
      <c r="A23" s="21" t="s">
        <v>30</v>
      </c>
      <c r="B23" s="32">
        <v>229</v>
      </c>
      <c r="C23" s="32">
        <v>135</v>
      </c>
      <c r="D23" s="32">
        <v>197</v>
      </c>
      <c r="E23" s="32">
        <v>127</v>
      </c>
      <c r="F23" s="32">
        <v>321</v>
      </c>
      <c r="G23" s="32">
        <v>546</v>
      </c>
      <c r="H23" s="32">
        <v>789.06</v>
      </c>
      <c r="I23" s="195">
        <v>940.69899999999996</v>
      </c>
      <c r="J23" s="20"/>
      <c r="K23" s="177" t="s">
        <v>35</v>
      </c>
      <c r="L23" s="100">
        <v>188</v>
      </c>
      <c r="M23" s="100">
        <v>116</v>
      </c>
      <c r="N23" s="100">
        <v>117</v>
      </c>
      <c r="O23" s="100">
        <v>93</v>
      </c>
      <c r="P23" s="100">
        <v>90</v>
      </c>
      <c r="Q23" s="100">
        <v>30.562000000000001</v>
      </c>
      <c r="R23" s="134">
        <v>49.76</v>
      </c>
      <c r="S23" s="175">
        <v>79.8</v>
      </c>
    </row>
    <row r="24" spans="1:21">
      <c r="A24" s="14" t="s">
        <v>31</v>
      </c>
      <c r="B24" s="39">
        <f>+B23/B22</f>
        <v>0.33925925925925926</v>
      </c>
      <c r="C24" s="39">
        <f>+C23/C22</f>
        <v>0.25471698113207547</v>
      </c>
      <c r="D24" s="39">
        <f>+D23/D22</f>
        <v>0.22411831626848691</v>
      </c>
      <c r="E24" s="39">
        <f>+E23/E22</f>
        <v>0.15282791817087846</v>
      </c>
      <c r="F24" s="39">
        <f>+F23/F22</f>
        <v>0.28381962864721483</v>
      </c>
      <c r="G24" s="39">
        <f>G23/G22</f>
        <v>0.26654950205038108</v>
      </c>
      <c r="H24" s="143">
        <f>H23/H22</f>
        <v>0.24755910847848969</v>
      </c>
      <c r="I24" s="196">
        <f>I23/I22</f>
        <v>0.24921766710609405</v>
      </c>
      <c r="J24" s="38"/>
      <c r="K24" s="6" t="s">
        <v>36</v>
      </c>
      <c r="L24" s="217">
        <f t="shared" ref="L24:M24" si="12">SUM(L25:L34)</f>
        <v>8353</v>
      </c>
      <c r="M24" s="217">
        <f t="shared" si="12"/>
        <v>7920</v>
      </c>
      <c r="N24" s="217">
        <f t="shared" ref="N24:R24" si="13">SUM(N25:N34)</f>
        <v>8608</v>
      </c>
      <c r="O24" s="217">
        <f t="shared" si="13"/>
        <v>7798</v>
      </c>
      <c r="P24" s="217">
        <f t="shared" si="13"/>
        <v>12353</v>
      </c>
      <c r="Q24" s="217">
        <f t="shared" si="13"/>
        <v>18405.165000000001</v>
      </c>
      <c r="R24" s="218">
        <f t="shared" si="13"/>
        <v>21819.719999999998</v>
      </c>
      <c r="S24" s="219">
        <f>SUM(S25:S35)</f>
        <v>22239.531999999996</v>
      </c>
    </row>
    <row r="25" spans="1:21">
      <c r="A25" s="10" t="s">
        <v>33</v>
      </c>
      <c r="B25" s="102">
        <f>B22-B23</f>
        <v>446</v>
      </c>
      <c r="C25" s="102">
        <f>C22-C23</f>
        <v>395</v>
      </c>
      <c r="D25" s="102">
        <v>682</v>
      </c>
      <c r="E25" s="102">
        <f t="shared" ref="E25:F25" si="14">E22-E23</f>
        <v>704</v>
      </c>
      <c r="F25" s="102">
        <f t="shared" si="14"/>
        <v>810</v>
      </c>
      <c r="G25" s="102">
        <v>1502</v>
      </c>
      <c r="H25" s="102">
        <f>H22-H23</f>
        <v>2398.3000000000043</v>
      </c>
      <c r="I25" s="191">
        <f>I22-I23</f>
        <v>2833.9090000000019</v>
      </c>
      <c r="J25" s="26"/>
      <c r="K25" s="21" t="s">
        <v>38</v>
      </c>
      <c r="L25" s="100">
        <v>1045</v>
      </c>
      <c r="M25" s="220">
        <v>808</v>
      </c>
      <c r="N25" s="220">
        <v>1264</v>
      </c>
      <c r="O25" s="220">
        <v>1111</v>
      </c>
      <c r="P25" s="221">
        <v>1289</v>
      </c>
      <c r="Q25" s="100">
        <v>3450.3009999999999</v>
      </c>
      <c r="R25" s="134">
        <v>3336.24</v>
      </c>
      <c r="S25" s="175">
        <v>2208.5219999999999</v>
      </c>
    </row>
    <row r="26" spans="1:21">
      <c r="A26" s="33" t="s">
        <v>37</v>
      </c>
      <c r="B26" s="34">
        <f t="shared" ref="B26:G26" si="15">B25/B5</f>
        <v>4.6696680975814052E-2</v>
      </c>
      <c r="C26" s="34">
        <f t="shared" si="15"/>
        <v>4.2772062804547914E-2</v>
      </c>
      <c r="D26" s="34">
        <f t="shared" si="15"/>
        <v>5.9766891595828583E-2</v>
      </c>
      <c r="E26" s="34">
        <f t="shared" si="15"/>
        <v>6.3860667634252535E-2</v>
      </c>
      <c r="F26" s="34">
        <f t="shared" si="15"/>
        <v>6.2083237525868015E-2</v>
      </c>
      <c r="G26" s="34">
        <f t="shared" si="15"/>
        <v>6.4372348176402513E-2</v>
      </c>
      <c r="H26" s="34">
        <f>H25/H5</f>
        <v>6.7978312018836654E-2</v>
      </c>
      <c r="I26" s="192">
        <f>I25/I5</f>
        <v>8.1756531731553991E-2</v>
      </c>
      <c r="J26" s="40"/>
      <c r="K26" s="21" t="s">
        <v>39</v>
      </c>
      <c r="L26" s="100"/>
      <c r="M26" s="222"/>
      <c r="N26" s="222"/>
      <c r="O26" s="222"/>
      <c r="P26" s="223"/>
      <c r="Q26" s="100"/>
      <c r="R26" s="134"/>
      <c r="S26" s="175"/>
    </row>
    <row r="27" spans="1:21">
      <c r="A27" s="14" t="s">
        <v>12</v>
      </c>
      <c r="B27" s="15" t="s">
        <v>13</v>
      </c>
      <c r="C27" s="15">
        <f t="shared" ref="C27:G27" si="16">+C25/B25-1</f>
        <v>-0.11434977578475336</v>
      </c>
      <c r="D27" s="15">
        <f t="shared" si="16"/>
        <v>0.72658227848101276</v>
      </c>
      <c r="E27" s="15">
        <f t="shared" si="16"/>
        <v>3.2258064516129004E-2</v>
      </c>
      <c r="F27" s="15">
        <f t="shared" si="16"/>
        <v>0.15056818181818188</v>
      </c>
      <c r="G27" s="15">
        <f t="shared" si="16"/>
        <v>0.85432098765432096</v>
      </c>
      <c r="H27" s="15">
        <f>+H25/G25-1</f>
        <v>0.59673768308921726</v>
      </c>
      <c r="I27" s="186">
        <f>+I25/H25-1</f>
        <v>0.18163240628778587</v>
      </c>
      <c r="J27" s="41"/>
      <c r="K27" s="179" t="s">
        <v>40</v>
      </c>
      <c r="L27" s="100">
        <v>1343</v>
      </c>
      <c r="M27" s="100">
        <v>1909</v>
      </c>
      <c r="N27" s="100">
        <v>1657</v>
      </c>
      <c r="O27" s="100">
        <v>1237</v>
      </c>
      <c r="P27" s="224">
        <v>2950</v>
      </c>
      <c r="Q27" s="100">
        <v>3978.7730000000001</v>
      </c>
      <c r="R27" s="134">
        <v>4584.3999999999996</v>
      </c>
      <c r="S27" s="175">
        <v>4021.3330000000001</v>
      </c>
    </row>
    <row r="28" spans="1:21">
      <c r="A28" s="16" t="s">
        <v>15</v>
      </c>
      <c r="B28" s="17" t="s">
        <v>13</v>
      </c>
      <c r="C28" s="17" t="s">
        <v>13</v>
      </c>
      <c r="D28" s="17" t="s">
        <v>13</v>
      </c>
      <c r="E28" s="17">
        <f>((E25/B25)^(1/3)-1)</f>
        <v>0.16433852342602329</v>
      </c>
      <c r="F28" s="17">
        <f>((F25/C25)^(1/3)-1)</f>
        <v>0.27046481247836063</v>
      </c>
      <c r="G28" s="17">
        <f>((G25/D25)^(1/3)-1)</f>
        <v>0.30105359184785474</v>
      </c>
      <c r="H28" s="17">
        <f>((H25/E25)^(1/3)-1)</f>
        <v>0.5046781556813249</v>
      </c>
      <c r="I28" s="187">
        <f>((I25/F25)^(1/3)-1)</f>
        <v>0.51809969795240796</v>
      </c>
      <c r="J28" s="12"/>
      <c r="K28" s="179" t="s">
        <v>42</v>
      </c>
      <c r="L28" s="100">
        <v>2949</v>
      </c>
      <c r="M28" s="100">
        <v>2625</v>
      </c>
      <c r="N28" s="100">
        <v>3053</v>
      </c>
      <c r="O28" s="100">
        <v>3301</v>
      </c>
      <c r="P28" s="224">
        <v>4534</v>
      </c>
      <c r="Q28" s="100">
        <v>5117.9409999999998</v>
      </c>
      <c r="R28" s="134">
        <v>7948.33</v>
      </c>
      <c r="S28" s="175">
        <v>8359.8359999999993</v>
      </c>
    </row>
    <row r="29" spans="1:21">
      <c r="A29" s="197" t="s">
        <v>41</v>
      </c>
      <c r="B29" s="43">
        <v>-6</v>
      </c>
      <c r="C29" s="44">
        <v>8</v>
      </c>
      <c r="D29" s="44">
        <v>6</v>
      </c>
      <c r="E29" s="43">
        <v>-3</v>
      </c>
      <c r="F29" s="43">
        <v>11</v>
      </c>
      <c r="G29" s="43">
        <v>-22</v>
      </c>
      <c r="H29" s="43">
        <v>-16.329999999999998</v>
      </c>
      <c r="I29" s="198">
        <v>-49.960999999999999</v>
      </c>
      <c r="J29" s="30"/>
      <c r="K29" s="179" t="s">
        <v>106</v>
      </c>
      <c r="L29" s="100">
        <v>692</v>
      </c>
      <c r="M29" s="100">
        <v>772</v>
      </c>
      <c r="N29" s="100">
        <v>636</v>
      </c>
      <c r="O29" s="100">
        <v>458</v>
      </c>
      <c r="P29" s="224">
        <v>1011</v>
      </c>
      <c r="Q29" s="100">
        <v>1074.5630000000001</v>
      </c>
      <c r="R29" s="134">
        <v>985.81</v>
      </c>
      <c r="S29" s="175">
        <v>1684.1579999999999</v>
      </c>
      <c r="T29" s="112"/>
    </row>
    <row r="30" spans="1:21">
      <c r="A30" s="199" t="s">
        <v>43</v>
      </c>
      <c r="B30" s="161">
        <f>+B25+B29</f>
        <v>440</v>
      </c>
      <c r="C30" s="161">
        <f t="shared" ref="C30:G30" si="17">+C25+C29</f>
        <v>403</v>
      </c>
      <c r="D30" s="161">
        <f t="shared" si="17"/>
        <v>688</v>
      </c>
      <c r="E30" s="161">
        <f t="shared" si="17"/>
        <v>701</v>
      </c>
      <c r="F30" s="161">
        <f t="shared" si="17"/>
        <v>821</v>
      </c>
      <c r="G30" s="161">
        <f t="shared" si="17"/>
        <v>1480</v>
      </c>
      <c r="H30" s="161">
        <f>+H25+H29</f>
        <v>2381.9700000000043</v>
      </c>
      <c r="I30" s="200">
        <f>+I25+I29</f>
        <v>2783.9480000000021</v>
      </c>
      <c r="J30" s="42"/>
      <c r="K30" s="179" t="s">
        <v>45</v>
      </c>
      <c r="L30" s="100">
        <v>44</v>
      </c>
      <c r="M30" s="100">
        <v>30</v>
      </c>
      <c r="N30" s="100">
        <v>244</v>
      </c>
      <c r="O30" s="100">
        <v>35</v>
      </c>
      <c r="P30" s="224">
        <v>313</v>
      </c>
      <c r="Q30" s="100">
        <v>476.267</v>
      </c>
      <c r="R30" s="134">
        <v>462.38</v>
      </c>
      <c r="S30" s="175">
        <v>442.9</v>
      </c>
    </row>
    <row r="31" spans="1:21">
      <c r="A31" s="10" t="s">
        <v>44</v>
      </c>
      <c r="B31" s="45">
        <v>2.4900000000000002</v>
      </c>
      <c r="C31" s="45">
        <v>2.1800000000000002</v>
      </c>
      <c r="D31" s="45">
        <v>3.74</v>
      </c>
      <c r="E31" s="45">
        <v>3.85</v>
      </c>
      <c r="F31" s="45">
        <v>4.42</v>
      </c>
      <c r="G31" s="45">
        <v>8.18</v>
      </c>
      <c r="H31" s="45">
        <v>13.05</v>
      </c>
      <c r="I31" s="201">
        <v>15.42</v>
      </c>
      <c r="J31" s="42"/>
      <c r="K31" s="179" t="s">
        <v>46</v>
      </c>
      <c r="L31" s="100">
        <v>0</v>
      </c>
      <c r="M31" s="100">
        <v>1</v>
      </c>
      <c r="N31" s="100">
        <v>2</v>
      </c>
      <c r="O31" s="100">
        <v>0</v>
      </c>
      <c r="P31" s="100">
        <v>0</v>
      </c>
      <c r="Q31" s="100">
        <v>0</v>
      </c>
      <c r="R31" s="134">
        <v>0</v>
      </c>
      <c r="S31" s="175">
        <v>0</v>
      </c>
      <c r="T31" s="112"/>
      <c r="U31" s="123"/>
    </row>
    <row r="32" spans="1:21">
      <c r="A32" s="14" t="s">
        <v>12</v>
      </c>
      <c r="B32" s="15" t="s">
        <v>13</v>
      </c>
      <c r="C32" s="15">
        <f t="shared" ref="C32:G32" si="18">+C31/B31-1</f>
        <v>-0.12449799196787148</v>
      </c>
      <c r="D32" s="15">
        <f t="shared" si="18"/>
        <v>0.71559633027522929</v>
      </c>
      <c r="E32" s="15">
        <f t="shared" si="18"/>
        <v>2.9411764705882248E-2</v>
      </c>
      <c r="F32" s="15">
        <f>+F31/E31-1</f>
        <v>0.14805194805194799</v>
      </c>
      <c r="G32" s="15">
        <f t="shared" si="18"/>
        <v>0.85067873303167407</v>
      </c>
      <c r="H32" s="15">
        <f>+H31/G31-1</f>
        <v>0.59535452322738402</v>
      </c>
      <c r="I32" s="186">
        <f>+I31/H31-1</f>
        <v>0.1816091954022987</v>
      </c>
      <c r="J32" s="42"/>
      <c r="K32" s="179" t="s">
        <v>47</v>
      </c>
      <c r="L32" s="100">
        <v>33</v>
      </c>
      <c r="M32" s="100">
        <v>16</v>
      </c>
      <c r="N32" s="100">
        <v>62</v>
      </c>
      <c r="O32" s="100">
        <v>39</v>
      </c>
      <c r="P32" s="100">
        <v>46</v>
      </c>
      <c r="Q32" s="100">
        <v>74.504000000000005</v>
      </c>
      <c r="R32" s="134">
        <v>187</v>
      </c>
      <c r="S32" s="175">
        <v>153.02699999999999</v>
      </c>
    </row>
    <row r="33" spans="1:20" ht="16.5" thickBot="1">
      <c r="A33" s="202" t="s">
        <v>15</v>
      </c>
      <c r="B33" s="203" t="s">
        <v>13</v>
      </c>
      <c r="C33" s="203" t="s">
        <v>13</v>
      </c>
      <c r="D33" s="203" t="s">
        <v>13</v>
      </c>
      <c r="E33" s="203">
        <f t="shared" ref="E33:G33" si="19">+((E31/B31)^(1/3)-1)</f>
        <v>0.15634420286555151</v>
      </c>
      <c r="F33" s="203">
        <v>0.52200000000000002</v>
      </c>
      <c r="G33" s="203">
        <f t="shared" si="19"/>
        <v>0.29805740936174163</v>
      </c>
      <c r="H33" s="203">
        <f>+((H31/E31)^(1/3)-1)</f>
        <v>0.50216138627488083</v>
      </c>
      <c r="I33" s="204">
        <f>+((I31/F31)^(1/3)-1)</f>
        <v>0.51665697982916181</v>
      </c>
      <c r="J33" s="42"/>
      <c r="K33" s="179" t="s">
        <v>48</v>
      </c>
      <c r="L33" s="100">
        <v>83</v>
      </c>
      <c r="M33" s="100">
        <v>55</v>
      </c>
      <c r="N33" s="100">
        <v>92</v>
      </c>
      <c r="O33" s="100">
        <v>85</v>
      </c>
      <c r="P33" s="100">
        <v>0</v>
      </c>
      <c r="Q33" s="99">
        <v>0</v>
      </c>
      <c r="R33" s="134">
        <v>54.1</v>
      </c>
      <c r="S33" s="175">
        <v>84.798000000000002</v>
      </c>
      <c r="T33" s="112"/>
    </row>
    <row r="34" spans="1:20">
      <c r="A34" s="42"/>
      <c r="J34" s="42"/>
      <c r="K34" s="21" t="s">
        <v>50</v>
      </c>
      <c r="L34" s="100">
        <v>2164</v>
      </c>
      <c r="M34" s="100">
        <v>1704</v>
      </c>
      <c r="N34" s="100">
        <v>1598</v>
      </c>
      <c r="O34" s="100">
        <v>1532</v>
      </c>
      <c r="P34" s="100">
        <v>2210</v>
      </c>
      <c r="Q34" s="100">
        <v>4232.8159999999998</v>
      </c>
      <c r="R34" s="134">
        <v>4261.46</v>
      </c>
      <c r="S34" s="175">
        <v>5148.03</v>
      </c>
    </row>
    <row r="35" spans="1:20" ht="16.5" thickBot="1">
      <c r="A35" s="103" t="s">
        <v>49</v>
      </c>
      <c r="B35" s="104"/>
      <c r="C35" s="104"/>
      <c r="D35" s="104"/>
      <c r="E35" s="104"/>
      <c r="F35" s="104"/>
      <c r="G35" s="104"/>
      <c r="H35" s="104"/>
      <c r="I35" s="104"/>
      <c r="J35" s="42"/>
      <c r="K35" s="21" t="s">
        <v>133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34">
        <v>0</v>
      </c>
      <c r="S35" s="175">
        <v>136.928</v>
      </c>
    </row>
    <row r="36" spans="1:20" ht="16.5" thickBot="1">
      <c r="A36" s="47" t="s">
        <v>2</v>
      </c>
      <c r="B36" s="4" t="s">
        <v>3</v>
      </c>
      <c r="C36" s="4" t="s">
        <v>4</v>
      </c>
      <c r="D36" s="91" t="s">
        <v>5</v>
      </c>
      <c r="E36" s="4" t="s">
        <v>6</v>
      </c>
      <c r="F36" s="4" t="s">
        <v>7</v>
      </c>
      <c r="G36" s="133" t="s">
        <v>110</v>
      </c>
      <c r="H36" s="4" t="s">
        <v>115</v>
      </c>
      <c r="I36" s="5" t="s">
        <v>131</v>
      </c>
      <c r="J36" s="42"/>
      <c r="K36" s="64" t="s">
        <v>51</v>
      </c>
      <c r="L36" s="225">
        <f t="shared" ref="L36:S36" si="20">SUM(L37:L42)</f>
        <v>4616</v>
      </c>
      <c r="M36" s="225">
        <f t="shared" si="20"/>
        <v>3904</v>
      </c>
      <c r="N36" s="225">
        <f t="shared" si="20"/>
        <v>4854</v>
      </c>
      <c r="O36" s="225">
        <f t="shared" si="20"/>
        <v>4095</v>
      </c>
      <c r="P36" s="225">
        <f t="shared" si="20"/>
        <v>7643</v>
      </c>
      <c r="Q36" s="225">
        <f t="shared" si="20"/>
        <v>12644.948</v>
      </c>
      <c r="R36" s="213">
        <f t="shared" si="20"/>
        <v>15005.313999999998</v>
      </c>
      <c r="S36" s="214">
        <f t="shared" si="20"/>
        <v>14591.191999999999</v>
      </c>
    </row>
    <row r="37" spans="1:20">
      <c r="A37" s="50" t="s">
        <v>52</v>
      </c>
      <c r="B37" s="51">
        <v>605</v>
      </c>
      <c r="C37" s="51">
        <v>692</v>
      </c>
      <c r="D37" s="51">
        <v>773</v>
      </c>
      <c r="E37" s="51">
        <f>D43</f>
        <v>636</v>
      </c>
      <c r="F37" s="76">
        <v>458</v>
      </c>
      <c r="G37" s="105">
        <v>1011</v>
      </c>
      <c r="H37" s="76">
        <v>1074.5630000000001</v>
      </c>
      <c r="I37" s="144">
        <v>985.81399999999996</v>
      </c>
      <c r="J37" s="42"/>
      <c r="K37" s="62" t="s">
        <v>101</v>
      </c>
      <c r="L37" s="100"/>
      <c r="M37" s="100"/>
      <c r="N37" s="100"/>
      <c r="O37" s="100"/>
      <c r="P37" s="100"/>
      <c r="Q37" s="99"/>
      <c r="R37" s="99"/>
      <c r="S37" s="209"/>
    </row>
    <row r="38" spans="1:20">
      <c r="A38" s="53" t="s">
        <v>53</v>
      </c>
      <c r="B38" s="31">
        <v>202</v>
      </c>
      <c r="C38" s="31">
        <v>1014</v>
      </c>
      <c r="D38" s="31">
        <v>330</v>
      </c>
      <c r="E38" s="31">
        <v>147</v>
      </c>
      <c r="F38" s="54">
        <v>2251</v>
      </c>
      <c r="G38" s="31">
        <v>1747</v>
      </c>
      <c r="H38" s="54">
        <v>1621.32</v>
      </c>
      <c r="I38" s="145">
        <v>1993.854</v>
      </c>
      <c r="J38" s="42"/>
      <c r="K38" s="180" t="s">
        <v>102</v>
      </c>
      <c r="L38" s="100">
        <v>43</v>
      </c>
      <c r="M38" s="100">
        <v>59</v>
      </c>
      <c r="N38" s="100">
        <v>0</v>
      </c>
      <c r="O38" s="100">
        <v>0</v>
      </c>
      <c r="P38" s="100">
        <v>0</v>
      </c>
      <c r="Q38" s="100">
        <v>0</v>
      </c>
      <c r="R38" s="215">
        <v>0</v>
      </c>
      <c r="S38" s="226">
        <v>0</v>
      </c>
    </row>
    <row r="39" spans="1:20">
      <c r="A39" s="53" t="s">
        <v>54</v>
      </c>
      <c r="B39" s="31">
        <v>-80</v>
      </c>
      <c r="C39" s="31">
        <v>-707</v>
      </c>
      <c r="D39" s="31">
        <v>-59</v>
      </c>
      <c r="E39" s="31">
        <v>621</v>
      </c>
      <c r="F39" s="54">
        <v>-1643</v>
      </c>
      <c r="G39" s="31">
        <v>-1267</v>
      </c>
      <c r="H39" s="54">
        <v>-844.41</v>
      </c>
      <c r="I39" s="145">
        <v>-101.17700000000001</v>
      </c>
      <c r="J39" s="46"/>
      <c r="K39" s="180" t="s">
        <v>103</v>
      </c>
      <c r="L39" s="100">
        <v>2134</v>
      </c>
      <c r="M39" s="100">
        <v>1764</v>
      </c>
      <c r="N39" s="100">
        <v>2345</v>
      </c>
      <c r="O39" s="100">
        <v>1875</v>
      </c>
      <c r="P39" s="100">
        <v>3416</v>
      </c>
      <c r="Q39" s="99">
        <f>396.408+3851.494</f>
        <v>4247.902</v>
      </c>
      <c r="R39" s="134">
        <v>5050.1499999999996</v>
      </c>
      <c r="S39" s="175">
        <f>890.872+4076.696</f>
        <v>4967.5680000000002</v>
      </c>
    </row>
    <row r="40" spans="1:20">
      <c r="A40" s="53" t="s">
        <v>55</v>
      </c>
      <c r="B40" s="31">
        <v>-39</v>
      </c>
      <c r="C40" s="31">
        <v>-247</v>
      </c>
      <c r="D40" s="31">
        <v>-434</v>
      </c>
      <c r="E40" s="31">
        <v>-980</v>
      </c>
      <c r="F40" s="54">
        <v>-63</v>
      </c>
      <c r="G40" s="31">
        <v>-443</v>
      </c>
      <c r="H40" s="54">
        <v>-933.97</v>
      </c>
      <c r="I40" s="145">
        <v>-1238.8889999999999</v>
      </c>
      <c r="J40" s="48"/>
      <c r="K40" s="180" t="s">
        <v>113</v>
      </c>
      <c r="L40" s="100">
        <v>64</v>
      </c>
      <c r="M40" s="100">
        <v>125</v>
      </c>
      <c r="N40" s="100">
        <v>165</v>
      </c>
      <c r="O40" s="100">
        <v>175</v>
      </c>
      <c r="P40" s="100">
        <v>197</v>
      </c>
      <c r="Q40" s="99">
        <f>233.416+63</f>
        <v>296.416</v>
      </c>
      <c r="R40" s="134">
        <f>158.757+388.529</f>
        <v>547.28600000000006</v>
      </c>
      <c r="S40" s="175">
        <f>276.138+631.132</f>
        <v>907.27</v>
      </c>
    </row>
    <row r="41" spans="1:20">
      <c r="A41" s="53" t="s">
        <v>93</v>
      </c>
      <c r="B41" s="31">
        <v>4</v>
      </c>
      <c r="C41" s="31">
        <v>20</v>
      </c>
      <c r="D41" s="31">
        <v>27</v>
      </c>
      <c r="E41" s="31">
        <v>36</v>
      </c>
      <c r="F41" s="54">
        <v>8</v>
      </c>
      <c r="G41" s="31">
        <v>27</v>
      </c>
      <c r="H41" s="54">
        <v>68.319999999999993</v>
      </c>
      <c r="I41" s="145">
        <v>44.555999999999997</v>
      </c>
      <c r="J41" s="48"/>
      <c r="K41" s="62" t="s">
        <v>56</v>
      </c>
      <c r="L41" s="100">
        <v>2196</v>
      </c>
      <c r="M41" s="100">
        <v>1871</v>
      </c>
      <c r="N41" s="100">
        <v>2219</v>
      </c>
      <c r="O41" s="100">
        <v>1972</v>
      </c>
      <c r="P41" s="100">
        <v>3763</v>
      </c>
      <c r="Q41" s="99">
        <v>7761.3530000000001</v>
      </c>
      <c r="R41" s="134">
        <v>8640.7279999999992</v>
      </c>
      <c r="S41" s="175">
        <v>7929.0169999999998</v>
      </c>
    </row>
    <row r="42" spans="1:20">
      <c r="A42" s="53" t="s">
        <v>57</v>
      </c>
      <c r="B42" s="31">
        <v>83</v>
      </c>
      <c r="C42" s="31">
        <v>60</v>
      </c>
      <c r="D42" s="31">
        <v>-164</v>
      </c>
      <c r="E42" s="31">
        <v>-213</v>
      </c>
      <c r="F42" s="54">
        <v>545</v>
      </c>
      <c r="G42" s="31">
        <v>36</v>
      </c>
      <c r="H42" s="54">
        <v>-157.07</v>
      </c>
      <c r="I42" s="145">
        <v>653.78800000000001</v>
      </c>
      <c r="J42" s="46"/>
      <c r="K42" s="62" t="s">
        <v>135</v>
      </c>
      <c r="L42" s="100">
        <v>179</v>
      </c>
      <c r="M42" s="100">
        <v>85</v>
      </c>
      <c r="N42" s="100">
        <v>125</v>
      </c>
      <c r="O42" s="100">
        <v>73</v>
      </c>
      <c r="P42" s="100">
        <v>267</v>
      </c>
      <c r="Q42" s="99">
        <f>315.377+23.9</f>
        <v>339.27699999999999</v>
      </c>
      <c r="R42" s="134">
        <f>439.803+327.347</f>
        <v>767.15</v>
      </c>
      <c r="S42" s="175">
        <f>579.225+208.112</f>
        <v>787.33699999999999</v>
      </c>
    </row>
    <row r="43" spans="1:20" ht="16.5" thickBot="1">
      <c r="A43" s="55" t="s">
        <v>58</v>
      </c>
      <c r="B43" s="56">
        <f t="shared" ref="B43:F43" si="21">B37+B41+B42</f>
        <v>692</v>
      </c>
      <c r="C43" s="56">
        <f t="shared" si="21"/>
        <v>772</v>
      </c>
      <c r="D43" s="56">
        <f t="shared" si="21"/>
        <v>636</v>
      </c>
      <c r="E43" s="56">
        <f t="shared" si="21"/>
        <v>459</v>
      </c>
      <c r="F43" s="56">
        <f t="shared" si="21"/>
        <v>1011</v>
      </c>
      <c r="G43" s="56">
        <f>G37+G41+G42</f>
        <v>1074</v>
      </c>
      <c r="H43" s="146">
        <f>H37+H41+H42</f>
        <v>985.8130000000001</v>
      </c>
      <c r="I43" s="147">
        <f>I37+I41+I42</f>
        <v>1684.1579999999999</v>
      </c>
      <c r="J43" s="46"/>
      <c r="K43" s="64" t="s">
        <v>59</v>
      </c>
      <c r="L43" s="225">
        <f>SUM(L44:L47)</f>
        <v>158</v>
      </c>
      <c r="M43" s="225">
        <v>159</v>
      </c>
      <c r="N43" s="225">
        <f t="shared" ref="N43:Q43" si="22">SUM(N44:N47)</f>
        <v>159</v>
      </c>
      <c r="O43" s="225">
        <f t="shared" si="22"/>
        <v>324</v>
      </c>
      <c r="P43" s="225">
        <f t="shared" si="22"/>
        <v>270</v>
      </c>
      <c r="Q43" s="225">
        <f t="shared" si="22"/>
        <v>318.08299999999997</v>
      </c>
      <c r="R43" s="213">
        <f>SUM(R44:R47)</f>
        <v>400.67499999999995</v>
      </c>
      <c r="S43" s="214">
        <f>SUM(S44:S48)</f>
        <v>1617.5249999999999</v>
      </c>
    </row>
    <row r="44" spans="1:20" ht="16.5" thickBot="1">
      <c r="A44" s="42"/>
      <c r="J44" s="46"/>
      <c r="K44" s="62" t="s">
        <v>101</v>
      </c>
      <c r="L44" s="100"/>
      <c r="M44" s="100"/>
      <c r="N44" s="100"/>
      <c r="O44" s="100"/>
      <c r="P44" s="100"/>
      <c r="Q44" s="99"/>
      <c r="R44" s="99"/>
      <c r="S44" s="209"/>
    </row>
    <row r="45" spans="1:20" ht="16.5" thickBot="1">
      <c r="A45" s="57" t="s">
        <v>60</v>
      </c>
      <c r="B45" s="58" t="s">
        <v>3</v>
      </c>
      <c r="C45" s="58" t="s">
        <v>4</v>
      </c>
      <c r="D45" s="58" t="s">
        <v>5</v>
      </c>
      <c r="E45" s="205" t="s">
        <v>6</v>
      </c>
      <c r="F45" s="4" t="s">
        <v>7</v>
      </c>
      <c r="G45" s="4" t="s">
        <v>110</v>
      </c>
      <c r="H45" s="4" t="s">
        <v>115</v>
      </c>
      <c r="I45" s="126" t="s">
        <v>131</v>
      </c>
      <c r="J45" s="46"/>
      <c r="K45" s="180" t="s">
        <v>102</v>
      </c>
      <c r="L45" s="100">
        <v>1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215">
        <v>0</v>
      </c>
      <c r="S45" s="226">
        <v>0</v>
      </c>
    </row>
    <row r="46" spans="1:20">
      <c r="A46" s="59" t="s">
        <v>61</v>
      </c>
      <c r="B46" s="60">
        <f>B22</f>
        <v>675</v>
      </c>
      <c r="C46" s="60">
        <f>C22</f>
        <v>530</v>
      </c>
      <c r="D46" s="60">
        <f>D22</f>
        <v>879</v>
      </c>
      <c r="E46" s="61">
        <f>E22</f>
        <v>831</v>
      </c>
      <c r="F46" s="52">
        <v>1951</v>
      </c>
      <c r="G46" s="108">
        <f>G22</f>
        <v>2048.3999999999978</v>
      </c>
      <c r="H46" s="148">
        <f>H22</f>
        <v>3187.3600000000042</v>
      </c>
      <c r="I46" s="149">
        <f>I22</f>
        <v>3774.608000000002</v>
      </c>
      <c r="J46" s="46"/>
      <c r="K46" s="180" t="s">
        <v>130</v>
      </c>
      <c r="L46" s="100">
        <v>0</v>
      </c>
      <c r="M46" s="100">
        <v>0</v>
      </c>
      <c r="N46" s="100">
        <v>0</v>
      </c>
      <c r="O46" s="100">
        <v>152</v>
      </c>
      <c r="P46" s="100">
        <v>113</v>
      </c>
      <c r="Q46" s="100">
        <v>147.55000000000001</v>
      </c>
      <c r="R46" s="134">
        <f>262.692+6.393</f>
        <v>269.08499999999998</v>
      </c>
      <c r="S46" s="175">
        <f>1417.185+6.393</f>
        <v>1423.578</v>
      </c>
    </row>
    <row r="47" spans="1:20">
      <c r="A47" s="62" t="s">
        <v>62</v>
      </c>
      <c r="B47" s="27">
        <f>B19</f>
        <v>221</v>
      </c>
      <c r="C47" s="27">
        <f>C19</f>
        <v>241</v>
      </c>
      <c r="D47" s="27">
        <f>D19</f>
        <v>229</v>
      </c>
      <c r="E47" s="63">
        <f>E19</f>
        <v>218</v>
      </c>
      <c r="F47" s="31">
        <v>277</v>
      </c>
      <c r="G47" s="54">
        <f>G19</f>
        <v>226</v>
      </c>
      <c r="H47" s="31">
        <f>H19</f>
        <v>302.47000000000003</v>
      </c>
      <c r="I47" s="150">
        <f>I19</f>
        <v>440.55900000000003</v>
      </c>
      <c r="J47" s="46"/>
      <c r="K47" s="62" t="s">
        <v>63</v>
      </c>
      <c r="L47" s="100">
        <v>157</v>
      </c>
      <c r="M47" s="100">
        <v>159</v>
      </c>
      <c r="N47" s="100">
        <v>159</v>
      </c>
      <c r="O47" s="100">
        <v>172</v>
      </c>
      <c r="P47" s="100">
        <v>157</v>
      </c>
      <c r="Q47" s="100">
        <v>170.53299999999999</v>
      </c>
      <c r="R47" s="134">
        <v>131.59</v>
      </c>
      <c r="S47" s="175">
        <v>180.91499999999999</v>
      </c>
    </row>
    <row r="48" spans="1:20">
      <c r="A48" s="62" t="s">
        <v>64</v>
      </c>
      <c r="B48" s="27">
        <f>-B21</f>
        <v>-222</v>
      </c>
      <c r="C48" s="27">
        <f>-0.016+186.844-0.195-152.241+26.979+1.526-24.508-0.782-3.156-37.187</f>
        <v>-2.7359999999999971</v>
      </c>
      <c r="D48" s="27">
        <f>1.005+190.389-0.568-202.328+109.392-0.741+0.329-8.256-45.603</f>
        <v>43.618999999999978</v>
      </c>
      <c r="E48" s="63">
        <f>1+159.7-0.2-220.8+109.2+2.5-97.2</f>
        <v>-45.800000000000011</v>
      </c>
      <c r="F48" s="31">
        <v>20</v>
      </c>
      <c r="G48" s="54">
        <v>0</v>
      </c>
      <c r="H48" s="31">
        <v>0</v>
      </c>
      <c r="I48" s="150">
        <v>0</v>
      </c>
      <c r="J48" s="46"/>
      <c r="K48" s="62" t="s">
        <v>134</v>
      </c>
      <c r="L48" s="220">
        <v>0</v>
      </c>
      <c r="M48" s="220">
        <v>0</v>
      </c>
      <c r="N48" s="220">
        <v>0</v>
      </c>
      <c r="O48" s="220">
        <v>0</v>
      </c>
      <c r="P48" s="220">
        <v>0</v>
      </c>
      <c r="Q48" s="220">
        <v>0</v>
      </c>
      <c r="R48" s="220">
        <v>0</v>
      </c>
      <c r="S48" s="175">
        <v>13.032</v>
      </c>
    </row>
    <row r="49" spans="1:23">
      <c r="A49" s="62" t="s">
        <v>65</v>
      </c>
      <c r="B49" s="27">
        <v>0</v>
      </c>
      <c r="C49" s="27">
        <v>0</v>
      </c>
      <c r="D49" s="27">
        <v>0</v>
      </c>
      <c r="E49" s="63">
        <v>0</v>
      </c>
      <c r="F49" s="31">
        <v>0</v>
      </c>
      <c r="G49" s="54">
        <v>0</v>
      </c>
      <c r="H49" s="31">
        <v>0</v>
      </c>
      <c r="I49" s="150">
        <v>0</v>
      </c>
      <c r="J49" s="46"/>
      <c r="K49" s="6" t="s">
        <v>18</v>
      </c>
      <c r="L49" s="211">
        <f t="shared" ref="L49:Q49" si="23">(L11+L24)-L36</f>
        <v>7258</v>
      </c>
      <c r="M49" s="211">
        <f t="shared" si="23"/>
        <v>7429</v>
      </c>
      <c r="N49" s="211">
        <f t="shared" si="23"/>
        <v>7616</v>
      </c>
      <c r="O49" s="211">
        <f t="shared" si="23"/>
        <v>7521</v>
      </c>
      <c r="P49" s="211">
        <f t="shared" si="23"/>
        <v>8295</v>
      </c>
      <c r="Q49" s="211">
        <f t="shared" si="23"/>
        <v>9482.4480000000003</v>
      </c>
      <c r="R49" s="211">
        <f>R50-R36-1</f>
        <v>11180.525999999998</v>
      </c>
      <c r="S49" s="212">
        <f>S50-S36</f>
        <v>14363.222999999998</v>
      </c>
      <c r="T49" s="123"/>
      <c r="U49" s="123"/>
      <c r="W49" s="132"/>
    </row>
    <row r="50" spans="1:23">
      <c r="A50" s="62" t="s">
        <v>66</v>
      </c>
      <c r="B50" s="27">
        <f t="shared" ref="B50:I50" si="24">-B23</f>
        <v>-229</v>
      </c>
      <c r="C50" s="27">
        <f t="shared" si="24"/>
        <v>-135</v>
      </c>
      <c r="D50" s="27">
        <f t="shared" si="24"/>
        <v>-197</v>
      </c>
      <c r="E50" s="27">
        <f t="shared" si="24"/>
        <v>-127</v>
      </c>
      <c r="F50" s="27">
        <f t="shared" si="24"/>
        <v>-321</v>
      </c>
      <c r="G50" s="109">
        <f>-G23</f>
        <v>-546</v>
      </c>
      <c r="H50" s="31">
        <f t="shared" si="24"/>
        <v>-789.06</v>
      </c>
      <c r="I50" s="150">
        <f t="shared" si="24"/>
        <v>-940.69899999999996</v>
      </c>
      <c r="J50" s="46"/>
      <c r="K50" s="6" t="s">
        <v>69</v>
      </c>
      <c r="L50" s="210">
        <f t="shared" ref="L50:S50" si="25">L24+SUM(L12:L23)</f>
        <v>11874</v>
      </c>
      <c r="M50" s="210">
        <f t="shared" si="25"/>
        <v>11333</v>
      </c>
      <c r="N50" s="210">
        <f t="shared" si="25"/>
        <v>12470</v>
      </c>
      <c r="O50" s="210">
        <f t="shared" si="25"/>
        <v>11616</v>
      </c>
      <c r="P50" s="210">
        <f t="shared" si="25"/>
        <v>15938</v>
      </c>
      <c r="Q50" s="211">
        <f t="shared" si="25"/>
        <v>22127.396000000001</v>
      </c>
      <c r="R50" s="211">
        <f t="shared" si="25"/>
        <v>26186.839999999997</v>
      </c>
      <c r="S50" s="212">
        <f t="shared" si="25"/>
        <v>28954.414999999997</v>
      </c>
    </row>
    <row r="51" spans="1:23" ht="16.5" thickBot="1">
      <c r="A51" s="64" t="s">
        <v>67</v>
      </c>
      <c r="B51" s="49">
        <f t="shared" ref="B51" si="26">SUM(B46:B50)</f>
        <v>445</v>
      </c>
      <c r="C51" s="49">
        <f>SUM(C46:C50)</f>
        <v>633.26400000000001</v>
      </c>
      <c r="D51" s="49">
        <f>SUM(D46:D50)</f>
        <v>954.61899999999991</v>
      </c>
      <c r="E51" s="49">
        <f t="shared" ref="E51:H51" si="27">SUM(E46:E50)</f>
        <v>876.2</v>
      </c>
      <c r="F51" s="49">
        <f t="shared" si="27"/>
        <v>1927</v>
      </c>
      <c r="G51" s="110">
        <f>SUM(G46:G50)</f>
        <v>1728.3999999999978</v>
      </c>
      <c r="H51" s="65">
        <f t="shared" si="27"/>
        <v>2700.7700000000045</v>
      </c>
      <c r="I51" s="151">
        <f>SUM(I46:I50)</f>
        <v>3274.4680000000021</v>
      </c>
      <c r="J51" s="46"/>
      <c r="K51" s="181" t="s">
        <v>71</v>
      </c>
      <c r="L51" s="227">
        <f>L36+L43+L6+L8+1</f>
        <v>11873.8</v>
      </c>
      <c r="M51" s="227">
        <f>M36+M43+M6+M8+2</f>
        <v>11332.6</v>
      </c>
      <c r="N51" s="227">
        <f>N36+N43+N6+N8</f>
        <v>12469.64</v>
      </c>
      <c r="O51" s="227">
        <f>O36+O43+O6+O8-2</f>
        <v>11615.697</v>
      </c>
      <c r="P51" s="227">
        <f>P36+P43+P6+P8</f>
        <v>15937.815000000001</v>
      </c>
      <c r="Q51" s="227">
        <f>Q36+Q43+Q6+Q8</f>
        <v>22127.057000000001</v>
      </c>
      <c r="R51" s="228">
        <f>R36+R43+R6+R8</f>
        <v>26186.538999999997</v>
      </c>
      <c r="S51" s="229">
        <f>S36+S43+S6+S8</f>
        <v>28954.414999999997</v>
      </c>
    </row>
    <row r="52" spans="1:23" ht="16.5" thickBot="1">
      <c r="A52" s="94" t="s">
        <v>68</v>
      </c>
      <c r="B52" s="96" t="s">
        <v>111</v>
      </c>
      <c r="C52" s="95">
        <f>(M12-L12)+C47</f>
        <v>524</v>
      </c>
      <c r="D52" s="95">
        <f>(N12-M12)+D47</f>
        <v>159</v>
      </c>
      <c r="E52" s="95">
        <f t="shared" ref="E52:G52" si="28">(O12-N12)+E47</f>
        <v>257</v>
      </c>
      <c r="F52" s="95">
        <f t="shared" si="28"/>
        <v>174</v>
      </c>
      <c r="G52" s="111">
        <f>(Q12-P12)+G47</f>
        <v>247.32900000000018</v>
      </c>
      <c r="H52" s="111">
        <v>-350.87400000000002</v>
      </c>
      <c r="I52" s="230">
        <v>-900.55800000000011</v>
      </c>
      <c r="J52" s="42"/>
      <c r="K52" s="25"/>
      <c r="L52" s="67"/>
      <c r="M52" s="67"/>
      <c r="N52" s="67"/>
      <c r="O52" s="67"/>
      <c r="P52" s="68"/>
      <c r="Q52" s="66"/>
    </row>
    <row r="53" spans="1:23" ht="16.5" thickBot="1">
      <c r="A53" s="92" t="s">
        <v>70</v>
      </c>
      <c r="B53" s="93">
        <f t="shared" ref="B53" si="29">SUM(B51:B52)</f>
        <v>445</v>
      </c>
      <c r="C53" s="93">
        <f>SUM(C51:C52)</f>
        <v>1157.2640000000001</v>
      </c>
      <c r="D53" s="93">
        <f t="shared" ref="D53:G53" si="30">SUM(D51:D52)</f>
        <v>1113.6189999999999</v>
      </c>
      <c r="E53" s="93">
        <f t="shared" si="30"/>
        <v>1133.2</v>
      </c>
      <c r="F53" s="93">
        <f t="shared" si="30"/>
        <v>2101</v>
      </c>
      <c r="G53" s="97">
        <f t="shared" si="30"/>
        <v>1975.728999999998</v>
      </c>
      <c r="H53" s="152">
        <f>SUM(H51:H52)</f>
        <v>2349.8960000000043</v>
      </c>
      <c r="I53" s="153">
        <f>SUM(I51:I52)</f>
        <v>2373.9100000000021</v>
      </c>
      <c r="J53" s="42"/>
      <c r="K53" s="116"/>
      <c r="L53" s="117"/>
      <c r="M53" s="117"/>
      <c r="N53" s="117"/>
      <c r="O53" s="117"/>
      <c r="P53" s="106"/>
      <c r="Q53" s="118"/>
      <c r="R53" s="120"/>
      <c r="S53" s="119"/>
    </row>
    <row r="54" spans="1:23" ht="16.5" thickBot="1">
      <c r="A54" s="77"/>
      <c r="B54" s="58" t="s">
        <v>3</v>
      </c>
      <c r="C54" s="58" t="s">
        <v>4</v>
      </c>
      <c r="D54" s="58" t="s">
        <v>5</v>
      </c>
      <c r="E54" s="205" t="s">
        <v>6</v>
      </c>
      <c r="F54" s="4" t="s">
        <v>7</v>
      </c>
      <c r="G54" s="4" t="s">
        <v>110</v>
      </c>
      <c r="H54" s="133" t="s">
        <v>115</v>
      </c>
      <c r="I54" s="5" t="s">
        <v>131</v>
      </c>
      <c r="J54" s="42"/>
      <c r="K54" s="154" t="s">
        <v>73</v>
      </c>
      <c r="L54" s="155"/>
      <c r="M54" s="155"/>
      <c r="N54" s="155"/>
      <c r="O54" s="155"/>
      <c r="P54" s="155"/>
      <c r="Q54" s="155"/>
      <c r="R54" s="155"/>
      <c r="S54" s="156"/>
    </row>
    <row r="55" spans="1:23" ht="16.5" thickBot="1">
      <c r="A55" s="59" t="s">
        <v>72</v>
      </c>
      <c r="B55" s="162">
        <v>179.4</v>
      </c>
      <c r="C55" s="162">
        <v>180.9</v>
      </c>
      <c r="D55" s="162">
        <v>182.6</v>
      </c>
      <c r="E55" s="162">
        <v>183.1</v>
      </c>
      <c r="F55" s="162">
        <v>183.2</v>
      </c>
      <c r="G55" s="163">
        <v>183.6</v>
      </c>
      <c r="H55" s="162">
        <f>183713088/10^6</f>
        <v>183.713088</v>
      </c>
      <c r="I55" s="164">
        <f>183813088/10^6</f>
        <v>183.81308799999999</v>
      </c>
      <c r="J55" s="42"/>
      <c r="K55" s="3" t="s">
        <v>75</v>
      </c>
      <c r="L55" s="4" t="s">
        <v>3</v>
      </c>
      <c r="M55" s="4" t="s">
        <v>4</v>
      </c>
      <c r="N55" s="4" t="s">
        <v>5</v>
      </c>
      <c r="O55" s="4" t="s">
        <v>6</v>
      </c>
      <c r="P55" s="133" t="s">
        <v>7</v>
      </c>
      <c r="Q55" s="4" t="s">
        <v>110</v>
      </c>
      <c r="R55" s="4" t="s">
        <v>115</v>
      </c>
      <c r="S55" s="126" t="s">
        <v>131</v>
      </c>
    </row>
    <row r="56" spans="1:23">
      <c r="A56" s="62" t="s">
        <v>108</v>
      </c>
      <c r="B56" s="100">
        <f>B55*L56</f>
        <v>14352</v>
      </c>
      <c r="C56" s="100">
        <f>C55*M56</f>
        <v>14544.36</v>
      </c>
      <c r="D56" s="100">
        <f>D55*N56</f>
        <v>28339.519999999997</v>
      </c>
      <c r="E56" s="100">
        <f>E55*O56</f>
        <v>10079.654999999999</v>
      </c>
      <c r="F56" s="100">
        <f>F55*P56</f>
        <v>35659.879999999997</v>
      </c>
      <c r="G56" s="165">
        <v>73147</v>
      </c>
      <c r="H56" s="100">
        <f>H55*R56</f>
        <v>62636.977353599999</v>
      </c>
      <c r="I56" s="166">
        <f>I55*S56</f>
        <v>97917.231977600008</v>
      </c>
      <c r="J56" s="121"/>
      <c r="K56" s="127" t="s">
        <v>77</v>
      </c>
      <c r="L56" s="128">
        <v>80</v>
      </c>
      <c r="M56" s="129">
        <v>80.400000000000006</v>
      </c>
      <c r="N56" s="129">
        <v>155.19999999999999</v>
      </c>
      <c r="O56" s="129">
        <v>55.05</v>
      </c>
      <c r="P56" s="130">
        <v>194.65</v>
      </c>
      <c r="Q56" s="131">
        <v>398.2</v>
      </c>
      <c r="R56" s="131">
        <v>340.95</v>
      </c>
      <c r="S56" s="135">
        <v>532.70000000000005</v>
      </c>
    </row>
    <row r="57" spans="1:23">
      <c r="A57" s="62" t="s">
        <v>74</v>
      </c>
      <c r="B57" s="100">
        <f t="shared" ref="B57:G57" si="31">L38+L45</f>
        <v>44</v>
      </c>
      <c r="C57" s="100">
        <f t="shared" si="31"/>
        <v>59</v>
      </c>
      <c r="D57" s="100">
        <f t="shared" si="31"/>
        <v>0</v>
      </c>
      <c r="E57" s="100">
        <f t="shared" si="31"/>
        <v>0</v>
      </c>
      <c r="F57" s="100">
        <f t="shared" si="31"/>
        <v>0</v>
      </c>
      <c r="G57" s="165">
        <f t="shared" si="31"/>
        <v>0</v>
      </c>
      <c r="H57" s="100">
        <v>0</v>
      </c>
      <c r="I57" s="166">
        <v>0</v>
      </c>
      <c r="J57" s="66"/>
      <c r="K57" s="21" t="s">
        <v>78</v>
      </c>
      <c r="L57" s="80">
        <f>B31</f>
        <v>2.4900000000000002</v>
      </c>
      <c r="M57" s="80">
        <f>C31</f>
        <v>2.1800000000000002</v>
      </c>
      <c r="N57" s="80">
        <f>D31</f>
        <v>3.74</v>
      </c>
      <c r="O57" s="80">
        <f>E31</f>
        <v>3.85</v>
      </c>
      <c r="P57" s="81">
        <f>F31</f>
        <v>4.42</v>
      </c>
      <c r="Q57" s="107">
        <v>8.18</v>
      </c>
      <c r="R57" s="136">
        <f>H31</f>
        <v>13.05</v>
      </c>
      <c r="S57" s="137">
        <v>15.42</v>
      </c>
    </row>
    <row r="58" spans="1:23">
      <c r="A58" s="62" t="s">
        <v>76</v>
      </c>
      <c r="B58" s="100">
        <f t="shared" ref="B58:I59" si="32">L29</f>
        <v>692</v>
      </c>
      <c r="C58" s="100">
        <f t="shared" si="32"/>
        <v>772</v>
      </c>
      <c r="D58" s="100">
        <f t="shared" si="32"/>
        <v>636</v>
      </c>
      <c r="E58" s="100">
        <f t="shared" si="32"/>
        <v>458</v>
      </c>
      <c r="F58" s="100">
        <f t="shared" si="32"/>
        <v>1011</v>
      </c>
      <c r="G58" s="165">
        <f t="shared" si="32"/>
        <v>1074.5630000000001</v>
      </c>
      <c r="H58" s="100">
        <f t="shared" si="32"/>
        <v>985.81</v>
      </c>
      <c r="I58" s="166">
        <f t="shared" si="32"/>
        <v>1684.1579999999999</v>
      </c>
      <c r="J58" s="42"/>
      <c r="K58" s="70" t="s">
        <v>79</v>
      </c>
      <c r="L58" s="82">
        <f t="shared" ref="L58:Q58" si="33">L6/B55</f>
        <v>39.55406911928651</v>
      </c>
      <c r="M58" s="82">
        <f t="shared" si="33"/>
        <v>40.138197899391926</v>
      </c>
      <c r="N58" s="82">
        <f t="shared" si="33"/>
        <v>40.799561883899237</v>
      </c>
      <c r="O58" s="82">
        <f t="shared" si="33"/>
        <v>39.2790824685964</v>
      </c>
      <c r="P58" s="82">
        <f t="shared" si="33"/>
        <v>43.766375545851531</v>
      </c>
      <c r="Q58" s="82">
        <f t="shared" si="33"/>
        <v>49.875735294117646</v>
      </c>
      <c r="R58" s="82">
        <f>R6/H55</f>
        <v>58.676004618680189</v>
      </c>
      <c r="S58" s="139">
        <f>S6/I55</f>
        <v>69.335100882479054</v>
      </c>
    </row>
    <row r="59" spans="1:23">
      <c r="A59" s="79" t="s">
        <v>107</v>
      </c>
      <c r="B59" s="167">
        <f t="shared" si="32"/>
        <v>44</v>
      </c>
      <c r="C59" s="167">
        <f t="shared" si="32"/>
        <v>30</v>
      </c>
      <c r="D59" s="167">
        <f t="shared" si="32"/>
        <v>244</v>
      </c>
      <c r="E59" s="167">
        <f t="shared" si="32"/>
        <v>35</v>
      </c>
      <c r="F59" s="167">
        <f t="shared" si="32"/>
        <v>313</v>
      </c>
      <c r="G59" s="168">
        <f t="shared" si="32"/>
        <v>476.267</v>
      </c>
      <c r="H59" s="167">
        <f t="shared" si="32"/>
        <v>462.38</v>
      </c>
      <c r="I59" s="169">
        <f t="shared" si="32"/>
        <v>442.9</v>
      </c>
      <c r="J59" s="42"/>
      <c r="K59" s="21" t="s">
        <v>80</v>
      </c>
      <c r="L59" s="83">
        <f>L56/L57</f>
        <v>32.128514056224894</v>
      </c>
      <c r="M59" s="83">
        <f t="shared" ref="M59:P59" si="34">M56/M57</f>
        <v>36.88073394495413</v>
      </c>
      <c r="N59" s="83">
        <f t="shared" si="34"/>
        <v>41.497326203208551</v>
      </c>
      <c r="O59" s="83">
        <f t="shared" si="34"/>
        <v>14.298701298701298</v>
      </c>
      <c r="P59" s="83">
        <f t="shared" si="34"/>
        <v>44.03846153846154</v>
      </c>
      <c r="Q59" s="83">
        <v>34.799999999999997</v>
      </c>
      <c r="R59" s="83">
        <f>R56/H31</f>
        <v>26.126436781609193</v>
      </c>
      <c r="S59" s="137">
        <f>S56/S57</f>
        <v>34.546044098573283</v>
      </c>
    </row>
    <row r="60" spans="1:23" ht="16.5" thickBot="1">
      <c r="A60" s="78" t="s">
        <v>20</v>
      </c>
      <c r="B60" s="170">
        <f>B56+B57-B58</f>
        <v>13704</v>
      </c>
      <c r="C60" s="170">
        <f t="shared" ref="C60:G60" si="35">C56+C57-C58</f>
        <v>13831.36</v>
      </c>
      <c r="D60" s="170">
        <f t="shared" si="35"/>
        <v>27703.519999999997</v>
      </c>
      <c r="E60" s="170">
        <f t="shared" si="35"/>
        <v>9621.6549999999988</v>
      </c>
      <c r="F60" s="170">
        <f t="shared" si="35"/>
        <v>34648.879999999997</v>
      </c>
      <c r="G60" s="171">
        <f t="shared" si="35"/>
        <v>72072.437000000005</v>
      </c>
      <c r="H60" s="170">
        <f>H56+H57-H58-H59</f>
        <v>61188.787353600004</v>
      </c>
      <c r="I60" s="172">
        <f>I56+I57-I58-I59</f>
        <v>95790.173977600018</v>
      </c>
      <c r="J60" s="42"/>
      <c r="K60" s="21" t="s">
        <v>81</v>
      </c>
      <c r="L60" s="83">
        <f>L56/L58</f>
        <v>2.0225479143179257</v>
      </c>
      <c r="M60" s="83">
        <f t="shared" ref="M60:P60" si="36">M56/M58</f>
        <v>2.0030794656383422</v>
      </c>
      <c r="N60" s="83">
        <f t="shared" si="36"/>
        <v>3.8039624161073817</v>
      </c>
      <c r="O60" s="83">
        <f t="shared" si="36"/>
        <v>1.4015093159065626</v>
      </c>
      <c r="P60" s="83">
        <f t="shared" si="36"/>
        <v>4.4474781741082561</v>
      </c>
      <c r="Q60" s="83">
        <v>6.31</v>
      </c>
      <c r="R60" s="83">
        <f>R56/R58</f>
        <v>5.8107228366304717</v>
      </c>
      <c r="S60" s="137">
        <f>S56/S58</f>
        <v>7.6829772109643395</v>
      </c>
    </row>
    <row r="61" spans="1:23">
      <c r="A61" s="42"/>
      <c r="J61" s="42"/>
      <c r="K61" s="21" t="s">
        <v>82</v>
      </c>
      <c r="L61" s="83">
        <f t="shared" ref="L61:P61" si="37">B60/B14</f>
        <v>19.94759825327511</v>
      </c>
      <c r="M61" s="83">
        <f t="shared" si="37"/>
        <v>26.857009708737866</v>
      </c>
      <c r="N61" s="83">
        <f t="shared" si="37"/>
        <v>34.935081967213108</v>
      </c>
      <c r="O61" s="83">
        <f t="shared" si="37"/>
        <v>12.335455128205126</v>
      </c>
      <c r="P61" s="83">
        <f t="shared" si="37"/>
        <v>30.826405693950175</v>
      </c>
      <c r="Q61" s="83">
        <f>G60/G14</f>
        <v>35.013815099106139</v>
      </c>
      <c r="R61" s="83">
        <f>R9/H14</f>
        <v>19.24109145708794</v>
      </c>
      <c r="S61" s="137">
        <f>S9/I14</f>
        <v>24.700513962018153</v>
      </c>
    </row>
    <row r="62" spans="1:23">
      <c r="A62" s="42"/>
      <c r="J62" s="42"/>
      <c r="K62" s="21" t="s">
        <v>83</v>
      </c>
      <c r="L62" s="83">
        <f t="shared" ref="L62:Q62" si="38">B5/(SUM(L12:L14))</f>
        <v>4.0350654837346855</v>
      </c>
      <c r="M62" s="83">
        <f t="shared" si="38"/>
        <v>3.885149347917543</v>
      </c>
      <c r="N62" s="83">
        <f t="shared" si="38"/>
        <v>4.9895059029296025</v>
      </c>
      <c r="O62" s="83">
        <f t="shared" si="38"/>
        <v>4.7415053763440858</v>
      </c>
      <c r="P62" s="83">
        <f t="shared" si="38"/>
        <v>5.9170068027210885</v>
      </c>
      <c r="Q62" s="83">
        <f t="shared" si="38"/>
        <v>10.432735171369066</v>
      </c>
      <c r="R62" s="83">
        <f>H5/(SUM(R12:R14))</f>
        <v>13.719069228465996</v>
      </c>
      <c r="S62" s="137">
        <f>I5/(SUM(S12:S14))</f>
        <v>8.4464082377299938</v>
      </c>
    </row>
    <row r="63" spans="1:23">
      <c r="A63" s="42"/>
      <c r="J63" s="42"/>
      <c r="K63" s="70" t="s">
        <v>84</v>
      </c>
      <c r="L63" s="84">
        <f t="shared" ref="L63:Q63" si="39">B25/L6</f>
        <v>6.2852311161217589E-2</v>
      </c>
      <c r="M63" s="84">
        <f t="shared" si="39"/>
        <v>5.4400220355322958E-2</v>
      </c>
      <c r="N63" s="84">
        <f t="shared" si="39"/>
        <v>9.1543624161073825E-2</v>
      </c>
      <c r="O63" s="84">
        <f t="shared" si="39"/>
        <v>9.7886540600667413E-2</v>
      </c>
      <c r="P63" s="84">
        <f t="shared" si="39"/>
        <v>0.10102269892741332</v>
      </c>
      <c r="Q63" s="84">
        <f t="shared" si="39"/>
        <v>0.16402420612884855</v>
      </c>
      <c r="R63" s="84">
        <f>H25/R6</f>
        <v>0.22248609635838271</v>
      </c>
      <c r="S63" s="139">
        <f>I25/S6</f>
        <v>0.22235982191497827</v>
      </c>
    </row>
    <row r="64" spans="1:23">
      <c r="A64" s="69"/>
      <c r="J64" s="42"/>
      <c r="K64" s="70" t="s">
        <v>85</v>
      </c>
      <c r="L64" s="84">
        <f t="shared" ref="L64:Q64" si="40">(B14-B19)/L49</f>
        <v>6.420501515569027E-2</v>
      </c>
      <c r="M64" s="84">
        <f t="shared" si="40"/>
        <v>3.6882487548795265E-2</v>
      </c>
      <c r="N64" s="84">
        <f t="shared" si="40"/>
        <v>7.4054621848739496E-2</v>
      </c>
      <c r="O64" s="84">
        <f t="shared" si="40"/>
        <v>7.4724105836989768E-2</v>
      </c>
      <c r="P64" s="84">
        <f t="shared" si="40"/>
        <v>0.10886075949367088</v>
      </c>
      <c r="Q64" s="84">
        <f t="shared" si="40"/>
        <v>0.19324123897120213</v>
      </c>
      <c r="R64" s="84">
        <f>(H14-H19)/R49</f>
        <v>0.25737966174400062</v>
      </c>
      <c r="S64" s="139">
        <f>(I14-I19)/S49</f>
        <v>0.23932685581780652</v>
      </c>
    </row>
    <row r="65" spans="1:19">
      <c r="A65" s="69"/>
      <c r="J65" s="42"/>
      <c r="K65" s="21" t="s">
        <v>86</v>
      </c>
      <c r="L65" s="83">
        <f>B57/L6</f>
        <v>6.2006764374295375E-3</v>
      </c>
      <c r="M65" s="83">
        <f t="shared" ref="M65:Q65" si="41">C57/M6</f>
        <v>8.1256025340862136E-3</v>
      </c>
      <c r="N65" s="83">
        <f t="shared" si="41"/>
        <v>0</v>
      </c>
      <c r="O65" s="83">
        <f t="shared" si="41"/>
        <v>0</v>
      </c>
      <c r="P65" s="83">
        <f t="shared" si="41"/>
        <v>0</v>
      </c>
      <c r="Q65" s="83">
        <f t="shared" si="41"/>
        <v>0</v>
      </c>
      <c r="R65" s="83">
        <f>H57/R6</f>
        <v>0</v>
      </c>
      <c r="S65" s="137">
        <f>I57/S6</f>
        <v>0</v>
      </c>
    </row>
    <row r="66" spans="1:19">
      <c r="A66" s="69"/>
      <c r="J66" s="42"/>
      <c r="K66" s="70" t="s">
        <v>87</v>
      </c>
      <c r="L66" s="85">
        <f t="shared" ref="L66:Q66" si="42">(B57-B58-B59)/L6</f>
        <v>-9.7519729425028179E-2</v>
      </c>
      <c r="M66" s="85">
        <f t="shared" si="42"/>
        <v>-0.10232750309874673</v>
      </c>
      <c r="N66" s="85">
        <f t="shared" si="42"/>
        <v>-0.11812080536912752</v>
      </c>
      <c r="O66" s="85">
        <f t="shared" si="42"/>
        <v>-6.8548387096774188E-2</v>
      </c>
      <c r="P66" s="85">
        <f t="shared" si="42"/>
        <v>-0.16512846096283362</v>
      </c>
      <c r="Q66" s="85">
        <f t="shared" si="42"/>
        <v>-0.16935663088602013</v>
      </c>
      <c r="R66" s="85">
        <f>(H57-H58-H59)/R6</f>
        <v>-0.1343460534066821</v>
      </c>
      <c r="S66" s="139">
        <f>(I57-I58-I59)/S6</f>
        <v>-0.16689746850827938</v>
      </c>
    </row>
    <row r="67" spans="1:19">
      <c r="A67" s="69"/>
      <c r="J67" s="42"/>
      <c r="K67" s="21" t="s">
        <v>88</v>
      </c>
      <c r="L67" s="89">
        <v>118</v>
      </c>
      <c r="M67" s="89">
        <v>105</v>
      </c>
      <c r="N67" s="89">
        <v>98</v>
      </c>
      <c r="O67" s="71">
        <v>109</v>
      </c>
      <c r="P67" s="72">
        <v>127</v>
      </c>
      <c r="Q67" s="89">
        <v>80</v>
      </c>
      <c r="R67" s="89">
        <f>(AVERAGE(Q28:R28)/H5*365)</f>
        <v>67.589836997174345</v>
      </c>
      <c r="S67" s="138">
        <f>(AVERAGE(R28:S28)/I5*365)</f>
        <v>85.862702055322501</v>
      </c>
    </row>
    <row r="68" spans="1:19">
      <c r="A68" s="69"/>
      <c r="B68" s="123"/>
      <c r="C68" s="123"/>
      <c r="J68" s="42"/>
      <c r="K68" s="21" t="s">
        <v>89</v>
      </c>
      <c r="L68" s="89">
        <v>82</v>
      </c>
      <c r="M68" s="89">
        <v>63</v>
      </c>
      <c r="N68" s="89">
        <v>76</v>
      </c>
      <c r="O68" s="71">
        <v>73</v>
      </c>
      <c r="P68" s="72">
        <v>64</v>
      </c>
      <c r="Q68" s="89">
        <v>105</v>
      </c>
      <c r="R68" s="89">
        <f>AVERAGE(Q39:R39)/H8*365</f>
        <v>52.862328529426243</v>
      </c>
      <c r="S68" s="138">
        <f>AVERAGE(R39:S39)/I8*365</f>
        <v>59.387694122278859</v>
      </c>
    </row>
    <row r="69" spans="1:19">
      <c r="A69" s="69"/>
      <c r="B69" s="125"/>
      <c r="C69" s="123"/>
      <c r="J69" s="42"/>
      <c r="K69" s="21" t="s">
        <v>90</v>
      </c>
      <c r="L69" s="89">
        <v>167</v>
      </c>
      <c r="M69" s="89">
        <v>137</v>
      </c>
      <c r="N69" s="89">
        <v>140</v>
      </c>
      <c r="O69" s="71">
        <v>124</v>
      </c>
      <c r="P69" s="72">
        <v>169</v>
      </c>
      <c r="Q69" s="89">
        <v>39</v>
      </c>
      <c r="R69" s="89">
        <f>(AVERAGE(Q25:R25)/H8*365)</f>
        <v>38.583604385135814</v>
      </c>
      <c r="S69" s="138">
        <f>(AVERAGE(R25:S25)/I8*365)</f>
        <v>32.870822440483465</v>
      </c>
    </row>
    <row r="70" spans="1:19" ht="16.5" thickBot="1">
      <c r="A70" s="69"/>
      <c r="B70" s="42"/>
      <c r="J70" s="42"/>
      <c r="K70" s="86" t="s">
        <v>91</v>
      </c>
      <c r="L70" s="90">
        <f t="shared" ref="L70:M70" si="43">L67-L68+L69</f>
        <v>203</v>
      </c>
      <c r="M70" s="90">
        <f t="shared" si="43"/>
        <v>179</v>
      </c>
      <c r="N70" s="90">
        <v>120</v>
      </c>
      <c r="O70" s="87">
        <v>122</v>
      </c>
      <c r="P70" s="88">
        <v>131</v>
      </c>
      <c r="Q70" s="87">
        <v>82</v>
      </c>
      <c r="R70" s="87">
        <f>(R24-R36)/H4*365</f>
        <v>70.499776221167735</v>
      </c>
      <c r="S70" s="140">
        <f>(S24-S36)/I4*365</f>
        <v>80.537215360428021</v>
      </c>
    </row>
    <row r="71" spans="1:19">
      <c r="A71" s="69"/>
      <c r="B71" s="42"/>
      <c r="J71" s="42"/>
      <c r="L71" s="73"/>
      <c r="R71" s="124"/>
    </row>
    <row r="72" spans="1:19">
      <c r="A72" s="69"/>
      <c r="B72" s="42"/>
      <c r="J72" s="42"/>
      <c r="K72" s="122" t="s">
        <v>132</v>
      </c>
      <c r="L72" s="73"/>
    </row>
    <row r="73" spans="1:19">
      <c r="A73" s="69"/>
      <c r="B73" s="42"/>
      <c r="J73" s="42"/>
      <c r="L73" s="73"/>
    </row>
    <row r="74" spans="1:19">
      <c r="A74" s="69"/>
      <c r="B74" s="42"/>
      <c r="J74" s="42"/>
      <c r="L74" s="73"/>
    </row>
    <row r="75" spans="1:19">
      <c r="A75" s="69"/>
      <c r="B75" s="42"/>
      <c r="J75" s="42"/>
    </row>
    <row r="76" spans="1:19">
      <c r="A76" s="69"/>
      <c r="B76" s="42"/>
      <c r="J76" s="42"/>
      <c r="O76">
        <f>365/P76</f>
        <v>126.8421859431287</v>
      </c>
      <c r="P76">
        <f>F5/P28</f>
        <v>2.8775915306572561</v>
      </c>
      <c r="Q76">
        <f>G5/Q28</f>
        <v>4.5590599813479677</v>
      </c>
      <c r="R76">
        <f>365/Q76</f>
        <v>80.060363648052117</v>
      </c>
    </row>
    <row r="77" spans="1:19">
      <c r="A77" s="42"/>
      <c r="B77" s="42"/>
      <c r="C77" s="42"/>
      <c r="D77" s="42"/>
      <c r="E77" s="42"/>
      <c r="F77" s="42"/>
      <c r="G77" s="42"/>
      <c r="H77" s="42"/>
      <c r="I77" s="42"/>
      <c r="J77" s="42"/>
      <c r="O77">
        <f>365/P77</f>
        <v>39.460286840560265</v>
      </c>
      <c r="P77" s="112">
        <f>F8/P25</f>
        <v>9.2498060512024818</v>
      </c>
      <c r="Q77" s="112">
        <f>G8/Q25</f>
        <v>6.1660127623647911</v>
      </c>
      <c r="R77">
        <f>365/Q77</f>
        <v>59.195466189728592</v>
      </c>
    </row>
    <row r="78" spans="1:19">
      <c r="A78" s="42"/>
      <c r="B78" s="42"/>
      <c r="C78" s="42"/>
      <c r="D78" s="42"/>
      <c r="E78" s="42"/>
      <c r="F78" s="42"/>
      <c r="G78" s="42"/>
      <c r="H78" s="42"/>
      <c r="I78" s="42"/>
      <c r="J78" s="42"/>
      <c r="O78">
        <f>365/P78</f>
        <v>95.56526404537442</v>
      </c>
      <c r="P78">
        <f>F5/P39</f>
        <v>3.8193793911007026</v>
      </c>
      <c r="Q78">
        <f>G5/Q39</f>
        <v>5.4928291660212496</v>
      </c>
      <c r="R78">
        <f>365/Q78</f>
        <v>66.450273432477616</v>
      </c>
    </row>
    <row r="79" spans="1:19">
      <c r="J79" s="42"/>
      <c r="R79">
        <f>R76+R77-R78</f>
        <v>72.805556405303093</v>
      </c>
    </row>
    <row r="80" spans="1:19">
      <c r="J80" s="42"/>
    </row>
    <row r="81" spans="10:10">
      <c r="J81" s="42"/>
    </row>
  </sheetData>
  <mergeCells count="4">
    <mergeCell ref="A2:I2"/>
    <mergeCell ref="K2:S2"/>
    <mergeCell ref="K54:S54"/>
    <mergeCell ref="A1:S1"/>
  </mergeCells>
  <phoneticPr fontId="15" type="noConversion"/>
  <pageMargins left="0.7" right="0.7" top="0.75" bottom="0.75" header="0.3" footer="0.3"/>
  <pageSetup paperSize="9" orientation="portrait" r:id="rId1"/>
  <ignoredErrors>
    <ignoredError sqref="L62:P62 Q62:S62 R67:S69 L43:R43 L24:S36" formulaRange="1"/>
    <ignoredError sqref="O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workbookViewId="0">
      <selection activeCell="M1" sqref="M1"/>
    </sheetView>
  </sheetViews>
  <sheetFormatPr defaultRowHeight="15.75"/>
  <cols>
    <col min="1" max="1" width="20" bestFit="1" customWidth="1"/>
    <col min="6" max="6" width="7.875" bestFit="1" customWidth="1"/>
    <col min="8" max="8" width="18.25" bestFit="1" customWidth="1"/>
  </cols>
  <sheetData>
    <row r="1" spans="1:11">
      <c r="A1" t="s">
        <v>117</v>
      </c>
      <c r="B1" t="s">
        <v>118</v>
      </c>
      <c r="C1" t="s">
        <v>119</v>
      </c>
      <c r="D1" t="s">
        <v>120</v>
      </c>
      <c r="E1" t="s">
        <v>116</v>
      </c>
      <c r="F1" t="s">
        <v>121</v>
      </c>
      <c r="H1" t="s">
        <v>122</v>
      </c>
      <c r="I1">
        <v>411</v>
      </c>
      <c r="J1">
        <v>317</v>
      </c>
      <c r="K1" s="114">
        <f>I1/J1-1</f>
        <v>0.29652996845425861</v>
      </c>
    </row>
    <row r="2" spans="1:11">
      <c r="A2" t="s">
        <v>122</v>
      </c>
      <c r="B2">
        <v>216</v>
      </c>
      <c r="C2">
        <v>165</v>
      </c>
      <c r="D2" s="114">
        <f>B2/C2-1</f>
        <v>0.30909090909090908</v>
      </c>
      <c r="E2">
        <v>195</v>
      </c>
      <c r="F2" s="114">
        <f>B2/E2-1</f>
        <v>0.10769230769230775</v>
      </c>
      <c r="H2" t="s">
        <v>123</v>
      </c>
      <c r="I2">
        <v>197</v>
      </c>
      <c r="J2">
        <v>161</v>
      </c>
      <c r="K2" s="114">
        <f t="shared" ref="K2:K13" si="0">I2/J2-1</f>
        <v>0.22360248447204967</v>
      </c>
    </row>
    <row r="3" spans="1:11">
      <c r="A3" t="s">
        <v>123</v>
      </c>
      <c r="B3">
        <v>104</v>
      </c>
      <c r="C3">
        <v>82</v>
      </c>
      <c r="D3" s="114">
        <f t="shared" ref="D3:D14" si="1">B3/C3-1</f>
        <v>0.26829268292682928</v>
      </c>
      <c r="E3">
        <v>92</v>
      </c>
      <c r="F3" s="114">
        <f t="shared" ref="F3:F14" si="2">B3/E3-1</f>
        <v>0.13043478260869557</v>
      </c>
      <c r="H3" t="s">
        <v>22</v>
      </c>
      <c r="I3">
        <f>I10+I9+I7+I6-I5</f>
        <v>214</v>
      </c>
      <c r="J3">
        <v>156</v>
      </c>
      <c r="K3" s="114">
        <f t="shared" si="0"/>
        <v>0.37179487179487181</v>
      </c>
    </row>
    <row r="4" spans="1:11">
      <c r="A4" t="s">
        <v>22</v>
      </c>
      <c r="B4">
        <f>B11+B10+B8+B7-B6</f>
        <v>112</v>
      </c>
      <c r="C4">
        <v>83</v>
      </c>
      <c r="D4" s="114">
        <f t="shared" si="1"/>
        <v>0.34939759036144569</v>
      </c>
      <c r="E4">
        <v>103</v>
      </c>
      <c r="F4" s="114">
        <f t="shared" si="2"/>
        <v>8.737864077669899E-2</v>
      </c>
      <c r="H4" t="s">
        <v>124</v>
      </c>
      <c r="I4" s="115">
        <f>I3/I1</f>
        <v>0.52068126520681268</v>
      </c>
      <c r="J4" s="113">
        <v>0.49209999999999998</v>
      </c>
      <c r="K4" s="114">
        <f t="shared" si="0"/>
        <v>5.8080197534673195E-2</v>
      </c>
    </row>
    <row r="5" spans="1:11">
      <c r="A5" t="s">
        <v>124</v>
      </c>
      <c r="B5" s="115">
        <f>B4/B2</f>
        <v>0.51851851851851849</v>
      </c>
      <c r="C5" s="113">
        <v>0.503</v>
      </c>
      <c r="D5" s="114">
        <f t="shared" si="1"/>
        <v>3.0851925484132181E-2</v>
      </c>
      <c r="E5" s="113">
        <v>0.5282</v>
      </c>
      <c r="F5" s="114">
        <f t="shared" si="2"/>
        <v>-1.8329196292089178E-2</v>
      </c>
      <c r="H5" t="s">
        <v>28</v>
      </c>
      <c r="I5">
        <v>8</v>
      </c>
      <c r="J5">
        <v>2</v>
      </c>
      <c r="K5" s="114">
        <f t="shared" si="0"/>
        <v>3</v>
      </c>
    </row>
    <row r="6" spans="1:11">
      <c r="A6" t="s">
        <v>28</v>
      </c>
      <c r="B6">
        <v>4</v>
      </c>
      <c r="C6">
        <v>1</v>
      </c>
      <c r="D6" s="114">
        <f t="shared" si="1"/>
        <v>3</v>
      </c>
      <c r="E6">
        <v>3</v>
      </c>
      <c r="F6" s="114">
        <f t="shared" si="2"/>
        <v>0.33333333333333326</v>
      </c>
      <c r="H6" t="s">
        <v>26</v>
      </c>
      <c r="I6">
        <v>44</v>
      </c>
      <c r="J6">
        <v>86</v>
      </c>
      <c r="K6" s="114">
        <f t="shared" si="0"/>
        <v>-0.48837209302325579</v>
      </c>
    </row>
    <row r="7" spans="1:11">
      <c r="A7" t="s">
        <v>26</v>
      </c>
      <c r="B7">
        <v>25</v>
      </c>
      <c r="C7">
        <v>47</v>
      </c>
      <c r="D7" s="114">
        <f t="shared" si="1"/>
        <v>-0.46808510638297873</v>
      </c>
      <c r="E7" t="s">
        <v>125</v>
      </c>
      <c r="F7" s="114" t="e">
        <f t="shared" si="2"/>
        <v>#VALUE!</v>
      </c>
      <c r="H7" t="s">
        <v>27</v>
      </c>
      <c r="I7">
        <v>6</v>
      </c>
      <c r="J7">
        <v>2</v>
      </c>
      <c r="K7" s="114">
        <f t="shared" si="0"/>
        <v>2</v>
      </c>
    </row>
    <row r="8" spans="1:11">
      <c r="A8" t="s">
        <v>27</v>
      </c>
      <c r="B8">
        <v>4</v>
      </c>
      <c r="C8">
        <v>1</v>
      </c>
      <c r="D8" s="114">
        <f t="shared" si="1"/>
        <v>3</v>
      </c>
      <c r="E8">
        <v>2</v>
      </c>
      <c r="F8" s="114">
        <f t="shared" si="2"/>
        <v>1</v>
      </c>
      <c r="H8" t="s">
        <v>29</v>
      </c>
      <c r="I8">
        <v>172</v>
      </c>
      <c r="J8">
        <v>70</v>
      </c>
      <c r="K8" s="114">
        <f t="shared" si="0"/>
        <v>1.4571428571428573</v>
      </c>
    </row>
    <row r="9" spans="1:11">
      <c r="A9" t="s">
        <v>29</v>
      </c>
      <c r="B9">
        <v>87</v>
      </c>
      <c r="C9">
        <v>36</v>
      </c>
      <c r="D9" s="114">
        <f t="shared" si="1"/>
        <v>1.4166666666666665</v>
      </c>
      <c r="E9">
        <v>85</v>
      </c>
      <c r="F9" s="114">
        <f t="shared" si="2"/>
        <v>2.3529411764705799E-2</v>
      </c>
      <c r="H9" t="s">
        <v>30</v>
      </c>
      <c r="I9">
        <v>44</v>
      </c>
      <c r="J9">
        <v>18</v>
      </c>
      <c r="K9" s="114">
        <f t="shared" si="0"/>
        <v>1.4444444444444446</v>
      </c>
    </row>
    <row r="10" spans="1:11">
      <c r="A10" t="s">
        <v>30</v>
      </c>
      <c r="B10">
        <v>29</v>
      </c>
      <c r="C10">
        <v>10</v>
      </c>
      <c r="D10" s="114">
        <f t="shared" si="1"/>
        <v>1.9</v>
      </c>
      <c r="E10">
        <v>15</v>
      </c>
      <c r="F10" s="114">
        <f t="shared" si="2"/>
        <v>0.93333333333333335</v>
      </c>
      <c r="H10" t="s">
        <v>33</v>
      </c>
      <c r="I10">
        <v>128</v>
      </c>
      <c r="J10">
        <v>52</v>
      </c>
      <c r="K10" s="114">
        <f t="shared" si="0"/>
        <v>1.4615384615384617</v>
      </c>
    </row>
    <row r="11" spans="1:11">
      <c r="A11" t="s">
        <v>33</v>
      </c>
      <c r="B11">
        <v>58</v>
      </c>
      <c r="C11">
        <v>26</v>
      </c>
      <c r="D11" s="114">
        <f t="shared" si="1"/>
        <v>1.2307692307692308</v>
      </c>
      <c r="E11">
        <v>70</v>
      </c>
      <c r="F11" s="114">
        <f t="shared" si="2"/>
        <v>-0.17142857142857137</v>
      </c>
      <c r="H11" t="s">
        <v>126</v>
      </c>
      <c r="I11" s="115">
        <f>I10/I1</f>
        <v>0.31143552311435524</v>
      </c>
      <c r="J11" s="113">
        <v>0.16400000000000001</v>
      </c>
      <c r="K11" s="114">
        <f t="shared" si="0"/>
        <v>0.89899709216070267</v>
      </c>
    </row>
    <row r="12" spans="1:11">
      <c r="A12" t="s">
        <v>126</v>
      </c>
      <c r="B12" s="115">
        <f>B11/B2</f>
        <v>0.26851851851851855</v>
      </c>
      <c r="C12" s="113">
        <v>0.15759999999999999</v>
      </c>
      <c r="D12" s="114">
        <f t="shared" si="1"/>
        <v>0.70379770633577765</v>
      </c>
      <c r="E12" s="113">
        <v>0.35899999999999999</v>
      </c>
      <c r="F12" s="114">
        <f t="shared" si="2"/>
        <v>-0.25203755287320739</v>
      </c>
      <c r="H12" t="s">
        <v>127</v>
      </c>
      <c r="I12">
        <v>8.82</v>
      </c>
      <c r="J12">
        <v>3.58</v>
      </c>
      <c r="K12" s="114">
        <f t="shared" si="0"/>
        <v>1.4636871508379889</v>
      </c>
    </row>
    <row r="13" spans="1:11">
      <c r="A13" t="s">
        <v>127</v>
      </c>
      <c r="B13">
        <v>4</v>
      </c>
      <c r="C13">
        <v>1.83</v>
      </c>
      <c r="D13" s="114">
        <f t="shared" si="1"/>
        <v>1.1857923497267757</v>
      </c>
      <c r="E13">
        <v>4.82</v>
      </c>
      <c r="F13" s="114">
        <f t="shared" si="2"/>
        <v>-0.17012448132780089</v>
      </c>
      <c r="H13" t="s">
        <v>128</v>
      </c>
      <c r="I13">
        <v>8.68</v>
      </c>
      <c r="J13">
        <v>3.53</v>
      </c>
      <c r="K13" s="114">
        <f t="shared" si="0"/>
        <v>1.4589235127478752</v>
      </c>
    </row>
    <row r="14" spans="1:11">
      <c r="A14" t="s">
        <v>128</v>
      </c>
      <c r="B14">
        <v>3.94</v>
      </c>
      <c r="C14">
        <v>1.81</v>
      </c>
      <c r="D14" s="114">
        <f t="shared" si="1"/>
        <v>1.1767955801104972</v>
      </c>
      <c r="E14">
        <v>4.76</v>
      </c>
      <c r="F14" s="114">
        <f t="shared" si="2"/>
        <v>-0.17226890756302515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Kewal Raithatha</dc:creator>
  <cp:lastModifiedBy>admin</cp:lastModifiedBy>
  <cp:lastPrinted>2022-02-23T11:46:41Z</cp:lastPrinted>
  <dcterms:created xsi:type="dcterms:W3CDTF">2022-02-19T13:31:04Z</dcterms:created>
  <dcterms:modified xsi:type="dcterms:W3CDTF">2024-06-12T11:31:11Z</dcterms:modified>
</cp:coreProperties>
</file>