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E19F48F-B2FF-423E-8AA2-074D5D8DEF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Sheet1!$B$2:$O$68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51" i="1" l="1"/>
  <c r="L12" i="1"/>
  <c r="L11" i="1"/>
  <c r="K57" i="1"/>
  <c r="K60" i="1" s="1"/>
  <c r="L8" i="1"/>
  <c r="L65" i="1" s="1"/>
  <c r="M8" i="1"/>
  <c r="N8" i="1"/>
  <c r="O8" i="1"/>
  <c r="O65" i="1" s="1"/>
  <c r="P8" i="1"/>
  <c r="P65" i="1" s="1"/>
  <c r="M65" i="1"/>
  <c r="K11" i="1"/>
  <c r="K13" i="1"/>
  <c r="K66" i="1"/>
  <c r="P66" i="1"/>
  <c r="O66" i="1"/>
  <c r="N66" i="1"/>
  <c r="M66" i="1"/>
  <c r="L66" i="1"/>
  <c r="L74" i="1"/>
  <c r="M74" i="1"/>
  <c r="N74" i="1"/>
  <c r="O74" i="1"/>
  <c r="P74" i="1"/>
  <c r="K74" i="1"/>
  <c r="K72" i="1"/>
  <c r="K15" i="1"/>
  <c r="L70" i="1"/>
  <c r="M68" i="1"/>
  <c r="N68" i="1"/>
  <c r="O68" i="1"/>
  <c r="P68" i="1"/>
  <c r="L68" i="1"/>
  <c r="M69" i="1"/>
  <c r="N69" i="1"/>
  <c r="O69" i="1"/>
  <c r="P69" i="1"/>
  <c r="L69" i="1"/>
  <c r="L67" i="1"/>
  <c r="N65" i="1"/>
  <c r="K62" i="1"/>
  <c r="K59" i="1"/>
  <c r="K50" i="1"/>
  <c r="K37" i="1"/>
  <c r="K44" i="1" s="1"/>
  <c r="L71" i="1" s="1"/>
  <c r="C41" i="1"/>
  <c r="C29" i="1"/>
  <c r="D41" i="1"/>
  <c r="L50" i="1"/>
  <c r="N45" i="1"/>
  <c r="M37" i="1"/>
  <c r="N37" i="1"/>
  <c r="N51" i="1"/>
  <c r="M15" i="1"/>
  <c r="M26" i="1"/>
  <c r="H54" i="1"/>
  <c r="D53" i="1"/>
  <c r="E53" i="1"/>
  <c r="F53" i="1"/>
  <c r="G53" i="1"/>
  <c r="H53" i="1"/>
  <c r="C53" i="1"/>
  <c r="M11" i="1"/>
  <c r="F47" i="1"/>
  <c r="E24" i="1"/>
  <c r="E17" i="1"/>
  <c r="E15" i="1"/>
  <c r="F15" i="1"/>
  <c r="F8" i="1"/>
  <c r="F14" i="1" s="1"/>
  <c r="F22" i="1" s="1"/>
  <c r="F7" i="1"/>
  <c r="E6" i="1"/>
  <c r="F6" i="1"/>
  <c r="E41" i="1"/>
  <c r="F41" i="1"/>
  <c r="G14" i="1"/>
  <c r="G22" i="1" s="1"/>
  <c r="N11" i="1"/>
  <c r="O11" i="1"/>
  <c r="P11" i="1"/>
  <c r="P45" i="1"/>
  <c r="O45" i="1"/>
  <c r="M45" i="1"/>
  <c r="L45" i="1"/>
  <c r="K45" i="1"/>
  <c r="K12" i="1" s="1"/>
  <c r="O26" i="1"/>
  <c r="L26" i="1"/>
  <c r="K26" i="1"/>
  <c r="H8" i="1"/>
  <c r="H14" i="1" s="1"/>
  <c r="H22" i="1" s="1"/>
  <c r="G8" i="1"/>
  <c r="E8" i="1"/>
  <c r="E14" i="1" s="1"/>
  <c r="E22" i="1" s="1"/>
  <c r="D8" i="1"/>
  <c r="D14" i="1" s="1"/>
  <c r="D22" i="1" s="1"/>
  <c r="C8" i="1"/>
  <c r="C14" i="1" s="1"/>
  <c r="C22" i="1" s="1"/>
  <c r="P72" i="1"/>
  <c r="P67" i="1"/>
  <c r="P56" i="1"/>
  <c r="H51" i="1"/>
  <c r="H41" i="1"/>
  <c r="P26" i="1"/>
  <c r="P15" i="1"/>
  <c r="H34" i="1"/>
  <c r="H33" i="1"/>
  <c r="H7" i="1"/>
  <c r="H6" i="1"/>
  <c r="G7" i="1"/>
  <c r="G6" i="1"/>
  <c r="L51" i="1" l="1"/>
  <c r="P51" i="1"/>
  <c r="K65" i="1"/>
  <c r="K73" i="1"/>
  <c r="K75" i="1" s="1"/>
  <c r="K64" i="1"/>
  <c r="M50" i="1"/>
  <c r="P59" i="1"/>
  <c r="P37" i="1"/>
  <c r="P12" i="1"/>
  <c r="G45" i="1"/>
  <c r="H45" i="1"/>
  <c r="P70" i="1" l="1"/>
  <c r="P63" i="1"/>
  <c r="H52" i="1"/>
  <c r="P73" i="1"/>
  <c r="P64" i="1"/>
  <c r="P57" i="1"/>
  <c r="P60" i="1" s="1"/>
  <c r="P44" i="1"/>
  <c r="H47" i="1"/>
  <c r="P61" i="1" l="1"/>
  <c r="P50" i="1"/>
  <c r="H17" i="1"/>
  <c r="P13" i="1" l="1"/>
  <c r="H24" i="1"/>
  <c r="P75" i="1" s="1"/>
  <c r="H25" i="1"/>
  <c r="O56" i="1"/>
  <c r="M67" i="1"/>
  <c r="N67" i="1"/>
  <c r="O67" i="1"/>
  <c r="M72" i="1"/>
  <c r="N72" i="1"/>
  <c r="O72" i="1"/>
  <c r="L72" i="1"/>
  <c r="P62" i="1" l="1"/>
  <c r="H29" i="1"/>
  <c r="H26" i="1"/>
  <c r="G51" i="1"/>
  <c r="F34" i="1"/>
  <c r="O37" i="1"/>
  <c r="L37" i="1"/>
  <c r="G33" i="1"/>
  <c r="G34" i="1"/>
  <c r="M12" i="1" l="1"/>
  <c r="O70" i="1" l="1"/>
  <c r="H15" i="1"/>
  <c r="M51" i="1"/>
  <c r="O59" i="1"/>
  <c r="N26" i="1" l="1"/>
  <c r="C42" i="1" l="1"/>
  <c r="D37" i="1" s="1"/>
  <c r="D42" i="1" s="1"/>
  <c r="C45" i="1"/>
  <c r="C47" i="1" s="1"/>
  <c r="G41" i="1"/>
  <c r="G47" i="1"/>
  <c r="G52" i="1"/>
  <c r="O15" i="1"/>
  <c r="O51" i="1" l="1"/>
  <c r="O12" i="1"/>
  <c r="O63" i="1" s="1"/>
  <c r="O44" i="1"/>
  <c r="P71" i="1" s="1"/>
  <c r="G54" i="1"/>
  <c r="O61" i="1" s="1"/>
  <c r="O64" i="1"/>
  <c r="O73" i="1"/>
  <c r="O57" i="1"/>
  <c r="O60" i="1" s="1"/>
  <c r="O50" i="1"/>
  <c r="O13" i="1" s="1"/>
  <c r="G17" i="1"/>
  <c r="K56" i="1"/>
  <c r="C51" i="1"/>
  <c r="N12" i="1"/>
  <c r="M73" i="1"/>
  <c r="F52" i="1"/>
  <c r="N15" i="1"/>
  <c r="M44" i="1"/>
  <c r="D52" i="1"/>
  <c r="L15" i="1"/>
  <c r="F51" i="1"/>
  <c r="E51" i="1"/>
  <c r="D51" i="1"/>
  <c r="N56" i="1"/>
  <c r="M56" i="1"/>
  <c r="L56" i="1"/>
  <c r="F45" i="1"/>
  <c r="E45" i="1"/>
  <c r="E47" i="1" s="1"/>
  <c r="D45" i="1"/>
  <c r="D47" i="1" s="1"/>
  <c r="E37" i="1"/>
  <c r="E42" i="1" s="1"/>
  <c r="F33" i="1"/>
  <c r="E33" i="1"/>
  <c r="D33" i="1"/>
  <c r="D6" i="1"/>
  <c r="N59" i="1" l="1"/>
  <c r="M59" i="1"/>
  <c r="L59" i="1"/>
  <c r="F37" i="1"/>
  <c r="Q50" i="1"/>
  <c r="G25" i="1"/>
  <c r="O62" i="1" s="1"/>
  <c r="G24" i="1"/>
  <c r="O75" i="1" s="1"/>
  <c r="L44" i="1"/>
  <c r="M71" i="1" s="1"/>
  <c r="N44" i="1"/>
  <c r="E52" i="1"/>
  <c r="E54" i="1" s="1"/>
  <c r="F54" i="1"/>
  <c r="N57" i="1"/>
  <c r="N60" i="1" s="1"/>
  <c r="G15" i="1"/>
  <c r="N50" i="1"/>
  <c r="N13" i="1" s="1"/>
  <c r="M13" i="1"/>
  <c r="L13" i="1"/>
  <c r="L57" i="1"/>
  <c r="L60" i="1" s="1"/>
  <c r="K63" i="1"/>
  <c r="L64" i="1"/>
  <c r="M64" i="1"/>
  <c r="N73" i="1"/>
  <c r="N64" i="1"/>
  <c r="M57" i="1"/>
  <c r="M60" i="1" s="1"/>
  <c r="D54" i="1"/>
  <c r="L73" i="1"/>
  <c r="F42" i="1" l="1"/>
  <c r="G37" i="1" s="1"/>
  <c r="G42" i="1" s="1"/>
  <c r="H37" i="1" s="1"/>
  <c r="H42" i="1" s="1"/>
  <c r="H16" i="1"/>
  <c r="M70" i="1"/>
  <c r="N70" i="1"/>
  <c r="O71" i="1"/>
  <c r="N71" i="1"/>
  <c r="G16" i="1"/>
  <c r="F16" i="1"/>
  <c r="C24" i="1"/>
  <c r="N61" i="1"/>
  <c r="N63" i="1"/>
  <c r="F17" i="1"/>
  <c r="C17" i="1"/>
  <c r="F24" i="1"/>
  <c r="N75" i="1" s="1"/>
  <c r="G29" i="1"/>
  <c r="H30" i="1" s="1"/>
  <c r="G26" i="1"/>
  <c r="C52" i="1"/>
  <c r="C54" i="1" s="1"/>
  <c r="K61" i="1" s="1"/>
  <c r="D17" i="1"/>
  <c r="L61" i="1"/>
  <c r="M61" i="1"/>
  <c r="D25" i="1"/>
  <c r="M63" i="1"/>
  <c r="L63" i="1"/>
  <c r="D15" i="1"/>
  <c r="E25" i="1"/>
  <c r="F25" i="1" l="1"/>
  <c r="F26" i="1" s="1"/>
  <c r="C25" i="1"/>
  <c r="D24" i="1"/>
  <c r="L75" i="1" s="1"/>
  <c r="M75" i="1"/>
  <c r="E29" i="1"/>
  <c r="H31" i="1" s="1"/>
  <c r="E26" i="1"/>
  <c r="M62" i="1"/>
  <c r="L62" i="1"/>
  <c r="D26" i="1"/>
  <c r="D29" i="1"/>
  <c r="G31" i="1" s="1"/>
  <c r="N62" i="1" l="1"/>
  <c r="F29" i="1"/>
  <c r="G30" i="1" s="1"/>
  <c r="D30" i="1"/>
  <c r="C26" i="1"/>
  <c r="E30" i="1"/>
  <c r="F30" i="1" l="1"/>
  <c r="F31" i="1"/>
</calcChain>
</file>

<file path=xl/sharedStrings.xml><?xml version="1.0" encoding="utf-8"?>
<sst xmlns="http://schemas.openxmlformats.org/spreadsheetml/2006/main" count="160" uniqueCount="116">
  <si>
    <t>Income Statement</t>
  </si>
  <si>
    <t>Balance Sheet</t>
  </si>
  <si>
    <t>Y/E, Mar (Rs. mn)</t>
  </si>
  <si>
    <t>FY19</t>
  </si>
  <si>
    <t>FY20</t>
  </si>
  <si>
    <t>FY21</t>
  </si>
  <si>
    <t>FY22</t>
  </si>
  <si>
    <t xml:space="preserve">Operational Income </t>
  </si>
  <si>
    <t>Growth (%)</t>
  </si>
  <si>
    <t>CAGR (%) - 3 Years</t>
  </si>
  <si>
    <t>Networth/Shareholders Fund/ Book Value</t>
  </si>
  <si>
    <t>Expenditure</t>
  </si>
  <si>
    <t>Long Term Debt</t>
  </si>
  <si>
    <t>Short Term Debt</t>
  </si>
  <si>
    <t>Other Expenses</t>
  </si>
  <si>
    <t>Loans</t>
  </si>
  <si>
    <t>EBITDA</t>
  </si>
  <si>
    <t>Capital Employed</t>
  </si>
  <si>
    <t>EBITDA margin (%)</t>
  </si>
  <si>
    <t>NON CURRENT ASSETS</t>
  </si>
  <si>
    <t>Other Income</t>
  </si>
  <si>
    <t>Property, plant and Equipment</t>
  </si>
  <si>
    <t>Capital WIP</t>
  </si>
  <si>
    <t>Finance cost</t>
  </si>
  <si>
    <t>PBT</t>
  </si>
  <si>
    <t>Financial Assets</t>
  </si>
  <si>
    <t>Tax</t>
  </si>
  <si>
    <t>a) Investments</t>
  </si>
  <si>
    <t>Effective tax rate (%)</t>
  </si>
  <si>
    <t xml:space="preserve">b) Loans </t>
  </si>
  <si>
    <t>PAT</t>
  </si>
  <si>
    <t>PAT margin (%)</t>
  </si>
  <si>
    <t>CURRENT ASSETS, LOANS &amp; ADVANCES</t>
  </si>
  <si>
    <t>Minority Interest</t>
  </si>
  <si>
    <t>Other Comprehensive Income</t>
  </si>
  <si>
    <t>CAGR (%)</t>
  </si>
  <si>
    <t>EPS</t>
  </si>
  <si>
    <t xml:space="preserve">Other Current Assets </t>
  </si>
  <si>
    <t>CURRENT LIABILITIES &amp; PROVISIONS</t>
  </si>
  <si>
    <t>Financial Liabilities</t>
  </si>
  <si>
    <t>a) Trade payables</t>
  </si>
  <si>
    <t>b) Oher financial liabilities</t>
  </si>
  <si>
    <t>Other Current Liabilities</t>
  </si>
  <si>
    <t>CASH FLOW (INR Mn)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</si>
  <si>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</si>
  <si>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</si>
  <si>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</si>
  <si>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</si>
  <si>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TOTAL ASSETS</t>
  </si>
  <si>
    <t>Net Inc./(Dec.) in Cash and Cash Equivalents</t>
  </si>
  <si>
    <t>TOTAL LIABILITIES</t>
  </si>
  <si>
    <t>Cash and Cash Equivalents at end of the year</t>
  </si>
  <si>
    <t>KEY RATIOS</t>
  </si>
  <si>
    <t>Our Calculations</t>
  </si>
  <si>
    <t xml:space="preserve">Operating Cash Inflow </t>
  </si>
  <si>
    <t>CMP(INR)</t>
  </si>
  <si>
    <t>Capital Expenditure</t>
  </si>
  <si>
    <t>EPS (INR)</t>
  </si>
  <si>
    <t>FCF</t>
  </si>
  <si>
    <t>BVPS (INR)</t>
  </si>
  <si>
    <t>DPS (INR)</t>
  </si>
  <si>
    <t>P/E (x)</t>
  </si>
  <si>
    <t>No of Shares</t>
  </si>
  <si>
    <t>P/BV (x)</t>
  </si>
  <si>
    <t>Market Cap</t>
  </si>
  <si>
    <t>EV/EBIDTA (x)</t>
  </si>
  <si>
    <t>Total Debt</t>
  </si>
  <si>
    <t>ROE (%)</t>
  </si>
  <si>
    <t>Cash</t>
  </si>
  <si>
    <t>ROCE (%)</t>
  </si>
  <si>
    <t>EV</t>
  </si>
  <si>
    <t>Gross D/E (x)</t>
  </si>
  <si>
    <t>Net D/E (x)</t>
  </si>
  <si>
    <t>Dividend Yield (%)</t>
  </si>
  <si>
    <t>Debtor Days</t>
  </si>
  <si>
    <t>Creditor Days</t>
  </si>
  <si>
    <t>Inventory Days</t>
  </si>
  <si>
    <t>Cash Conversion cycle</t>
  </si>
  <si>
    <t>Fixed Asset Turnover</t>
  </si>
  <si>
    <t>Interest Cost</t>
  </si>
  <si>
    <t xml:space="preserve">Interest Coverage </t>
  </si>
  <si>
    <t>Cost of debt</t>
  </si>
  <si>
    <t>Depreciation and amotization expense</t>
  </si>
  <si>
    <t>Exception item</t>
  </si>
  <si>
    <t>Equity Share Capital</t>
  </si>
  <si>
    <t>Other Equity</t>
  </si>
  <si>
    <t>Goodwill on Consolidation</t>
  </si>
  <si>
    <t xml:space="preserve">Other Intangible assets </t>
  </si>
  <si>
    <t>Other Non-current assets</t>
  </si>
  <si>
    <t>Inventories</t>
  </si>
  <si>
    <t>a) Trade Receivabes</t>
  </si>
  <si>
    <t>b) Cash &amp; Cash Equivalants</t>
  </si>
  <si>
    <t>Current Tax Liabilities</t>
  </si>
  <si>
    <t>NON CURRENT LIABILITIES</t>
  </si>
  <si>
    <t>Other Non-current liabilities</t>
  </si>
  <si>
    <t>Non-Controlling Interest</t>
  </si>
  <si>
    <t>Working Capital Days</t>
  </si>
  <si>
    <t>NET CURRENT ASSETS</t>
  </si>
  <si>
    <t>FY23</t>
  </si>
  <si>
    <t>NA</t>
  </si>
  <si>
    <t>Provisions</t>
  </si>
  <si>
    <t>FY24</t>
  </si>
  <si>
    <t xml:space="preserve">Ajmera Realty &amp; Infra India Ltd.
</t>
  </si>
  <si>
    <t>Employee Benefit Expenses</t>
  </si>
  <si>
    <t>Construction Cost</t>
  </si>
  <si>
    <t>Decrease in Inventory</t>
  </si>
  <si>
    <t>Trade Payables</t>
  </si>
  <si>
    <t>Trade Receivables</t>
  </si>
  <si>
    <t>Other Financial Assets</t>
  </si>
  <si>
    <t>Investment</t>
  </si>
  <si>
    <t>Current Tax Assets</t>
  </si>
  <si>
    <t>Other Financial Liabilities</t>
  </si>
  <si>
    <t>Total Comprehensive Income</t>
  </si>
  <si>
    <t>c) Bank Balances</t>
  </si>
  <si>
    <t>d) Loans</t>
  </si>
  <si>
    <t>e) Other financial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</si>
</sst>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.0_ ;_ * \-#,##0.0_ ;_ * &quot;-&quot;??_ ;_ @_ "/>
    <numFmt numFmtId="165" formatCode="0.0%"/>
    <numFmt numFmtId="166" formatCode="_ * #,##0_ ;_ * \-#,##0_ ;_ * &quot;-&quot;??_ ;_ @_ "/>
    <numFmt numFmtId="167" formatCode="_ * #,##0.000_ ;_ * \-#,##0.0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22222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43" fontId="0" fillId="0" borderId="0" xfId="0" applyNumberFormat="1"/>
    <xf numFmtId="0" fontId="0" fillId="0" borderId="0" xfId="0" quotePrefix="1"/>
    <xf numFmtId="167" fontId="0" fillId="0" borderId="0" xfId="0" applyNumberFormat="1"/>
    <xf numFmtId="10" fontId="0" fillId="0" borderId="0" xfId="2" applyNumberFormat="1" applyFont="1"/>
    <xf numFmtId="0" fontId="3" fillId="0" borderId="8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9" xfId="0" applyFont="1" applyBorder="1"/>
    <xf numFmtId="0" fontId="4" fillId="0" borderId="9" xfId="0" applyFont="1" applyBorder="1"/>
    <xf numFmtId="2" fontId="4" fillId="0" borderId="9" xfId="0" applyNumberFormat="1" applyFont="1" applyBorder="1"/>
    <xf numFmtId="2" fontId="6" fillId="0" borderId="6" xfId="0" applyNumberFormat="1" applyFont="1" applyBorder="1"/>
    <xf numFmtId="0" fontId="6" fillId="0" borderId="10" xfId="0" applyFont="1" applyBorder="1"/>
    <xf numFmtId="0" fontId="4" fillId="0" borderId="0" xfId="0" applyFont="1"/>
    <xf numFmtId="43" fontId="4" fillId="0" borderId="6" xfId="1" applyFont="1" applyBorder="1"/>
    <xf numFmtId="0" fontId="3" fillId="0" borderId="9" xfId="0" applyFont="1" applyBorder="1"/>
    <xf numFmtId="43" fontId="5" fillId="0" borderId="9" xfId="3" applyFont="1" applyFill="1" applyBorder="1"/>
    <xf numFmtId="43" fontId="5" fillId="0" borderId="6" xfId="3" applyFont="1" applyFill="1" applyBorder="1"/>
    <xf numFmtId="164" fontId="6" fillId="0" borderId="15" xfId="1" applyNumberFormat="1" applyFont="1" applyBorder="1"/>
    <xf numFmtId="164" fontId="6" fillId="0" borderId="16" xfId="1" applyNumberFormat="1" applyFont="1" applyBorder="1"/>
    <xf numFmtId="0" fontId="4" fillId="2" borderId="8" xfId="0" applyFont="1" applyFill="1" applyBorder="1"/>
    <xf numFmtId="2" fontId="4" fillId="2" borderId="5" xfId="0" applyNumberFormat="1" applyFont="1" applyFill="1" applyBorder="1"/>
    <xf numFmtId="0" fontId="4" fillId="2" borderId="9" xfId="0" applyFont="1" applyFill="1" applyBorder="1"/>
    <xf numFmtId="43" fontId="4" fillId="2" borderId="6" xfId="0" applyNumberFormat="1" applyFont="1" applyFill="1" applyBorder="1"/>
    <xf numFmtId="0" fontId="4" fillId="2" borderId="10" xfId="0" applyFont="1" applyFill="1" applyBorder="1"/>
    <xf numFmtId="43" fontId="4" fillId="2" borderId="7" xfId="0" applyNumberFormat="1" applyFont="1" applyFill="1" applyBorder="1"/>
    <xf numFmtId="0" fontId="6" fillId="0" borderId="11" xfId="0" applyFont="1" applyBorder="1"/>
    <xf numFmtId="0" fontId="5" fillId="2" borderId="8" xfId="0" applyFont="1" applyFill="1" applyBorder="1"/>
    <xf numFmtId="43" fontId="5" fillId="2" borderId="5" xfId="1" applyFont="1" applyFill="1" applyBorder="1"/>
    <xf numFmtId="0" fontId="6" fillId="2" borderId="10" xfId="0" applyFont="1" applyFill="1" applyBorder="1"/>
    <xf numFmtId="0" fontId="6" fillId="0" borderId="15" xfId="0" applyFont="1" applyBorder="1"/>
    <xf numFmtId="2" fontId="6" fillId="0" borderId="16" xfId="0" applyNumberFormat="1" applyFont="1" applyBorder="1"/>
    <xf numFmtId="2" fontId="6" fillId="2" borderId="16" xfId="0" applyNumberFormat="1" applyFont="1" applyFill="1" applyBorder="1"/>
    <xf numFmtId="0" fontId="4" fillId="0" borderId="8" xfId="0" applyFont="1" applyBorder="1"/>
    <xf numFmtId="166" fontId="4" fillId="0" borderId="5" xfId="1" applyNumberFormat="1" applyFont="1" applyBorder="1"/>
    <xf numFmtId="164" fontId="4" fillId="0" borderId="6" xfId="1" applyNumberFormat="1" applyFont="1" applyBorder="1"/>
    <xf numFmtId="0" fontId="4" fillId="0" borderId="10" xfId="0" applyFont="1" applyBorder="1"/>
    <xf numFmtId="2" fontId="4" fillId="0" borderId="7" xfId="0" applyNumberFormat="1" applyFont="1" applyBorder="1"/>
    <xf numFmtId="43" fontId="4" fillId="0" borderId="0" xfId="0" applyNumberFormat="1" applyFont="1"/>
    <xf numFmtId="43" fontId="4" fillId="2" borderId="0" xfId="0" applyNumberFormat="1" applyFont="1" applyFill="1"/>
    <xf numFmtId="164" fontId="6" fillId="0" borderId="21" xfId="1" applyNumberFormat="1" applyFont="1" applyBorder="1"/>
    <xf numFmtId="2" fontId="6" fillId="2" borderId="15" xfId="0" applyNumberFormat="1" applyFont="1" applyFill="1" applyBorder="1"/>
    <xf numFmtId="0" fontId="0" fillId="2" borderId="0" xfId="0" applyFill="1"/>
    <xf numFmtId="0" fontId="6" fillId="2" borderId="15" xfId="0" applyFont="1" applyFill="1" applyBorder="1"/>
    <xf numFmtId="43" fontId="6" fillId="0" borderId="18" xfId="3" applyFont="1" applyFill="1" applyBorder="1"/>
    <xf numFmtId="43" fontId="6" fillId="0" borderId="22" xfId="3" applyFont="1" applyFill="1" applyBorder="1"/>
    <xf numFmtId="0" fontId="7" fillId="0" borderId="0" xfId="0" applyFont="1"/>
    <xf numFmtId="43" fontId="8" fillId="0" borderId="0" xfId="3" applyFont="1" applyFill="1" applyBorder="1"/>
    <xf numFmtId="0" fontId="4" fillId="2" borderId="0" xfId="0" applyFont="1" applyFill="1"/>
    <xf numFmtId="0" fontId="4" fillId="2" borderId="18" xfId="0" applyFont="1" applyFill="1" applyBorder="1"/>
    <xf numFmtId="43" fontId="7" fillId="2" borderId="0" xfId="0" applyNumberFormat="1" applyFont="1" applyFill="1"/>
    <xf numFmtId="0" fontId="9" fillId="3" borderId="9" xfId="0" applyFont="1" applyFill="1" applyBorder="1" applyAlignment="1">
      <alignment horizontal="right" vertical="center" wrapText="1" indent="1"/>
    </xf>
    <xf numFmtId="0" fontId="11" fillId="5" borderId="11" xfId="0" applyFont="1" applyFill="1" applyBorder="1"/>
    <xf numFmtId="0" fontId="10" fillId="5" borderId="11" xfId="0" applyFont="1" applyFill="1" applyBorder="1"/>
    <xf numFmtId="0" fontId="10" fillId="5" borderId="11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right"/>
    </xf>
    <xf numFmtId="0" fontId="10" fillId="5" borderId="20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2" fontId="4" fillId="0" borderId="15" xfId="0" applyNumberFormat="1" applyFont="1" applyBorder="1"/>
    <xf numFmtId="0" fontId="11" fillId="5" borderId="9" xfId="0" applyFont="1" applyFill="1" applyBorder="1"/>
    <xf numFmtId="2" fontId="11" fillId="5" borderId="9" xfId="0" applyNumberFormat="1" applyFont="1" applyFill="1" applyBorder="1"/>
    <xf numFmtId="43" fontId="11" fillId="5" borderId="9" xfId="3" applyFont="1" applyFill="1" applyBorder="1"/>
    <xf numFmtId="43" fontId="11" fillId="5" borderId="6" xfId="3" applyFont="1" applyFill="1" applyBorder="1"/>
    <xf numFmtId="0" fontId="11" fillId="5" borderId="1" xfId="0" applyFont="1" applyFill="1" applyBorder="1"/>
    <xf numFmtId="43" fontId="11" fillId="5" borderId="4" xfId="1" applyFont="1" applyFill="1" applyBorder="1"/>
    <xf numFmtId="43" fontId="11" fillId="5" borderId="3" xfId="1" applyFont="1" applyFill="1" applyBorder="1"/>
    <xf numFmtId="43" fontId="11" fillId="5" borderId="1" xfId="1" applyFont="1" applyFill="1" applyBorder="1"/>
    <xf numFmtId="43" fontId="11" fillId="5" borderId="14" xfId="1" applyFont="1" applyFill="1" applyBorder="1"/>
    <xf numFmtId="43" fontId="11" fillId="5" borderId="20" xfId="1" applyFont="1" applyFill="1" applyBorder="1"/>
    <xf numFmtId="43" fontId="11" fillId="5" borderId="11" xfId="1" applyFont="1" applyFill="1" applyBorder="1"/>
    <xf numFmtId="0" fontId="11" fillId="5" borderId="18" xfId="0" applyFont="1" applyFill="1" applyBorder="1"/>
    <xf numFmtId="43" fontId="11" fillId="5" borderId="17" xfId="1" applyFont="1" applyFill="1" applyBorder="1"/>
    <xf numFmtId="43" fontId="11" fillId="5" borderId="2" xfId="1" applyFont="1" applyFill="1" applyBorder="1"/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3" fillId="5" borderId="11" xfId="0" applyFont="1" applyFill="1" applyBorder="1"/>
    <xf numFmtId="0" fontId="8" fillId="5" borderId="9" xfId="0" applyFont="1" applyFill="1" applyBorder="1"/>
    <xf numFmtId="43" fontId="8" fillId="5" borderId="6" xfId="0" applyNumberFormat="1" applyFont="1" applyFill="1" applyBorder="1"/>
    <xf numFmtId="0" fontId="8" fillId="5" borderId="18" xfId="0" applyFont="1" applyFill="1" applyBorder="1"/>
    <xf numFmtId="2" fontId="8" fillId="5" borderId="6" xfId="0" applyNumberFormat="1" applyFont="1" applyFill="1" applyBorder="1"/>
    <xf numFmtId="1" fontId="12" fillId="5" borderId="6" xfId="0" applyNumberFormat="1" applyFont="1" applyFill="1" applyBorder="1" applyAlignment="1">
      <alignment horizontal="right"/>
    </xf>
    <xf numFmtId="1" fontId="8" fillId="5" borderId="6" xfId="0" applyNumberFormat="1" applyFont="1" applyFill="1" applyBorder="1"/>
    <xf numFmtId="2" fontId="8" fillId="5" borderId="6" xfId="2" applyNumberFormat="1" applyFont="1" applyFill="1" applyBorder="1"/>
    <xf numFmtId="0" fontId="8" fillId="6" borderId="9" xfId="0" applyFont="1" applyFill="1" applyBorder="1"/>
    <xf numFmtId="10" fontId="8" fillId="6" borderId="6" xfId="2" applyNumberFormat="1" applyFont="1" applyFill="1" applyBorder="1"/>
    <xf numFmtId="0" fontId="8" fillId="6" borderId="10" xfId="0" applyFont="1" applyFill="1" applyBorder="1"/>
    <xf numFmtId="10" fontId="8" fillId="6" borderId="7" xfId="2" applyNumberFormat="1" applyFont="1" applyFill="1" applyBorder="1"/>
    <xf numFmtId="10" fontId="8" fillId="6" borderId="6" xfId="2" applyNumberFormat="1" applyFont="1" applyFill="1" applyBorder="1" applyAlignment="1">
      <alignment horizontal="right"/>
    </xf>
    <xf numFmtId="164" fontId="11" fillId="5" borderId="14" xfId="1" applyNumberFormat="1" applyFont="1" applyFill="1" applyBorder="1"/>
    <xf numFmtId="0" fontId="10" fillId="5" borderId="1" xfId="0" applyFont="1" applyFill="1" applyBorder="1"/>
    <xf numFmtId="0" fontId="10" fillId="5" borderId="4" xfId="0" applyFont="1" applyFill="1" applyBorder="1" applyAlignment="1">
      <alignment horizontal="right"/>
    </xf>
    <xf numFmtId="43" fontId="11" fillId="5" borderId="12" xfId="0" applyNumberFormat="1" applyFont="1" applyFill="1" applyBorder="1"/>
    <xf numFmtId="43" fontId="11" fillId="5" borderId="13" xfId="0" applyNumberFormat="1" applyFont="1" applyFill="1" applyBorder="1"/>
    <xf numFmtId="43" fontId="11" fillId="5" borderId="14" xfId="0" applyNumberFormat="1" applyFont="1" applyFill="1" applyBorder="1"/>
    <xf numFmtId="4" fontId="0" fillId="0" borderId="9" xfId="0" applyNumberFormat="1" applyBorder="1"/>
    <xf numFmtId="0" fontId="12" fillId="6" borderId="9" xfId="0" applyFont="1" applyFill="1" applyBorder="1"/>
    <xf numFmtId="10" fontId="12" fillId="6" borderId="9" xfId="2" applyNumberFormat="1" applyFont="1" applyFill="1" applyBorder="1"/>
    <xf numFmtId="10" fontId="12" fillId="6" borderId="6" xfId="2" applyNumberFormat="1" applyFont="1" applyFill="1" applyBorder="1"/>
    <xf numFmtId="0" fontId="12" fillId="6" borderId="10" xfId="0" applyFont="1" applyFill="1" applyBorder="1"/>
    <xf numFmtId="165" fontId="12" fillId="6" borderId="7" xfId="0" applyNumberFormat="1" applyFont="1" applyFill="1" applyBorder="1"/>
    <xf numFmtId="165" fontId="12" fillId="6" borderId="6" xfId="0" applyNumberFormat="1" applyFont="1" applyFill="1" applyBorder="1"/>
    <xf numFmtId="0" fontId="11" fillId="6" borderId="9" xfId="0" applyFont="1" applyFill="1" applyBorder="1"/>
    <xf numFmtId="10" fontId="11" fillId="6" borderId="9" xfId="2" applyNumberFormat="1" applyFont="1" applyFill="1" applyBorder="1"/>
    <xf numFmtId="10" fontId="11" fillId="6" borderId="6" xfId="2" applyNumberFormat="1" applyFont="1" applyFill="1" applyBorder="1"/>
    <xf numFmtId="10" fontId="12" fillId="6" borderId="9" xfId="0" applyNumberFormat="1" applyFont="1" applyFill="1" applyBorder="1"/>
    <xf numFmtId="10" fontId="12" fillId="6" borderId="6" xfId="0" applyNumberFormat="1" applyFont="1" applyFill="1" applyBorder="1"/>
    <xf numFmtId="10" fontId="11" fillId="6" borderId="9" xfId="0" applyNumberFormat="1" applyFont="1" applyFill="1" applyBorder="1"/>
    <xf numFmtId="10" fontId="11" fillId="6" borderId="6" xfId="0" applyNumberFormat="1" applyFont="1" applyFill="1" applyBorder="1"/>
    <xf numFmtId="0" fontId="6" fillId="0" borderId="24" xfId="0" applyFont="1" applyBorder="1"/>
    <xf numFmtId="0" fontId="6" fillId="0" borderId="25" xfId="0" applyFont="1" applyBorder="1"/>
    <xf numFmtId="0" fontId="0" fillId="0" borderId="24" xfId="0" applyBorder="1"/>
    <xf numFmtId="0" fontId="0" fillId="0" borderId="18" xfId="0" applyBorder="1"/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11" fillId="5" borderId="14" xfId="1" applyNumberFormat="1" applyFont="1" applyFill="1" applyBorder="1"/>
    <xf numFmtId="2" fontId="4" fillId="0" borderId="15" xfId="0" applyNumberFormat="1" applyFont="1" applyFill="1" applyBorder="1"/>
    <xf numFmtId="2" fontId="6" fillId="0" borderId="6" xfId="0" applyNumberFormat="1" applyFont="1" applyFill="1" applyBorder="1"/>
    <xf numFmtId="43" fontId="4" fillId="0" borderId="6" xfId="1" applyFont="1" applyFill="1" applyBorder="1"/>
    <xf numFmtId="43" fontId="6" fillId="0" borderId="23" xfId="3" applyFont="1" applyFill="1" applyBorder="1"/>
    <xf numFmtId="2" fontId="4" fillId="0" borderId="18" xfId="0" applyNumberFormat="1" applyFont="1" applyFill="1" applyBorder="1"/>
    <xf numFmtId="10" fontId="8" fillId="0" borderId="0" xfId="2" applyNumberFormat="1" applyFont="1" applyFill="1" applyBorder="1"/>
    <xf numFmtId="10" fontId="8" fillId="6" borderId="9" xfId="2" applyNumberFormat="1" applyFont="1" applyFill="1" applyBorder="1"/>
  </cellXfs>
  <cellStyles count="4">
    <cellStyle name="Comma" xfId="1" builtinId="3"/>
    <cellStyle name="Comma 3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5"/>
  <sheetViews>
    <sheetView showGridLines="0" tabSelected="1" zoomScale="55" zoomScaleNormal="55" workbookViewId="0">
      <selection activeCell="O72" sqref="O72"/>
    </sheetView>
  </sheetViews>
  <sheetFormatPr defaultRowHeight="14.5" x14ac:dyDescent="0.35"/>
  <cols>
    <col min="2" max="2" width="54" bestFit="1" customWidth="1"/>
    <col min="3" max="8" width="13.1796875" bestFit="1" customWidth="1"/>
    <col min="9" max="9" width="3.1796875" customWidth="1"/>
    <col min="10" max="10" width="43.7265625" customWidth="1"/>
    <col min="11" max="12" width="13.1796875" customWidth="1"/>
    <col min="13" max="15" width="13.453125" bestFit="1" customWidth="1"/>
    <col min="16" max="16" width="11.26953125" bestFit="1" customWidth="1"/>
    <col min="17" max="17" width="9.7265625" bestFit="1" customWidth="1"/>
  </cols>
  <sheetData>
    <row r="1" spans="1:17" ht="15" thickBot="1" x14ac:dyDescent="0.4"/>
    <row r="2" spans="1:17" ht="23.25" customHeight="1" thickBot="1" x14ac:dyDescent="0.4">
      <c r="B2" s="116" t="s">
        <v>102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7" ht="21.75" customHeight="1" thickBot="1" x14ac:dyDescent="0.5">
      <c r="B3" s="113" t="s">
        <v>0</v>
      </c>
      <c r="C3" s="114"/>
      <c r="D3" s="114"/>
      <c r="E3" s="114"/>
      <c r="F3" s="114"/>
      <c r="G3" s="114"/>
      <c r="H3" s="115"/>
      <c r="I3" s="48"/>
      <c r="J3" s="113" t="s">
        <v>1</v>
      </c>
      <c r="K3" s="114"/>
      <c r="L3" s="114"/>
      <c r="M3" s="114"/>
      <c r="N3" s="114"/>
      <c r="O3" s="114"/>
      <c r="P3" s="115"/>
    </row>
    <row r="4" spans="1:17" ht="19" thickBot="1" x14ac:dyDescent="0.5">
      <c r="B4" s="53" t="s">
        <v>2</v>
      </c>
      <c r="C4" s="54" t="s">
        <v>3</v>
      </c>
      <c r="D4" s="55" t="s">
        <v>4</v>
      </c>
      <c r="E4" s="55" t="s">
        <v>5</v>
      </c>
      <c r="F4" s="55" t="s">
        <v>6</v>
      </c>
      <c r="G4" s="55" t="s">
        <v>98</v>
      </c>
      <c r="H4" s="55" t="s">
        <v>101</v>
      </c>
      <c r="I4" s="48"/>
      <c r="J4" s="53" t="s">
        <v>2</v>
      </c>
      <c r="K4" s="55" t="s">
        <v>3</v>
      </c>
      <c r="L4" s="55" t="s">
        <v>4</v>
      </c>
      <c r="M4" s="55" t="s">
        <v>5</v>
      </c>
      <c r="N4" s="55" t="s">
        <v>6</v>
      </c>
      <c r="O4" s="56" t="s">
        <v>98</v>
      </c>
      <c r="P4" s="57" t="s">
        <v>101</v>
      </c>
    </row>
    <row r="5" spans="1:17" ht="15.5" x14ac:dyDescent="0.35">
      <c r="A5" s="46">
        <v>10</v>
      </c>
      <c r="B5" s="5" t="s">
        <v>7</v>
      </c>
      <c r="C5" s="58">
        <v>3815.4010000000003</v>
      </c>
      <c r="D5" s="58">
        <v>3443.7650000000003</v>
      </c>
      <c r="E5" s="58">
        <v>3467.1669999999999</v>
      </c>
      <c r="F5" s="58">
        <v>4826.8339999999998</v>
      </c>
      <c r="G5" s="123">
        <v>4311</v>
      </c>
      <c r="H5" s="123">
        <v>6999.6</v>
      </c>
      <c r="I5" s="49"/>
      <c r="J5" s="6" t="s">
        <v>84</v>
      </c>
      <c r="K5" s="45">
        <v>354.84899999999999</v>
      </c>
      <c r="L5" s="45">
        <v>354.84899999999999</v>
      </c>
      <c r="M5" s="45">
        <v>354.84899999999999</v>
      </c>
      <c r="N5" s="45">
        <v>354.84899999999999</v>
      </c>
      <c r="O5" s="45">
        <v>354.8</v>
      </c>
      <c r="P5" s="126">
        <v>354.8</v>
      </c>
      <c r="Q5" s="47">
        <v>10</v>
      </c>
    </row>
    <row r="6" spans="1:17" ht="15.5" x14ac:dyDescent="0.35">
      <c r="B6" s="96" t="s">
        <v>8</v>
      </c>
      <c r="C6" s="97"/>
      <c r="D6" s="98">
        <f>D5/C5-1</f>
        <v>-9.7404178486088289E-2</v>
      </c>
      <c r="E6" s="98">
        <f>E5/D5-1</f>
        <v>6.795469493417805E-3</v>
      </c>
      <c r="F6" s="98">
        <f>F5/E5-1</f>
        <v>0.39215503608565716</v>
      </c>
      <c r="G6" s="98">
        <f>G5/F5-1</f>
        <v>-0.10686798012941812</v>
      </c>
      <c r="H6" s="98">
        <f>H5/G5-1</f>
        <v>0.62366040361864994</v>
      </c>
      <c r="I6" s="48"/>
      <c r="J6" s="7" t="s">
        <v>85</v>
      </c>
      <c r="K6" s="45">
        <v>5756.9580000000005</v>
      </c>
      <c r="L6" s="45">
        <v>6032.6190000000006</v>
      </c>
      <c r="M6" s="45">
        <v>6291.7719999999999</v>
      </c>
      <c r="N6" s="45">
        <v>6744.0559999999996</v>
      </c>
      <c r="O6" s="45">
        <v>7381.9</v>
      </c>
      <c r="P6" s="44">
        <v>8302.1</v>
      </c>
    </row>
    <row r="7" spans="1:17" ht="16" thickBot="1" x14ac:dyDescent="0.4">
      <c r="B7" s="96" t="s">
        <v>9</v>
      </c>
      <c r="C7" s="96"/>
      <c r="D7" s="101"/>
      <c r="E7" s="101"/>
      <c r="F7" s="98">
        <f>(F5/C5)^(1/3)-1</f>
        <v>8.1535364311966285E-2</v>
      </c>
      <c r="G7" s="98">
        <f>(G5/D5)^(1/3)-1</f>
        <v>7.7742075765630414E-2</v>
      </c>
      <c r="H7" s="98">
        <f>(H5/E5)^(1/3)-1</f>
        <v>0.26386150832814437</v>
      </c>
      <c r="I7" s="48"/>
      <c r="J7" s="8" t="s">
        <v>95</v>
      </c>
      <c r="K7" s="45">
        <v>954.18</v>
      </c>
      <c r="L7" s="45">
        <v>1047.1709999999998</v>
      </c>
      <c r="M7" s="45">
        <v>1015.058</v>
      </c>
      <c r="N7" s="45">
        <v>1014.6870000000001</v>
      </c>
      <c r="O7" s="45">
        <v>1194.9000000000001</v>
      </c>
      <c r="P7" s="44">
        <v>1279.5</v>
      </c>
    </row>
    <row r="8" spans="1:17" ht="16" thickBot="1" x14ac:dyDescent="0.4">
      <c r="B8" s="59" t="s">
        <v>11</v>
      </c>
      <c r="C8" s="60">
        <f>SUM(C9:C12)</f>
        <v>2543.875</v>
      </c>
      <c r="D8" s="60">
        <f t="shared" ref="D8:H8" si="0">SUM(D9:D12)</f>
        <v>2399.2510000000002</v>
      </c>
      <c r="E8" s="60">
        <f t="shared" si="0"/>
        <v>2512.989</v>
      </c>
      <c r="F8" s="60">
        <f>SUM(F9:F12)</f>
        <v>3665.2079999999996</v>
      </c>
      <c r="G8" s="60">
        <f t="shared" si="0"/>
        <v>3066.7</v>
      </c>
      <c r="H8" s="60">
        <f t="shared" si="0"/>
        <v>4987.8</v>
      </c>
      <c r="I8" s="48"/>
      <c r="J8" s="63" t="s">
        <v>10</v>
      </c>
      <c r="K8" s="64">
        <f>K5+K6+K7</f>
        <v>7065.987000000001</v>
      </c>
      <c r="L8" s="64">
        <f>L5+L6+L7</f>
        <v>7434.639000000001</v>
      </c>
      <c r="M8" s="64">
        <f>M5+M6+M7</f>
        <v>7661.6790000000001</v>
      </c>
      <c r="N8" s="64">
        <f t="shared" ref="N8" si="1">N5+N6+N7</f>
        <v>8113.5919999999996</v>
      </c>
      <c r="O8" s="65">
        <f t="shared" ref="O8:P8" si="2">O5+O6+O7</f>
        <v>8931.6</v>
      </c>
      <c r="P8" s="66">
        <f t="shared" si="2"/>
        <v>9936.4</v>
      </c>
    </row>
    <row r="9" spans="1:17" ht="15.5" x14ac:dyDescent="0.35">
      <c r="B9" s="9" t="s">
        <v>105</v>
      </c>
      <c r="C9" s="10">
        <v>37.111000000000004</v>
      </c>
      <c r="D9" s="14">
        <v>0</v>
      </c>
      <c r="E9" s="14">
        <v>0</v>
      </c>
      <c r="F9" s="14">
        <v>0</v>
      </c>
      <c r="G9" s="124">
        <v>-487.9</v>
      </c>
      <c r="H9" s="124">
        <v>-19.7</v>
      </c>
      <c r="I9" s="48"/>
      <c r="J9" s="6" t="s">
        <v>12</v>
      </c>
      <c r="K9" s="45">
        <v>7950.5770000000002</v>
      </c>
      <c r="L9" s="45">
        <v>8655.2970000000005</v>
      </c>
      <c r="M9" s="45">
        <v>6942.0029999999997</v>
      </c>
      <c r="N9" s="45">
        <v>8153.5759999999991</v>
      </c>
      <c r="O9" s="45">
        <v>8059.1</v>
      </c>
      <c r="P9" s="44">
        <v>7643.2</v>
      </c>
    </row>
    <row r="10" spans="1:17" ht="16" thickBot="1" x14ac:dyDescent="0.4">
      <c r="B10" s="9" t="s">
        <v>104</v>
      </c>
      <c r="C10" s="10">
        <v>1841.8709999999999</v>
      </c>
      <c r="D10" s="11">
        <v>1646.8380000000002</v>
      </c>
      <c r="E10" s="11">
        <v>1753.1849999999999</v>
      </c>
      <c r="F10" s="11">
        <v>2799.0119999999997</v>
      </c>
      <c r="G10" s="124">
        <v>3375.4</v>
      </c>
      <c r="H10" s="124">
        <v>4596.1000000000004</v>
      </c>
      <c r="I10" s="48"/>
      <c r="J10" s="12" t="s">
        <v>13</v>
      </c>
      <c r="K10" s="45">
        <v>5.0670000000000002</v>
      </c>
      <c r="L10" s="45">
        <v>0.8</v>
      </c>
      <c r="M10" s="45">
        <v>595.49399999999991</v>
      </c>
      <c r="N10" s="45">
        <v>523.24199999999996</v>
      </c>
      <c r="O10" s="45">
        <v>198.7</v>
      </c>
      <c r="P10" s="44">
        <v>433.1</v>
      </c>
      <c r="Q10" s="2"/>
    </row>
    <row r="11" spans="1:17" ht="16" thickBot="1" x14ac:dyDescent="0.4">
      <c r="B11" s="9" t="s">
        <v>103</v>
      </c>
      <c r="C11" s="10">
        <v>256.82800000000003</v>
      </c>
      <c r="D11" s="11">
        <v>266.99</v>
      </c>
      <c r="E11" s="11">
        <v>255.66300000000001</v>
      </c>
      <c r="F11" s="11">
        <v>278.19099999999997</v>
      </c>
      <c r="G11" s="124">
        <v>179.2</v>
      </c>
      <c r="H11" s="124">
        <v>411.4</v>
      </c>
      <c r="I11" s="48"/>
      <c r="J11" s="52" t="s">
        <v>15</v>
      </c>
      <c r="K11" s="67">
        <f t="shared" ref="K11:L11" si="3">(K9+K10)</f>
        <v>7955.6440000000002</v>
      </c>
      <c r="L11" s="67">
        <f>(L9+L10)</f>
        <v>8656.0969999999998</v>
      </c>
      <c r="M11" s="67">
        <f>(M9+M10)</f>
        <v>7537.4969999999994</v>
      </c>
      <c r="N11" s="67">
        <f t="shared" ref="N11" si="4">(N9+N10)</f>
        <v>8676.8179999999993</v>
      </c>
      <c r="O11" s="68">
        <f t="shared" ref="O11:P11" si="5">(O9+O10)</f>
        <v>8257.8000000000011</v>
      </c>
      <c r="P11" s="69">
        <f t="shared" si="5"/>
        <v>8076.3</v>
      </c>
    </row>
    <row r="12" spans="1:17" ht="16" thickBot="1" x14ac:dyDescent="0.4">
      <c r="B12" s="9" t="s">
        <v>14</v>
      </c>
      <c r="C12" s="10">
        <v>408.065</v>
      </c>
      <c r="D12" s="11">
        <v>485.42299999999994</v>
      </c>
      <c r="E12" s="11">
        <v>504.14099999999996</v>
      </c>
      <c r="F12" s="11">
        <v>588.005</v>
      </c>
      <c r="G12" s="11"/>
      <c r="H12" s="14">
        <v>0</v>
      </c>
      <c r="I12" s="48"/>
      <c r="J12" s="52" t="s">
        <v>17</v>
      </c>
      <c r="K12" s="67">
        <f t="shared" ref="K12:P12" si="6">K8+K45</f>
        <v>17038.161</v>
      </c>
      <c r="L12" s="67">
        <f>L8+L45</f>
        <v>17096.120000000003</v>
      </c>
      <c r="M12" s="67">
        <f t="shared" si="6"/>
        <v>16574.981</v>
      </c>
      <c r="N12" s="67">
        <f t="shared" si="6"/>
        <v>17564.076999999997</v>
      </c>
      <c r="O12" s="68">
        <f t="shared" si="6"/>
        <v>17491.900000000001</v>
      </c>
      <c r="P12" s="69">
        <f t="shared" si="6"/>
        <v>18038.7</v>
      </c>
    </row>
    <row r="13" spans="1:17" ht="16" thickBot="1" x14ac:dyDescent="0.4">
      <c r="B13" s="9"/>
      <c r="C13" s="10"/>
      <c r="D13" s="11"/>
      <c r="E13" s="11"/>
      <c r="F13" s="11"/>
      <c r="G13" s="11"/>
      <c r="H13" s="11"/>
      <c r="I13" s="48"/>
      <c r="J13" s="70" t="s">
        <v>17</v>
      </c>
      <c r="K13" s="71">
        <f t="shared" ref="K13:P13" si="7">K50-K37</f>
        <v>17038.161</v>
      </c>
      <c r="L13" s="71">
        <f t="shared" si="7"/>
        <v>17096.120000000003</v>
      </c>
      <c r="M13" s="71">
        <f t="shared" si="7"/>
        <v>16574.981</v>
      </c>
      <c r="N13" s="71">
        <f t="shared" si="7"/>
        <v>17564.076999999997</v>
      </c>
      <c r="O13" s="72">
        <f t="shared" si="7"/>
        <v>17491.899999999998</v>
      </c>
      <c r="P13" s="66">
        <f t="shared" si="7"/>
        <v>18038.7</v>
      </c>
    </row>
    <row r="14" spans="1:17" ht="16" thickBot="1" x14ac:dyDescent="0.4">
      <c r="B14" s="59" t="s">
        <v>16</v>
      </c>
      <c r="C14" s="59">
        <f>(C5-C8)</f>
        <v>1271.5260000000003</v>
      </c>
      <c r="D14" s="59">
        <f t="shared" ref="D14:H14" si="8">(D5-D8)</f>
        <v>1044.5140000000001</v>
      </c>
      <c r="E14" s="59">
        <f t="shared" si="8"/>
        <v>954.17799999999988</v>
      </c>
      <c r="F14" s="59">
        <f t="shared" si="8"/>
        <v>1161.6260000000002</v>
      </c>
      <c r="G14" s="59">
        <f t="shared" si="8"/>
        <v>1244.3000000000002</v>
      </c>
      <c r="H14" s="59">
        <f t="shared" si="8"/>
        <v>2011.8000000000002</v>
      </c>
      <c r="I14" s="48"/>
      <c r="J14" s="119"/>
      <c r="K14" s="120"/>
      <c r="L14" s="120"/>
      <c r="M14" s="120"/>
      <c r="N14" s="120"/>
      <c r="O14" s="120"/>
      <c r="P14" s="121"/>
    </row>
    <row r="15" spans="1:17" ht="16" thickBot="1" x14ac:dyDescent="0.4">
      <c r="B15" s="96" t="s">
        <v>8</v>
      </c>
      <c r="C15" s="97"/>
      <c r="D15" s="98">
        <f>D14/C14-1</f>
        <v>-0.17853508304195131</v>
      </c>
      <c r="E15" s="98">
        <f>E14/D14-1</f>
        <v>-8.6486155283701516E-2</v>
      </c>
      <c r="F15" s="98">
        <f>F14/E14-1</f>
        <v>0.21741016875258112</v>
      </c>
      <c r="G15" s="98">
        <f t="shared" ref="E15:H15" si="9">G14/F14-1</f>
        <v>7.1170927647969284E-2</v>
      </c>
      <c r="H15" s="98">
        <f t="shared" si="9"/>
        <v>0.61681266575584659</v>
      </c>
      <c r="I15" s="48"/>
      <c r="J15" s="52" t="s">
        <v>19</v>
      </c>
      <c r="K15" s="67">
        <f>SUM(K16:K25)</f>
        <v>4732.1979999999994</v>
      </c>
      <c r="L15" s="67">
        <f t="shared" ref="K15:P15" si="10">SUM(L16:L25)</f>
        <v>5385.4000000000005</v>
      </c>
      <c r="M15" s="67">
        <f>SUM(M16:M25)</f>
        <v>5990.348</v>
      </c>
      <c r="N15" s="67">
        <f t="shared" si="10"/>
        <v>5875.09</v>
      </c>
      <c r="O15" s="72">
        <f t="shared" si="10"/>
        <v>4472.7</v>
      </c>
      <c r="P15" s="66">
        <f t="shared" si="10"/>
        <v>3381.5</v>
      </c>
    </row>
    <row r="16" spans="1:17" ht="15.5" x14ac:dyDescent="0.35">
      <c r="B16" s="96" t="s">
        <v>9</v>
      </c>
      <c r="C16" s="96"/>
      <c r="D16" s="101"/>
      <c r="E16" s="101"/>
      <c r="F16" s="101">
        <f>(F14/C14)^(1/3)-1</f>
        <v>-2.9682882252958009E-2</v>
      </c>
      <c r="G16" s="101">
        <f>(G14/D14)^(1/3)-1</f>
        <v>6.0075860893810784E-2</v>
      </c>
      <c r="H16" s="101">
        <f>(H14/E14)^(1/3)-1</f>
        <v>0.28228669167505571</v>
      </c>
      <c r="I16" s="48"/>
      <c r="J16" s="6" t="s">
        <v>21</v>
      </c>
      <c r="K16" s="45">
        <v>291.67500000000001</v>
      </c>
      <c r="L16" s="45">
        <v>339.48</v>
      </c>
      <c r="M16" s="45">
        <v>243.751</v>
      </c>
      <c r="N16" s="45">
        <v>245.83699999999999</v>
      </c>
      <c r="O16" s="45">
        <v>269.10000000000002</v>
      </c>
      <c r="P16" s="126">
        <v>294.89999999999998</v>
      </c>
    </row>
    <row r="17" spans="2:21" ht="15.5" x14ac:dyDescent="0.35">
      <c r="B17" s="102" t="s">
        <v>18</v>
      </c>
      <c r="C17" s="107">
        <f t="shared" ref="C17:H17" si="11">(C14/C5)</f>
        <v>0.33326143176038381</v>
      </c>
      <c r="D17" s="108">
        <f t="shared" si="11"/>
        <v>0.30330582952088775</v>
      </c>
      <c r="E17" s="108">
        <f>(E14/E5)</f>
        <v>0.27520393450906744</v>
      </c>
      <c r="F17" s="108">
        <f t="shared" si="11"/>
        <v>0.24066002684161092</v>
      </c>
      <c r="G17" s="108">
        <f t="shared" si="11"/>
        <v>0.28863372767339368</v>
      </c>
      <c r="H17" s="108">
        <f t="shared" si="11"/>
        <v>0.28741642379564547</v>
      </c>
      <c r="I17" s="48"/>
      <c r="J17" s="7" t="s">
        <v>22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4">
        <v>0</v>
      </c>
      <c r="Q17" s="3"/>
    </row>
    <row r="18" spans="2:21" ht="15.5" x14ac:dyDescent="0.35">
      <c r="B18" s="9" t="s">
        <v>20</v>
      </c>
      <c r="C18" s="14">
        <v>194.71899999999999</v>
      </c>
      <c r="D18" s="14">
        <v>62.316999999999993</v>
      </c>
      <c r="E18" s="14">
        <v>50.738</v>
      </c>
      <c r="F18" s="14">
        <v>64.330999999999989</v>
      </c>
      <c r="G18" s="125">
        <v>95.3</v>
      </c>
      <c r="H18" s="125">
        <v>78.7</v>
      </c>
      <c r="I18" s="48"/>
      <c r="J18" s="7" t="s">
        <v>86</v>
      </c>
      <c r="K18" s="45">
        <v>415.97700000000003</v>
      </c>
      <c r="L18" s="45">
        <v>415.97700000000003</v>
      </c>
      <c r="M18" s="45">
        <v>415.97700000000003</v>
      </c>
      <c r="N18" s="45">
        <v>415.97700000000003</v>
      </c>
      <c r="O18" s="45">
        <v>416</v>
      </c>
      <c r="P18" s="44">
        <v>416</v>
      </c>
    </row>
    <row r="19" spans="2:21" ht="15.5" x14ac:dyDescent="0.35">
      <c r="B19" s="9" t="s">
        <v>82</v>
      </c>
      <c r="C19" s="14">
        <v>24.073</v>
      </c>
      <c r="D19" s="14">
        <v>21.690999999999999</v>
      </c>
      <c r="E19" s="14">
        <v>17.759</v>
      </c>
      <c r="F19" s="14">
        <v>16.823</v>
      </c>
      <c r="G19" s="125">
        <v>15</v>
      </c>
      <c r="H19" s="125">
        <v>17.100000000000001</v>
      </c>
      <c r="I19" s="48"/>
      <c r="J19" s="7" t="s">
        <v>87</v>
      </c>
      <c r="K19" s="45">
        <v>1.091</v>
      </c>
      <c r="L19" s="45">
        <v>1.014</v>
      </c>
      <c r="M19" s="45">
        <v>0.72799999999999998</v>
      </c>
      <c r="N19" s="45">
        <v>1.1480000000000001</v>
      </c>
      <c r="O19" s="45">
        <v>2.2999999999999998</v>
      </c>
      <c r="P19" s="44">
        <v>3.3</v>
      </c>
      <c r="Q19" s="4"/>
      <c r="R19" s="4"/>
      <c r="S19" s="4"/>
      <c r="T19" s="4"/>
      <c r="U19" s="4"/>
    </row>
    <row r="20" spans="2:21" ht="15.5" x14ac:dyDescent="0.35">
      <c r="B20" s="9" t="s">
        <v>23</v>
      </c>
      <c r="C20" s="14">
        <v>502.65800000000002</v>
      </c>
      <c r="D20" s="14">
        <v>658.50699999999995</v>
      </c>
      <c r="E20" s="14">
        <v>577.14700000000005</v>
      </c>
      <c r="F20" s="14">
        <v>591.82500000000005</v>
      </c>
      <c r="G20" s="125">
        <v>362.7</v>
      </c>
      <c r="H20" s="125">
        <v>685.3</v>
      </c>
      <c r="I20" s="48"/>
      <c r="J20" s="7" t="s">
        <v>25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4">
        <v>0</v>
      </c>
      <c r="Q20" s="4"/>
      <c r="R20" s="4"/>
      <c r="S20" s="4"/>
      <c r="T20" s="4"/>
      <c r="U20" s="4"/>
    </row>
    <row r="21" spans="2:21" ht="15.5" x14ac:dyDescent="0.35">
      <c r="B21" s="9" t="s">
        <v>83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48"/>
      <c r="J21" s="7" t="s">
        <v>27</v>
      </c>
      <c r="K21" s="45">
        <v>345.04300000000001</v>
      </c>
      <c r="L21" s="45">
        <v>344.85500000000002</v>
      </c>
      <c r="M21" s="45">
        <v>344.82499999999999</v>
      </c>
      <c r="N21" s="45">
        <v>144.42400000000001</v>
      </c>
      <c r="O21" s="45">
        <v>553.79999999999995</v>
      </c>
      <c r="P21" s="44">
        <v>987.3</v>
      </c>
    </row>
    <row r="22" spans="2:21" ht="15.5" x14ac:dyDescent="0.35">
      <c r="B22" s="59" t="s">
        <v>24</v>
      </c>
      <c r="C22" s="60">
        <f>((C14-C19-C20+C18-C21))</f>
        <v>939.51400000000012</v>
      </c>
      <c r="D22" s="60">
        <f t="shared" ref="D22:H22" si="12">((D14-D19-D20+D18-D21))</f>
        <v>426.63300000000015</v>
      </c>
      <c r="E22" s="60">
        <f t="shared" si="12"/>
        <v>410.00999999999982</v>
      </c>
      <c r="F22" s="60">
        <f t="shared" si="12"/>
        <v>617.30900000000008</v>
      </c>
      <c r="G22" s="60">
        <f t="shared" si="12"/>
        <v>961.90000000000009</v>
      </c>
      <c r="H22" s="60">
        <f t="shared" si="12"/>
        <v>1388.1000000000004</v>
      </c>
      <c r="I22" s="48"/>
      <c r="J22" s="7" t="s">
        <v>107</v>
      </c>
      <c r="K22" s="45">
        <v>9.0190000000000001</v>
      </c>
      <c r="L22" s="45">
        <v>0</v>
      </c>
      <c r="M22" s="45">
        <v>8.4879999999999995</v>
      </c>
      <c r="N22" s="45">
        <v>8.4879999999999995</v>
      </c>
      <c r="O22" s="45">
        <v>15.8</v>
      </c>
      <c r="P22" s="44">
        <v>0</v>
      </c>
    </row>
    <row r="23" spans="2:21" ht="15.5" x14ac:dyDescent="0.35">
      <c r="B23" s="9" t="s">
        <v>26</v>
      </c>
      <c r="C23" s="14">
        <v>176.97300000000001</v>
      </c>
      <c r="D23" s="14">
        <v>97.210999999999999</v>
      </c>
      <c r="E23" s="14">
        <v>95.143000000000001</v>
      </c>
      <c r="F23" s="14">
        <v>153.93</v>
      </c>
      <c r="G23" s="125">
        <v>245.99799999999999</v>
      </c>
      <c r="H23" s="125">
        <v>348.9</v>
      </c>
      <c r="I23" s="48"/>
      <c r="J23" s="7" t="s">
        <v>29</v>
      </c>
      <c r="K23" s="45">
        <v>3362.36</v>
      </c>
      <c r="L23" s="45">
        <v>3959.7550000000001</v>
      </c>
      <c r="M23" s="45">
        <v>4427.5889999999999</v>
      </c>
      <c r="N23" s="45">
        <v>4455.0619999999999</v>
      </c>
      <c r="O23" s="45">
        <v>2683.1</v>
      </c>
      <c r="P23" s="44">
        <v>694.2</v>
      </c>
      <c r="R23" s="4"/>
    </row>
    <row r="24" spans="2:21" ht="15.5" x14ac:dyDescent="0.35">
      <c r="B24" s="96" t="s">
        <v>28</v>
      </c>
      <c r="C24" s="105">
        <f t="shared" ref="C24:E24" si="13">(C23/C22)</f>
        <v>0.18836653844434462</v>
      </c>
      <c r="D24" s="106">
        <f t="shared" si="13"/>
        <v>0.2278562605330576</v>
      </c>
      <c r="E24" s="106">
        <f>(E23/E22)</f>
        <v>0.23205043779420023</v>
      </c>
      <c r="F24" s="106">
        <f>(F23/F22)</f>
        <v>0.24935648111399636</v>
      </c>
      <c r="G24" s="106">
        <f>(G23/G22)</f>
        <v>0.2557417610978272</v>
      </c>
      <c r="H24" s="106">
        <f>(H23/H22)</f>
        <v>0.25135076723578986</v>
      </c>
      <c r="I24" s="48"/>
      <c r="J24" s="8" t="s">
        <v>108</v>
      </c>
      <c r="K24" s="45">
        <v>12.57</v>
      </c>
      <c r="L24" s="45">
        <v>18.136000000000003</v>
      </c>
      <c r="M24" s="45">
        <v>25.802999999999997</v>
      </c>
      <c r="N24" s="45">
        <v>26.633999999999997</v>
      </c>
      <c r="O24" s="45">
        <v>406.5</v>
      </c>
      <c r="P24" s="44">
        <v>419.6</v>
      </c>
    </row>
    <row r="25" spans="2:21" ht="16" thickBot="1" x14ac:dyDescent="0.4">
      <c r="B25" s="59" t="s">
        <v>30</v>
      </c>
      <c r="C25" s="61">
        <f t="shared" ref="C25:D25" si="14">(C22-C23)</f>
        <v>762.54100000000017</v>
      </c>
      <c r="D25" s="62">
        <f t="shared" si="14"/>
        <v>329.42200000000014</v>
      </c>
      <c r="E25" s="62">
        <f>(E22-E23)</f>
        <v>314.86699999999985</v>
      </c>
      <c r="F25" s="62">
        <f>(F22-F23)</f>
        <v>463.37900000000008</v>
      </c>
      <c r="G25" s="62">
        <f>(G22-G23)</f>
        <v>715.90200000000004</v>
      </c>
      <c r="H25" s="62">
        <f>(H22-H23)</f>
        <v>1039.2000000000003</v>
      </c>
      <c r="I25" s="48"/>
      <c r="J25" s="12" t="s">
        <v>88</v>
      </c>
      <c r="K25" s="45">
        <v>294.46300000000002</v>
      </c>
      <c r="L25" s="45">
        <v>306.18299999999999</v>
      </c>
      <c r="M25" s="45">
        <v>523.18700000000001</v>
      </c>
      <c r="N25" s="45">
        <v>577.52</v>
      </c>
      <c r="O25" s="45">
        <v>126.1</v>
      </c>
      <c r="P25" s="44">
        <v>566.20000000000005</v>
      </c>
    </row>
    <row r="26" spans="2:21" ht="16" thickBot="1" x14ac:dyDescent="0.4">
      <c r="B26" s="102" t="s">
        <v>31</v>
      </c>
      <c r="C26" s="103">
        <f t="shared" ref="C26:H26" si="15">C25/C5</f>
        <v>0.19985867802624158</v>
      </c>
      <c r="D26" s="104">
        <f t="shared" si="15"/>
        <v>9.5657514377432876E-2</v>
      </c>
      <c r="E26" s="104">
        <f t="shared" si="15"/>
        <v>9.081391233822883E-2</v>
      </c>
      <c r="F26" s="104">
        <f t="shared" si="15"/>
        <v>9.6000608266205156E-2</v>
      </c>
      <c r="G26" s="104">
        <f t="shared" si="15"/>
        <v>0.16606402226861519</v>
      </c>
      <c r="H26" s="104">
        <f t="shared" si="15"/>
        <v>0.14846562660723472</v>
      </c>
      <c r="I26" s="48"/>
      <c r="J26" s="52" t="s">
        <v>32</v>
      </c>
      <c r="K26" s="67">
        <f t="shared" ref="K26:P26" si="16">SUM(K27:K36)</f>
        <v>14065.037</v>
      </c>
      <c r="L26" s="67">
        <f t="shared" si="16"/>
        <v>14330.432000000001</v>
      </c>
      <c r="M26" s="67">
        <f>SUM(M27:M36)</f>
        <v>12979.582</v>
      </c>
      <c r="N26" s="67">
        <f t="shared" si="16"/>
        <v>14309.602999999999</v>
      </c>
      <c r="O26" s="67">
        <f t="shared" si="16"/>
        <v>14724.699999999999</v>
      </c>
      <c r="P26" s="69">
        <f t="shared" si="16"/>
        <v>16252.4</v>
      </c>
    </row>
    <row r="27" spans="2:21" ht="15.5" x14ac:dyDescent="0.35">
      <c r="B27" s="9" t="s">
        <v>33</v>
      </c>
      <c r="C27" s="14">
        <v>10.243</v>
      </c>
      <c r="D27" s="14">
        <v>2.4039999999999999</v>
      </c>
      <c r="E27" s="14">
        <v>13.103999999999999</v>
      </c>
      <c r="F27" s="14">
        <v>9.5220000000000002</v>
      </c>
      <c r="G27" s="125">
        <v>0.9</v>
      </c>
      <c r="H27" s="125">
        <v>10.8</v>
      </c>
      <c r="I27" s="48"/>
      <c r="J27" s="6" t="s">
        <v>89</v>
      </c>
      <c r="K27" s="45">
        <v>9690.4500000000007</v>
      </c>
      <c r="L27" s="45">
        <v>9995.4419999999991</v>
      </c>
      <c r="M27" s="45">
        <v>9417.1039999999994</v>
      </c>
      <c r="N27" s="45">
        <v>9992.9240000000009</v>
      </c>
      <c r="O27" s="45">
        <v>11753</v>
      </c>
      <c r="P27" s="44">
        <v>11567.3</v>
      </c>
    </row>
    <row r="28" spans="2:21" ht="15.5" x14ac:dyDescent="0.35">
      <c r="B28" s="9" t="s">
        <v>34</v>
      </c>
      <c r="C28" s="14">
        <v>-5.38</v>
      </c>
      <c r="D28" s="14">
        <v>-1.6780000000000002</v>
      </c>
      <c r="E28" s="14">
        <v>7.069</v>
      </c>
      <c r="F28" s="14">
        <v>-1.573</v>
      </c>
      <c r="G28" s="125">
        <v>2.6</v>
      </c>
      <c r="H28" s="125">
        <v>-1.7</v>
      </c>
      <c r="I28" s="48"/>
      <c r="J28" s="7" t="s">
        <v>25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4"/>
    </row>
    <row r="29" spans="2:21" ht="15.5" x14ac:dyDescent="0.35">
      <c r="B29" s="59" t="s">
        <v>112</v>
      </c>
      <c r="C29" s="61">
        <f>(C25-C27+C28)</f>
        <v>746.91800000000012</v>
      </c>
      <c r="D29" s="62">
        <f t="shared" ref="C29:D29" si="17">(D25-D27+D28)</f>
        <v>325.34000000000015</v>
      </c>
      <c r="E29" s="62">
        <f>(E25-E27+E28)</f>
        <v>308.83199999999988</v>
      </c>
      <c r="F29" s="62">
        <f>(F25-F27+F28)</f>
        <v>452.28400000000011</v>
      </c>
      <c r="G29" s="62">
        <f>(G25-G27+G28)</f>
        <v>717.60200000000009</v>
      </c>
      <c r="H29" s="62">
        <f>(H25-H27+H28)</f>
        <v>1026.7000000000003</v>
      </c>
      <c r="I29" s="48"/>
      <c r="J29" s="7" t="s">
        <v>109</v>
      </c>
      <c r="K29" s="45">
        <v>519.62199999999996</v>
      </c>
      <c r="L29" s="45">
        <v>321.98099999999999</v>
      </c>
      <c r="M29" s="45">
        <v>156.18</v>
      </c>
      <c r="N29" s="45">
        <v>101.46000000000001</v>
      </c>
      <c r="O29" s="45">
        <v>107.4</v>
      </c>
      <c r="P29" s="44">
        <v>109.1</v>
      </c>
    </row>
    <row r="30" spans="2:21" ht="15.5" x14ac:dyDescent="0.35">
      <c r="B30" s="96" t="s">
        <v>8</v>
      </c>
      <c r="C30" s="97"/>
      <c r="D30" s="98">
        <f>D29/C29-1</f>
        <v>-0.56442340390779155</v>
      </c>
      <c r="E30" s="98">
        <f t="shared" ref="E30:H30" si="18">E29/D29-1</f>
        <v>-5.0740763508945297E-2</v>
      </c>
      <c r="F30" s="98">
        <f t="shared" si="18"/>
        <v>0.46449849756502015</v>
      </c>
      <c r="G30" s="98">
        <f t="shared" si="18"/>
        <v>0.58661814258297862</v>
      </c>
      <c r="H30" s="98">
        <f t="shared" si="18"/>
        <v>0.43073737252683264</v>
      </c>
      <c r="I30" s="48"/>
      <c r="J30" s="110" t="s">
        <v>90</v>
      </c>
      <c r="K30" s="44">
        <v>1920.8709999999999</v>
      </c>
      <c r="L30" s="44">
        <v>2103.9479999999999</v>
      </c>
      <c r="M30" s="44">
        <v>1793.2270000000001</v>
      </c>
      <c r="N30" s="44">
        <v>2642.7080000000001</v>
      </c>
      <c r="O30" s="44">
        <v>1349.5</v>
      </c>
      <c r="P30" s="44">
        <v>2147.9</v>
      </c>
    </row>
    <row r="31" spans="2:21" ht="15.5" x14ac:dyDescent="0.35">
      <c r="B31" s="96" t="s">
        <v>35</v>
      </c>
      <c r="C31" s="96"/>
      <c r="D31" s="101"/>
      <c r="E31" s="101"/>
      <c r="F31" s="101">
        <f>(F29/C29)^(1/3)-1</f>
        <v>-0.15398233179634901</v>
      </c>
      <c r="G31" s="101">
        <f>(G29/D29)^(1/3)-1</f>
        <v>0.30171345140321293</v>
      </c>
      <c r="H31" s="101">
        <f>(H29/E29)^(1/3)-1</f>
        <v>0.49247508328184098</v>
      </c>
      <c r="I31" s="48"/>
      <c r="J31" s="110" t="s">
        <v>91</v>
      </c>
      <c r="K31" s="44">
        <v>156.75299999999999</v>
      </c>
      <c r="L31" s="44">
        <v>84.12</v>
      </c>
      <c r="M31" s="44">
        <v>250.82199999999997</v>
      </c>
      <c r="N31" s="44">
        <v>232.69099999999997</v>
      </c>
      <c r="O31" s="44">
        <v>271.5</v>
      </c>
      <c r="P31" s="44">
        <v>778.2</v>
      </c>
      <c r="Q31" s="1"/>
    </row>
    <row r="32" spans="2:21" ht="15.5" x14ac:dyDescent="0.35">
      <c r="B32" s="15" t="s">
        <v>36</v>
      </c>
      <c r="C32" s="16">
        <v>21.05</v>
      </c>
      <c r="D32" s="17">
        <v>9.17</v>
      </c>
      <c r="E32" s="17">
        <v>8.7100000000000009</v>
      </c>
      <c r="F32" s="17">
        <v>12.75</v>
      </c>
      <c r="G32" s="17">
        <v>20.23</v>
      </c>
      <c r="H32" s="17">
        <v>28.94</v>
      </c>
      <c r="I32" s="48"/>
      <c r="J32" s="109" t="s">
        <v>113</v>
      </c>
      <c r="K32" s="44">
        <v>120.119</v>
      </c>
      <c r="L32" s="44">
        <v>136.38</v>
      </c>
      <c r="M32" s="44">
        <v>175.94800000000001</v>
      </c>
      <c r="N32" s="44">
        <v>120.46900000000001</v>
      </c>
      <c r="O32" s="44">
        <v>131</v>
      </c>
      <c r="P32" s="44">
        <v>389.4</v>
      </c>
    </row>
    <row r="33" spans="2:16" ht="15.5" x14ac:dyDescent="0.35">
      <c r="B33" s="96" t="s">
        <v>8</v>
      </c>
      <c r="C33" s="97"/>
      <c r="D33" s="98">
        <f>D32/C32-1</f>
        <v>-0.56437054631828976</v>
      </c>
      <c r="E33" s="98">
        <f t="shared" ref="E33:H33" si="19">E32/D32-1</f>
        <v>-5.0163576881134042E-2</v>
      </c>
      <c r="F33" s="98">
        <f t="shared" si="19"/>
        <v>0.46383467278989654</v>
      </c>
      <c r="G33" s="98">
        <f t="shared" si="19"/>
        <v>0.58666666666666667</v>
      </c>
      <c r="H33" s="98">
        <f t="shared" si="19"/>
        <v>0.430548690064261</v>
      </c>
      <c r="I33" s="48"/>
      <c r="J33" s="6" t="s">
        <v>114</v>
      </c>
      <c r="K33" s="45">
        <v>418.21100000000001</v>
      </c>
      <c r="L33" s="45">
        <v>429.58299999999997</v>
      </c>
      <c r="M33" s="45">
        <v>1.97</v>
      </c>
      <c r="N33" s="45">
        <v>48.650999999999996</v>
      </c>
      <c r="O33" s="45">
        <v>119.9</v>
      </c>
      <c r="P33" s="44">
        <v>80.099999999999994</v>
      </c>
    </row>
    <row r="34" spans="2:16" ht="16" thickBot="1" x14ac:dyDescent="0.4">
      <c r="B34" s="99" t="s">
        <v>9</v>
      </c>
      <c r="C34" s="99"/>
      <c r="D34" s="100"/>
      <c r="E34" s="100"/>
      <c r="F34" s="100">
        <f>(F32/C32)^(1/3)-1</f>
        <v>-0.15390454618713123</v>
      </c>
      <c r="G34" s="100">
        <f>(G32/D32)^(1/3)-1</f>
        <v>0.30179375069929226</v>
      </c>
      <c r="H34" s="100">
        <f>(H32/E32)^(1/3)-1</f>
        <v>0.49219915798813529</v>
      </c>
      <c r="I34" s="48"/>
      <c r="J34" s="111" t="s">
        <v>115</v>
      </c>
      <c r="K34" s="112"/>
      <c r="L34" s="112"/>
      <c r="M34" s="112"/>
      <c r="N34" s="112"/>
      <c r="O34" s="127">
        <v>35</v>
      </c>
      <c r="P34" s="44">
        <v>35</v>
      </c>
    </row>
    <row r="35" spans="2:16" ht="16" thickBot="1" x14ac:dyDescent="0.4">
      <c r="B35" s="13"/>
      <c r="C35" s="13"/>
      <c r="D35" s="13"/>
      <c r="E35" s="13"/>
      <c r="F35" s="13"/>
      <c r="G35" s="13"/>
      <c r="H35" s="13"/>
      <c r="I35" s="48"/>
      <c r="J35" s="8" t="s">
        <v>110</v>
      </c>
      <c r="K35" s="45">
        <v>100.438</v>
      </c>
      <c r="L35" s="45">
        <v>118.492</v>
      </c>
      <c r="M35" s="45">
        <v>124.27799999999999</v>
      </c>
      <c r="N35" s="45">
        <v>110.55199999999999</v>
      </c>
      <c r="O35" s="45">
        <v>108.6</v>
      </c>
      <c r="P35" s="44">
        <v>96.3</v>
      </c>
    </row>
    <row r="36" spans="2:16" ht="19" thickBot="1" x14ac:dyDescent="0.5">
      <c r="B36" s="90" t="s">
        <v>43</v>
      </c>
      <c r="C36" s="91" t="s">
        <v>3</v>
      </c>
      <c r="D36" s="91" t="s">
        <v>4</v>
      </c>
      <c r="E36" s="91" t="s">
        <v>5</v>
      </c>
      <c r="F36" s="91" t="s">
        <v>6</v>
      </c>
      <c r="G36" s="91" t="s">
        <v>98</v>
      </c>
      <c r="H36" s="91" t="s">
        <v>101</v>
      </c>
      <c r="I36" s="48"/>
      <c r="J36" s="12" t="s">
        <v>37</v>
      </c>
      <c r="K36" s="45">
        <v>1138.5730000000001</v>
      </c>
      <c r="L36" s="45">
        <v>1140.4860000000001</v>
      </c>
      <c r="M36" s="45">
        <v>1060.0530000000001</v>
      </c>
      <c r="N36" s="45">
        <v>1060.1479999999999</v>
      </c>
      <c r="O36" s="45">
        <v>848.8</v>
      </c>
      <c r="P36" s="44">
        <v>1049.0999999999999</v>
      </c>
    </row>
    <row r="37" spans="2:16" ht="16" thickBot="1" x14ac:dyDescent="0.4">
      <c r="B37" s="20" t="s">
        <v>44</v>
      </c>
      <c r="C37" s="21">
        <v>35.354999999999997</v>
      </c>
      <c r="D37" s="21">
        <f>C42</f>
        <v>156.75300000000013</v>
      </c>
      <c r="E37" s="21">
        <f t="shared" ref="E37:H37" si="20">D42</f>
        <v>84.120000000000118</v>
      </c>
      <c r="F37" s="21">
        <f t="shared" si="20"/>
        <v>250.82000000000039</v>
      </c>
      <c r="G37" s="21">
        <f t="shared" si="20"/>
        <v>232.68900000000042</v>
      </c>
      <c r="H37" s="21">
        <f t="shared" si="20"/>
        <v>271.51900000000057</v>
      </c>
      <c r="I37" s="48"/>
      <c r="J37" s="52" t="s">
        <v>38</v>
      </c>
      <c r="K37" s="67">
        <f>SUM(K39:K43)+K10</f>
        <v>1759.0739999999998</v>
      </c>
      <c r="L37" s="67">
        <f t="shared" ref="K37:P37" si="21">SUM(L39:L43)+L10</f>
        <v>2619.7120000000004</v>
      </c>
      <c r="M37" s="67">
        <f>SUM(M39:M43)+M10</f>
        <v>2394.9489999999996</v>
      </c>
      <c r="N37" s="67">
        <f>SUM(N39:N43)+N10</f>
        <v>2620.616</v>
      </c>
      <c r="O37" s="68">
        <f t="shared" si="21"/>
        <v>1705.5</v>
      </c>
      <c r="P37" s="69">
        <f t="shared" si="21"/>
        <v>1595.1999999999998</v>
      </c>
    </row>
    <row r="38" spans="2:16" ht="15.5" x14ac:dyDescent="0.35">
      <c r="B38" s="22" t="s">
        <v>45</v>
      </c>
      <c r="C38" s="95">
        <v>-3454.5729999999999</v>
      </c>
      <c r="D38" s="23">
        <v>-178.49600000000001</v>
      </c>
      <c r="E38" s="23">
        <v>2007.0050000000001</v>
      </c>
      <c r="F38" s="23">
        <v>-636.11500000000001</v>
      </c>
      <c r="G38" s="23">
        <v>1370.0250000000001</v>
      </c>
      <c r="H38" s="23">
        <v>2197.5</v>
      </c>
      <c r="I38" s="48"/>
      <c r="J38" s="6" t="s">
        <v>39</v>
      </c>
      <c r="K38" s="18"/>
      <c r="L38" s="19"/>
      <c r="M38" s="19"/>
      <c r="N38" s="19"/>
      <c r="O38" s="40"/>
      <c r="P38" s="18"/>
    </row>
    <row r="39" spans="2:16" ht="15.5" x14ac:dyDescent="0.35">
      <c r="B39" s="22" t="s">
        <v>46</v>
      </c>
      <c r="C39" s="23">
        <v>-50.07</v>
      </c>
      <c r="D39" s="23">
        <v>113.596</v>
      </c>
      <c r="E39" s="23">
        <v>-94.879000000000005</v>
      </c>
      <c r="F39" s="23">
        <v>285.42700000000002</v>
      </c>
      <c r="G39" s="23">
        <v>-469.65499999999997</v>
      </c>
      <c r="H39" s="23">
        <v>-717.5</v>
      </c>
      <c r="I39" s="48"/>
      <c r="J39" s="7" t="s">
        <v>40</v>
      </c>
      <c r="K39" s="45">
        <v>508.51400000000001</v>
      </c>
      <c r="L39" s="45">
        <v>338.74899999999997</v>
      </c>
      <c r="M39" s="45">
        <v>286.51400000000001</v>
      </c>
      <c r="N39" s="45">
        <v>419.34899999999999</v>
      </c>
      <c r="O39" s="45">
        <v>382.7</v>
      </c>
      <c r="P39" s="44">
        <v>370.7</v>
      </c>
    </row>
    <row r="40" spans="2:16" ht="15.5" x14ac:dyDescent="0.35">
      <c r="B40" s="22" t="s">
        <v>47</v>
      </c>
      <c r="C40" s="23">
        <v>3626.0410000000002</v>
      </c>
      <c r="D40" s="23">
        <v>-7.7329999999999997</v>
      </c>
      <c r="E40" s="23">
        <v>-1745.4259999999999</v>
      </c>
      <c r="F40" s="23">
        <v>332.55700000000002</v>
      </c>
      <c r="G40" s="23">
        <v>-861.54</v>
      </c>
      <c r="H40" s="23">
        <v>-973.3</v>
      </c>
      <c r="I40" s="48"/>
      <c r="J40" s="7" t="s">
        <v>41</v>
      </c>
      <c r="K40" s="45">
        <v>822.077</v>
      </c>
      <c r="L40" s="45">
        <v>1188.7260000000001</v>
      </c>
      <c r="M40" s="45">
        <v>306.91300000000001</v>
      </c>
      <c r="N40" s="45">
        <v>83.396000000000001</v>
      </c>
      <c r="O40" s="45">
        <v>66.3</v>
      </c>
      <c r="P40" s="44">
        <v>22.9</v>
      </c>
    </row>
    <row r="41" spans="2:16" ht="16" thickBot="1" x14ac:dyDescent="0.4">
      <c r="B41" s="24" t="s">
        <v>49</v>
      </c>
      <c r="C41" s="25">
        <f>C38+C39+C40</f>
        <v>121.39800000000014</v>
      </c>
      <c r="D41" s="25">
        <f>D38+D39+D40</f>
        <v>-72.63300000000001</v>
      </c>
      <c r="E41" s="25">
        <f>E38+E39+E40</f>
        <v>166.70000000000027</v>
      </c>
      <c r="F41" s="25">
        <f>F38+F39+F40</f>
        <v>-18.130999999999972</v>
      </c>
      <c r="G41" s="25">
        <f t="shared" ref="G41:H41" si="22">G38+G39+G40</f>
        <v>38.830000000000155</v>
      </c>
      <c r="H41" s="25">
        <f t="shared" si="22"/>
        <v>506.70000000000005</v>
      </c>
      <c r="I41" s="48"/>
      <c r="J41" s="7" t="s">
        <v>42</v>
      </c>
      <c r="K41" s="45">
        <v>259.47399999999999</v>
      </c>
      <c r="L41" s="45">
        <v>943.40599999999995</v>
      </c>
      <c r="M41" s="45">
        <v>1023.5709999999999</v>
      </c>
      <c r="N41" s="45">
        <v>1474.376</v>
      </c>
      <c r="O41" s="45">
        <v>954.3</v>
      </c>
      <c r="P41" s="44">
        <v>563.70000000000005</v>
      </c>
    </row>
    <row r="42" spans="2:16" ht="16" thickBot="1" x14ac:dyDescent="0.4">
      <c r="B42" s="52" t="s">
        <v>51</v>
      </c>
      <c r="C42" s="92">
        <f>C37+C41</f>
        <v>156.75300000000013</v>
      </c>
      <c r="D42" s="93">
        <f>D37+D41</f>
        <v>84.120000000000118</v>
      </c>
      <c r="E42" s="94">
        <f>E37+E41</f>
        <v>250.82000000000039</v>
      </c>
      <c r="F42" s="94">
        <f>F37+F41</f>
        <v>232.68900000000042</v>
      </c>
      <c r="G42" s="94">
        <f t="shared" ref="G42:H42" si="23">G37+G41</f>
        <v>271.51900000000057</v>
      </c>
      <c r="H42" s="94">
        <f t="shared" si="23"/>
        <v>778.21900000000062</v>
      </c>
      <c r="I42" s="48"/>
      <c r="J42" s="8" t="s">
        <v>100</v>
      </c>
      <c r="K42" s="45">
        <v>162.93800000000002</v>
      </c>
      <c r="L42" s="45">
        <v>147.18199999999999</v>
      </c>
      <c r="M42" s="45">
        <v>181.608</v>
      </c>
      <c r="N42" s="45">
        <v>118.949</v>
      </c>
      <c r="O42" s="45">
        <v>103.5</v>
      </c>
      <c r="P42" s="44">
        <v>183.3</v>
      </c>
    </row>
    <row r="43" spans="2:16" ht="16" thickBot="1" x14ac:dyDescent="0.4">
      <c r="B43" s="13"/>
      <c r="C43" s="13"/>
      <c r="D43" s="13"/>
      <c r="E43" s="13"/>
      <c r="F43" s="13"/>
      <c r="G43" s="13"/>
      <c r="H43" s="39"/>
      <c r="I43" s="48"/>
      <c r="J43" s="8" t="s">
        <v>92</v>
      </c>
      <c r="K43" s="45">
        <v>1.004</v>
      </c>
      <c r="L43" s="45">
        <v>0.84899999999999998</v>
      </c>
      <c r="M43" s="45">
        <v>0.84899999999999998</v>
      </c>
      <c r="N43" s="45">
        <v>1.3039999999999998</v>
      </c>
      <c r="O43" s="45">
        <v>0</v>
      </c>
      <c r="P43" s="44">
        <v>21.5</v>
      </c>
    </row>
    <row r="44" spans="2:16" ht="19" thickBot="1" x14ac:dyDescent="0.5">
      <c r="B44" s="90" t="s">
        <v>53</v>
      </c>
      <c r="C44" s="91" t="s">
        <v>3</v>
      </c>
      <c r="D44" s="91" t="s">
        <v>4</v>
      </c>
      <c r="E44" s="91" t="s">
        <v>5</v>
      </c>
      <c r="F44" s="91" t="s">
        <v>6</v>
      </c>
      <c r="G44" s="91" t="s">
        <v>98</v>
      </c>
      <c r="H44" s="91" t="s">
        <v>101</v>
      </c>
      <c r="I44" s="48"/>
      <c r="J44" s="63" t="s">
        <v>97</v>
      </c>
      <c r="K44" s="64">
        <f>K26-K37</f>
        <v>12305.963</v>
      </c>
      <c r="L44" s="64">
        <f t="shared" ref="K44:P44" si="24">L26-L37</f>
        <v>11710.720000000001</v>
      </c>
      <c r="M44" s="64">
        <f t="shared" si="24"/>
        <v>10584.633000000002</v>
      </c>
      <c r="N44" s="64">
        <f t="shared" si="24"/>
        <v>11688.986999999999</v>
      </c>
      <c r="O44" s="65">
        <f t="shared" si="24"/>
        <v>13019.199999999999</v>
      </c>
      <c r="P44" s="66">
        <f t="shared" si="24"/>
        <v>14657.2</v>
      </c>
    </row>
    <row r="45" spans="2:16" ht="16" thickBot="1" x14ac:dyDescent="0.4">
      <c r="B45" s="27" t="s">
        <v>54</v>
      </c>
      <c r="C45" s="28">
        <f t="shared" ref="C45" si="25">C38</f>
        <v>-3454.5729999999999</v>
      </c>
      <c r="D45" s="28">
        <f t="shared" ref="D45:F45" si="26">D38</f>
        <v>-178.49600000000001</v>
      </c>
      <c r="E45" s="28">
        <f t="shared" si="26"/>
        <v>2007.0050000000001</v>
      </c>
      <c r="F45" s="28">
        <f t="shared" si="26"/>
        <v>-636.11500000000001</v>
      </c>
      <c r="G45" s="28">
        <f>G38</f>
        <v>1370.0250000000001</v>
      </c>
      <c r="H45" s="28">
        <f t="shared" ref="H45" si="27">H38</f>
        <v>2197.5</v>
      </c>
      <c r="I45" s="48"/>
      <c r="J45" s="52" t="s">
        <v>93</v>
      </c>
      <c r="K45" s="67">
        <f t="shared" ref="K45:P45" si="28">SUM(K46:K49,K9)</f>
        <v>9972.1739999999991</v>
      </c>
      <c r="L45" s="67">
        <f t="shared" si="28"/>
        <v>9661.4809999999998</v>
      </c>
      <c r="M45" s="67">
        <f t="shared" si="28"/>
        <v>8913.3019999999997</v>
      </c>
      <c r="N45" s="67">
        <f>SUM(N46:N49,N9)</f>
        <v>9450.4849999999988</v>
      </c>
      <c r="O45" s="67">
        <f t="shared" si="28"/>
        <v>8560.3000000000011</v>
      </c>
      <c r="P45" s="69">
        <f t="shared" si="28"/>
        <v>8102.3</v>
      </c>
    </row>
    <row r="46" spans="2:16" ht="16" thickBot="1" x14ac:dyDescent="0.4">
      <c r="B46" s="29" t="s">
        <v>56</v>
      </c>
      <c r="C46" s="51">
        <v>45.7</v>
      </c>
      <c r="D46" s="51">
        <v>69.400000000000006</v>
      </c>
      <c r="E46" s="51">
        <v>221.1</v>
      </c>
      <c r="F46" s="51">
        <v>23.7</v>
      </c>
      <c r="G46" s="51">
        <v>43.8</v>
      </c>
      <c r="H46" s="51">
        <v>26.8</v>
      </c>
      <c r="I46" s="48"/>
      <c r="J46" s="43" t="s">
        <v>106</v>
      </c>
      <c r="K46" s="45">
        <v>173.44400000000002</v>
      </c>
      <c r="L46" s="45">
        <v>201.102</v>
      </c>
      <c r="M46" s="45">
        <v>197.25700000000001</v>
      </c>
      <c r="N46" s="45">
        <v>293.79200000000003</v>
      </c>
      <c r="O46" s="45">
        <v>289.3</v>
      </c>
      <c r="P46" s="44">
        <v>281.8</v>
      </c>
    </row>
    <row r="47" spans="2:16" ht="16" thickBot="1" x14ac:dyDescent="0.4">
      <c r="B47" s="52" t="s">
        <v>58</v>
      </c>
      <c r="C47" s="67">
        <f t="shared" ref="C47" si="29">C45-C46</f>
        <v>-3500.2729999999997</v>
      </c>
      <c r="D47" s="67">
        <f t="shared" ref="D47:F47" si="30">D45-D46</f>
        <v>-247.89600000000002</v>
      </c>
      <c r="E47" s="67">
        <f t="shared" si="30"/>
        <v>1785.9050000000002</v>
      </c>
      <c r="F47" s="67">
        <f>F45-F46</f>
        <v>-659.81500000000005</v>
      </c>
      <c r="G47" s="67">
        <f>G45-G46</f>
        <v>1326.2250000000001</v>
      </c>
      <c r="H47" s="67">
        <f>H45-H46</f>
        <v>2170.6999999999998</v>
      </c>
      <c r="I47" s="48"/>
      <c r="J47" s="6" t="s">
        <v>111</v>
      </c>
      <c r="K47" s="45">
        <v>14.662000000000001</v>
      </c>
      <c r="L47" s="45">
        <v>1.389</v>
      </c>
      <c r="M47" s="45">
        <v>0.65800000000000003</v>
      </c>
      <c r="N47" s="45">
        <v>0.65800000000000003</v>
      </c>
      <c r="O47" s="45">
        <v>7.3</v>
      </c>
      <c r="P47" s="44">
        <v>6.8</v>
      </c>
    </row>
    <row r="48" spans="2:16" ht="16" thickBot="1" x14ac:dyDescent="0.4">
      <c r="B48" s="13"/>
      <c r="C48" s="13"/>
      <c r="D48" s="13"/>
      <c r="E48" s="13"/>
      <c r="F48" s="13"/>
      <c r="G48" s="13"/>
      <c r="H48" s="39"/>
      <c r="I48" s="48"/>
      <c r="J48" s="6" t="s">
        <v>100</v>
      </c>
      <c r="K48" s="45">
        <v>53.114999999999995</v>
      </c>
      <c r="L48" s="45">
        <v>47.069000000000003</v>
      </c>
      <c r="M48" s="45">
        <v>30.237000000000002</v>
      </c>
      <c r="N48" s="45">
        <v>30.237000000000002</v>
      </c>
      <c r="O48" s="45">
        <v>34</v>
      </c>
      <c r="P48" s="44">
        <v>59.1</v>
      </c>
    </row>
    <row r="49" spans="2:17" ht="19" thickBot="1" x14ac:dyDescent="0.5">
      <c r="B49" s="90" t="s">
        <v>53</v>
      </c>
      <c r="C49" s="91" t="s">
        <v>3</v>
      </c>
      <c r="D49" s="91" t="s">
        <v>4</v>
      </c>
      <c r="E49" s="91" t="s">
        <v>5</v>
      </c>
      <c r="F49" s="91" t="s">
        <v>6</v>
      </c>
      <c r="G49" s="91" t="s">
        <v>98</v>
      </c>
      <c r="H49" s="91" t="s">
        <v>101</v>
      </c>
      <c r="I49" s="48"/>
      <c r="J49" s="26" t="s">
        <v>94</v>
      </c>
      <c r="K49" s="45">
        <v>1780.3759999999997</v>
      </c>
      <c r="L49" s="45">
        <v>756.62400000000002</v>
      </c>
      <c r="M49" s="45">
        <v>1743.1470000000002</v>
      </c>
      <c r="N49" s="45">
        <v>972.22199999999998</v>
      </c>
      <c r="O49" s="45">
        <v>170.6</v>
      </c>
      <c r="P49" s="44">
        <v>111.4</v>
      </c>
      <c r="Q49" s="1"/>
    </row>
    <row r="50" spans="2:17" ht="16" thickBot="1" x14ac:dyDescent="0.4">
      <c r="B50" s="33" t="s">
        <v>62</v>
      </c>
      <c r="C50" s="34">
        <v>35484875</v>
      </c>
      <c r="D50" s="34">
        <v>35484875</v>
      </c>
      <c r="E50" s="34">
        <v>35484875</v>
      </c>
      <c r="F50" s="34">
        <v>35484875</v>
      </c>
      <c r="G50" s="34">
        <v>35484875</v>
      </c>
      <c r="H50" s="34">
        <v>35484875</v>
      </c>
      <c r="I50" s="48"/>
      <c r="J50" s="52" t="s">
        <v>48</v>
      </c>
      <c r="K50" s="67">
        <f>K26+K15</f>
        <v>18797.235000000001</v>
      </c>
      <c r="L50" s="67">
        <f>L26+L15</f>
        <v>19715.832000000002</v>
      </c>
      <c r="M50" s="122">
        <f>M26+M15</f>
        <v>18969.93</v>
      </c>
      <c r="N50" s="67">
        <f t="shared" ref="K50:P50" si="31">N26+N15</f>
        <v>20184.692999999999</v>
      </c>
      <c r="O50" s="68">
        <f t="shared" si="31"/>
        <v>19197.399999999998</v>
      </c>
      <c r="P50" s="69">
        <f t="shared" si="31"/>
        <v>19633.900000000001</v>
      </c>
      <c r="Q50" s="50">
        <f>O51-O50</f>
        <v>0</v>
      </c>
    </row>
    <row r="51" spans="2:17" ht="16" thickBot="1" x14ac:dyDescent="0.4">
      <c r="B51" s="9" t="s">
        <v>64</v>
      </c>
      <c r="C51" s="14">
        <f t="shared" ref="C51:H51" si="32">(K55*C50)/1000000</f>
        <v>6848.5808749999997</v>
      </c>
      <c r="D51" s="14">
        <f t="shared" si="32"/>
        <v>2265.7092687499999</v>
      </c>
      <c r="E51" s="14">
        <f t="shared" si="32"/>
        <v>4187.2152500000002</v>
      </c>
      <c r="F51" s="14">
        <f t="shared" si="32"/>
        <v>11651.45870625</v>
      </c>
      <c r="G51" s="14">
        <f t="shared" si="32"/>
        <v>9925.1195375000007</v>
      </c>
      <c r="H51" s="14">
        <f t="shared" si="32"/>
        <v>25726.534374999999</v>
      </c>
      <c r="I51" s="48"/>
      <c r="J51" s="52" t="s">
        <v>50</v>
      </c>
      <c r="K51" s="67">
        <f>K8+K37+K45</f>
        <v>18797.235000000001</v>
      </c>
      <c r="L51" s="67">
        <f>L8+L37+L45</f>
        <v>19715.832000000002</v>
      </c>
      <c r="M51" s="122">
        <f>M8+M37+M45</f>
        <v>18969.93</v>
      </c>
      <c r="N51" s="67">
        <f>N8+N37+N45</f>
        <v>20184.692999999999</v>
      </c>
      <c r="O51" s="68">
        <f>O45+O37+O8</f>
        <v>19197.400000000001</v>
      </c>
      <c r="P51" s="69">
        <f>P45+P37+P8</f>
        <v>19633.900000000001</v>
      </c>
      <c r="Q51" s="1"/>
    </row>
    <row r="52" spans="2:17" ht="16" thickBot="1" x14ac:dyDescent="0.4">
      <c r="B52" s="9" t="s">
        <v>66</v>
      </c>
      <c r="C52" s="35">
        <f>K11</f>
        <v>7955.6440000000002</v>
      </c>
      <c r="D52" s="35">
        <f t="shared" ref="D52:F52" si="33">L11</f>
        <v>8656.0969999999998</v>
      </c>
      <c r="E52" s="35">
        <f t="shared" si="33"/>
        <v>7537.4969999999994</v>
      </c>
      <c r="F52" s="35">
        <f t="shared" si="33"/>
        <v>8676.8179999999993</v>
      </c>
      <c r="G52" s="35">
        <f>O11</f>
        <v>8257.8000000000011</v>
      </c>
      <c r="H52" s="35">
        <f>P11</f>
        <v>8076.3</v>
      </c>
      <c r="I52" s="48"/>
      <c r="J52" s="13"/>
      <c r="K52" s="13"/>
      <c r="L52" s="13"/>
      <c r="M52" s="13"/>
      <c r="N52" s="13"/>
      <c r="O52" s="13"/>
    </row>
    <row r="53" spans="2:17" ht="16" thickBot="1" x14ac:dyDescent="0.4">
      <c r="B53" s="36" t="s">
        <v>68</v>
      </c>
      <c r="C53" s="37">
        <f>K31+K32</f>
        <v>276.87199999999996</v>
      </c>
      <c r="D53" s="37">
        <f t="shared" ref="D53:H53" si="34">L31+L32</f>
        <v>220.5</v>
      </c>
      <c r="E53" s="37">
        <f t="shared" si="34"/>
        <v>426.77</v>
      </c>
      <c r="F53" s="37">
        <f t="shared" si="34"/>
        <v>353.15999999999997</v>
      </c>
      <c r="G53" s="37">
        <f t="shared" si="34"/>
        <v>402.5</v>
      </c>
      <c r="H53" s="37">
        <f t="shared" si="34"/>
        <v>1167.5999999999999</v>
      </c>
      <c r="I53" s="48"/>
      <c r="J53" s="73" t="s">
        <v>52</v>
      </c>
      <c r="K53" s="74"/>
      <c r="L53" s="74"/>
      <c r="M53" s="74"/>
      <c r="N53" s="74"/>
      <c r="O53" s="74"/>
      <c r="P53" s="75"/>
    </row>
    <row r="54" spans="2:17" ht="19" thickBot="1" x14ac:dyDescent="0.5">
      <c r="B54" s="52" t="s">
        <v>70</v>
      </c>
      <c r="C54" s="89">
        <f>C51+C52-C53</f>
        <v>14527.352875</v>
      </c>
      <c r="D54" s="89">
        <f t="shared" ref="D54:F54" si="35">D51+D52-D53</f>
        <v>10701.306268749999</v>
      </c>
      <c r="E54" s="89">
        <f t="shared" si="35"/>
        <v>11297.94225</v>
      </c>
      <c r="F54" s="89">
        <f t="shared" si="35"/>
        <v>19975.116706249999</v>
      </c>
      <c r="G54" s="89">
        <f t="shared" ref="G54:H54" si="36">G51+G52-G53</f>
        <v>17780.419537500002</v>
      </c>
      <c r="H54" s="89">
        <f>H51+H52-H53</f>
        <v>32635.234375</v>
      </c>
      <c r="I54" s="48"/>
      <c r="J54" s="76"/>
      <c r="K54" s="55" t="s">
        <v>3</v>
      </c>
      <c r="L54" s="55" t="s">
        <v>4</v>
      </c>
      <c r="M54" s="55" t="s">
        <v>5</v>
      </c>
      <c r="N54" s="55" t="s">
        <v>6</v>
      </c>
      <c r="O54" s="55" t="s">
        <v>98</v>
      </c>
      <c r="P54" s="55" t="s">
        <v>101</v>
      </c>
    </row>
    <row r="55" spans="2:17" ht="15.5" x14ac:dyDescent="0.35">
      <c r="B55" s="13"/>
      <c r="C55" s="13"/>
      <c r="D55" s="13"/>
      <c r="E55" s="13"/>
      <c r="F55" s="13"/>
      <c r="G55" s="13"/>
      <c r="H55" s="13"/>
      <c r="I55" s="48"/>
      <c r="J55" s="30" t="s">
        <v>55</v>
      </c>
      <c r="K55" s="31">
        <v>193</v>
      </c>
      <c r="L55" s="32">
        <v>63.85</v>
      </c>
      <c r="M55" s="32">
        <v>118</v>
      </c>
      <c r="N55" s="32">
        <v>328.35</v>
      </c>
      <c r="O55" s="32">
        <v>279.7</v>
      </c>
      <c r="P55" s="41">
        <v>725</v>
      </c>
    </row>
    <row r="56" spans="2:17" ht="15.5" x14ac:dyDescent="0.35">
      <c r="B56" s="13"/>
      <c r="C56" s="13"/>
      <c r="D56" s="13"/>
      <c r="E56" s="38"/>
      <c r="F56" s="38"/>
      <c r="G56" s="13"/>
      <c r="H56" s="13"/>
      <c r="I56" s="48"/>
      <c r="J56" s="7" t="s">
        <v>57</v>
      </c>
      <c r="K56" s="11">
        <f t="shared" ref="K56:P56" si="37">C32</f>
        <v>21.05</v>
      </c>
      <c r="L56" s="11">
        <f t="shared" si="37"/>
        <v>9.17</v>
      </c>
      <c r="M56" s="11">
        <f t="shared" si="37"/>
        <v>8.7100000000000009</v>
      </c>
      <c r="N56" s="11">
        <f t="shared" si="37"/>
        <v>12.75</v>
      </c>
      <c r="O56" s="11">
        <f t="shared" si="37"/>
        <v>20.23</v>
      </c>
      <c r="P56" s="11">
        <f t="shared" si="37"/>
        <v>28.94</v>
      </c>
    </row>
    <row r="57" spans="2:17" ht="15.5" x14ac:dyDescent="0.35">
      <c r="B57" s="13"/>
      <c r="C57" s="13"/>
      <c r="D57" s="13"/>
      <c r="E57" s="13"/>
      <c r="F57" s="13"/>
      <c r="G57" s="13"/>
      <c r="H57" s="13"/>
      <c r="I57" s="48"/>
      <c r="J57" s="77" t="s">
        <v>59</v>
      </c>
      <c r="K57" s="78">
        <f>K8*1000000/C50</f>
        <v>199.12672652785167</v>
      </c>
      <c r="L57" s="78">
        <f t="shared" ref="K57:P57" si="38">L8*1000000/D50</f>
        <v>209.51571620303019</v>
      </c>
      <c r="M57" s="78">
        <f t="shared" si="38"/>
        <v>215.91393516251642</v>
      </c>
      <c r="N57" s="78">
        <f t="shared" si="38"/>
        <v>228.64930480944346</v>
      </c>
      <c r="O57" s="78">
        <f t="shared" si="38"/>
        <v>251.70160526139659</v>
      </c>
      <c r="P57" s="78">
        <f t="shared" si="38"/>
        <v>280.01789494819974</v>
      </c>
    </row>
    <row r="58" spans="2:17" ht="15.5" x14ac:dyDescent="0.35">
      <c r="B58" s="13"/>
      <c r="C58" s="13"/>
      <c r="D58" s="13"/>
      <c r="E58" s="13"/>
      <c r="F58" s="13"/>
      <c r="G58" s="13"/>
      <c r="H58" s="13"/>
      <c r="I58" s="48"/>
      <c r="J58" s="79" t="s">
        <v>60</v>
      </c>
      <c r="K58" s="80">
        <v>3.3</v>
      </c>
      <c r="L58" s="80">
        <v>1.4</v>
      </c>
      <c r="M58" s="80">
        <v>1.4</v>
      </c>
      <c r="N58" s="80">
        <v>2.25</v>
      </c>
      <c r="O58" s="80">
        <v>3</v>
      </c>
      <c r="P58" s="80">
        <v>4</v>
      </c>
    </row>
    <row r="59" spans="2:17" ht="15.5" x14ac:dyDescent="0.35">
      <c r="B59" s="13"/>
      <c r="C59" s="13"/>
      <c r="D59" s="13"/>
      <c r="E59" s="13"/>
      <c r="F59" s="13"/>
      <c r="G59" s="13"/>
      <c r="H59" s="13"/>
      <c r="I59" s="48"/>
      <c r="J59" s="77" t="s">
        <v>61</v>
      </c>
      <c r="K59" s="80">
        <f>K55/K56</f>
        <v>9.1686460807600945</v>
      </c>
      <c r="L59" s="80">
        <f t="shared" ref="L59:N59" si="39">L55/L56</f>
        <v>6.962922573609597</v>
      </c>
      <c r="M59" s="80">
        <f t="shared" si="39"/>
        <v>13.547646383467278</v>
      </c>
      <c r="N59" s="80">
        <f t="shared" si="39"/>
        <v>25.752941176470589</v>
      </c>
      <c r="O59" s="80">
        <f t="shared" ref="O59" si="40">O55/O56</f>
        <v>13.826000988630746</v>
      </c>
      <c r="P59" s="80">
        <f t="shared" ref="P59" si="41">P55/P56</f>
        <v>25.051831375259155</v>
      </c>
    </row>
    <row r="60" spans="2:17" ht="15.5" x14ac:dyDescent="0.35">
      <c r="B60" s="13"/>
      <c r="C60" s="13"/>
      <c r="D60" s="13"/>
      <c r="E60" s="13"/>
      <c r="F60" s="13"/>
      <c r="G60" s="13"/>
      <c r="H60" s="13"/>
      <c r="I60" s="48"/>
      <c r="J60" s="77" t="s">
        <v>63</v>
      </c>
      <c r="K60" s="78">
        <f>K55/K57</f>
        <v>0.9692320230705207</v>
      </c>
      <c r="L60" s="78">
        <f t="shared" ref="K60:P60" si="42">L55/L57</f>
        <v>0.30475040802250114</v>
      </c>
      <c r="M60" s="78">
        <f t="shared" si="42"/>
        <v>0.54651405390385055</v>
      </c>
      <c r="N60" s="78">
        <f t="shared" si="42"/>
        <v>1.4360419782323293</v>
      </c>
      <c r="O60" s="78">
        <f t="shared" si="42"/>
        <v>1.1112364567938555</v>
      </c>
      <c r="P60" s="78">
        <f t="shared" si="42"/>
        <v>2.589120242240651</v>
      </c>
    </row>
    <row r="61" spans="2:17" ht="15.5" x14ac:dyDescent="0.35">
      <c r="B61" s="13"/>
      <c r="C61" s="13"/>
      <c r="D61" s="13"/>
      <c r="E61" s="13"/>
      <c r="F61" s="13"/>
      <c r="G61" s="13"/>
      <c r="H61" s="13"/>
      <c r="I61" s="48"/>
      <c r="J61" s="77" t="s">
        <v>65</v>
      </c>
      <c r="K61" s="80">
        <f>C54/C14</f>
        <v>11.425132380305238</v>
      </c>
      <c r="L61" s="80">
        <f t="shared" ref="K61:P61" si="43">D54/D14</f>
        <v>10.245249243906732</v>
      </c>
      <c r="M61" s="80">
        <f t="shared" si="43"/>
        <v>11.840497527714955</v>
      </c>
      <c r="N61" s="80">
        <f t="shared" si="43"/>
        <v>17.195824392919921</v>
      </c>
      <c r="O61" s="80">
        <f t="shared" si="43"/>
        <v>14.289495730531222</v>
      </c>
      <c r="P61" s="80">
        <f t="shared" si="43"/>
        <v>16.221907930708817</v>
      </c>
    </row>
    <row r="62" spans="2:17" ht="15.5" x14ac:dyDescent="0.35">
      <c r="B62" s="13"/>
      <c r="C62" s="13"/>
      <c r="D62" s="13"/>
      <c r="E62" s="13"/>
      <c r="F62" s="13"/>
      <c r="G62" s="13"/>
      <c r="H62" s="13"/>
      <c r="I62" s="48"/>
      <c r="J62" s="84" t="s">
        <v>67</v>
      </c>
      <c r="K62" s="85">
        <f>C25/K8</f>
        <v>0.10791712467062281</v>
      </c>
      <c r="L62" s="85">
        <f t="shared" ref="K62:P62" si="44">D25/L8</f>
        <v>4.4309078087046337E-2</v>
      </c>
      <c r="M62" s="85">
        <f t="shared" si="44"/>
        <v>4.1096344547976997E-2</v>
      </c>
      <c r="N62" s="85">
        <f t="shared" si="44"/>
        <v>5.711144952814981E-2</v>
      </c>
      <c r="O62" s="85">
        <f t="shared" si="44"/>
        <v>8.015383581889024E-2</v>
      </c>
      <c r="P62" s="85">
        <f t="shared" si="44"/>
        <v>0.10458516162795382</v>
      </c>
    </row>
    <row r="63" spans="2:17" ht="15.5" x14ac:dyDescent="0.35">
      <c r="B63" s="13"/>
      <c r="C63" s="13"/>
      <c r="D63" s="13"/>
      <c r="E63" s="13"/>
      <c r="F63" s="13"/>
      <c r="G63" s="13"/>
      <c r="H63" s="13"/>
      <c r="I63" s="48"/>
      <c r="J63" s="84" t="s">
        <v>69</v>
      </c>
      <c r="K63" s="85">
        <f>(C14-C19)/K12</f>
        <v>7.3215237254771817E-2</v>
      </c>
      <c r="L63" s="85">
        <f t="shared" ref="K63:P63" si="45">(D14-D19)/L12</f>
        <v>5.9827785485829531E-2</v>
      </c>
      <c r="M63" s="85">
        <f t="shared" si="45"/>
        <v>5.649593203153596E-2</v>
      </c>
      <c r="N63" s="85">
        <f t="shared" si="45"/>
        <v>6.51786598293779E-2</v>
      </c>
      <c r="O63" s="85">
        <f t="shared" si="45"/>
        <v>7.0278243072507851E-2</v>
      </c>
      <c r="P63" s="85">
        <f t="shared" si="45"/>
        <v>0.11057892198440021</v>
      </c>
    </row>
    <row r="64" spans="2:17" ht="15.5" x14ac:dyDescent="0.35">
      <c r="B64" s="13"/>
      <c r="C64" s="13"/>
      <c r="D64" s="13"/>
      <c r="E64" s="13"/>
      <c r="F64" s="13"/>
      <c r="G64" s="13"/>
      <c r="H64" s="13"/>
      <c r="I64" s="48"/>
      <c r="J64" s="77" t="s">
        <v>71</v>
      </c>
      <c r="K64" s="80">
        <f>K11/K8</f>
        <v>1.1259069681277363</v>
      </c>
      <c r="L64" s="80">
        <f t="shared" ref="K64:P64" si="46">L11/L8</f>
        <v>1.1642928459606443</v>
      </c>
      <c r="M64" s="80">
        <f t="shared" si="46"/>
        <v>0.98379180333710137</v>
      </c>
      <c r="N64" s="80">
        <f t="shared" si="46"/>
        <v>1.0694175896446358</v>
      </c>
      <c r="O64" s="80">
        <f t="shared" si="46"/>
        <v>0.92455998925164595</v>
      </c>
      <c r="P64" s="80">
        <f t="shared" si="46"/>
        <v>0.81279940421078056</v>
      </c>
    </row>
    <row r="65" spans="2:16" ht="15.5" x14ac:dyDescent="0.35">
      <c r="B65" s="13"/>
      <c r="C65" s="13"/>
      <c r="D65" s="13"/>
      <c r="E65" s="13"/>
      <c r="F65" s="13"/>
      <c r="G65" s="13"/>
      <c r="H65" s="13"/>
      <c r="I65" s="48"/>
      <c r="J65" s="77" t="s">
        <v>72</v>
      </c>
      <c r="K65" s="80">
        <f>(K11-K31-K32)/K8</f>
        <v>1.0867231994624389</v>
      </c>
      <c r="L65" s="80">
        <f t="shared" ref="L65:P65" si="47">(L11-L31-L32)/L8</f>
        <v>1.1346343783470856</v>
      </c>
      <c r="M65" s="80">
        <f t="shared" si="47"/>
        <v>0.92808991345108549</v>
      </c>
      <c r="N65" s="80">
        <f t="shared" si="47"/>
        <v>1.0258906289594054</v>
      </c>
      <c r="O65" s="80">
        <f t="shared" si="47"/>
        <v>0.87949527520265136</v>
      </c>
      <c r="P65" s="80">
        <f t="shared" si="47"/>
        <v>0.69529205748560852</v>
      </c>
    </row>
    <row r="66" spans="2:16" ht="15.5" x14ac:dyDescent="0.35">
      <c r="B66" s="13"/>
      <c r="C66" s="13"/>
      <c r="D66" s="13"/>
      <c r="E66" s="13"/>
      <c r="F66" s="13"/>
      <c r="G66" s="13"/>
      <c r="H66" s="13"/>
      <c r="I66" s="128"/>
      <c r="J66" s="129" t="s">
        <v>73</v>
      </c>
      <c r="K66" s="85">
        <f>K58/K56</f>
        <v>0.15676959619952494</v>
      </c>
      <c r="L66" s="85">
        <f t="shared" ref="L66:P66" si="48">L58/L56</f>
        <v>0.15267175572519084</v>
      </c>
      <c r="M66" s="85">
        <f t="shared" si="48"/>
        <v>0.16073478760045923</v>
      </c>
      <c r="N66" s="85">
        <f t="shared" si="48"/>
        <v>0.17647058823529413</v>
      </c>
      <c r="O66" s="85">
        <f t="shared" si="48"/>
        <v>0.14829461196243202</v>
      </c>
      <c r="P66" s="85">
        <f t="shared" si="48"/>
        <v>0.138217000691085</v>
      </c>
    </row>
    <row r="67" spans="2:16" ht="15.5" x14ac:dyDescent="0.35">
      <c r="B67" s="13"/>
      <c r="C67" s="13"/>
      <c r="D67" s="13"/>
      <c r="E67" s="13"/>
      <c r="F67" s="13"/>
      <c r="G67" s="13"/>
      <c r="H67" s="13"/>
      <c r="I67" s="48"/>
      <c r="J67" s="77" t="s">
        <v>74</v>
      </c>
      <c r="K67" s="81" t="s">
        <v>99</v>
      </c>
      <c r="L67" s="82">
        <f>(AVERAGE(K30:L30)/D5*365)</f>
        <v>213.29256424291432</v>
      </c>
      <c r="M67" s="82">
        <f>(AVERAGE(L30:M30)/E5*365)</f>
        <v>205.13417366397408</v>
      </c>
      <c r="N67" s="82">
        <f>(AVERAGE(M30:N30)/F5*365)</f>
        <v>167.7203188466809</v>
      </c>
      <c r="O67" s="82">
        <f>(AVERAGE(N30:O30)/G5*365)</f>
        <v>169.00439805149617</v>
      </c>
      <c r="P67" s="82">
        <f>(AVERAGE(O30:P30)/H5*365)</f>
        <v>91.187424995714039</v>
      </c>
    </row>
    <row r="68" spans="2:16" ht="15.5" x14ac:dyDescent="0.35">
      <c r="B68" s="13"/>
      <c r="C68" s="13"/>
      <c r="D68" s="13"/>
      <c r="E68" s="13"/>
      <c r="F68" s="13"/>
      <c r="G68" s="13"/>
      <c r="H68" s="13"/>
      <c r="I68" s="48"/>
      <c r="J68" s="77" t="s">
        <v>75</v>
      </c>
      <c r="K68" s="81" t="s">
        <v>99</v>
      </c>
      <c r="L68" s="82">
        <f>(AVERAGE(K39:L39)/D10*365)</f>
        <v>93.892354621401722</v>
      </c>
      <c r="M68" s="82">
        <f t="shared" ref="M68:P68" si="49">(AVERAGE(L39:M39)/E10*365)</f>
        <v>65.087539249993569</v>
      </c>
      <c r="N68" s="82">
        <f t="shared" si="49"/>
        <v>46.023381643236981</v>
      </c>
      <c r="O68" s="82">
        <f t="shared" si="49"/>
        <v>43.364917491260293</v>
      </c>
      <c r="P68" s="82">
        <f t="shared" si="49"/>
        <v>29.915689388829655</v>
      </c>
    </row>
    <row r="69" spans="2:16" ht="15.5" x14ac:dyDescent="0.35">
      <c r="J69" s="77" t="s">
        <v>76</v>
      </c>
      <c r="K69" s="81" t="s">
        <v>99</v>
      </c>
      <c r="L69" s="82">
        <f>(AVERAGE(K27:L27)/D10*365)</f>
        <v>2181.5596251726033</v>
      </c>
      <c r="M69" s="82">
        <f t="shared" ref="M69:P69" si="50">(AVERAGE(L27:M27)/E10*365)</f>
        <v>2020.7734180933555</v>
      </c>
      <c r="N69" s="82">
        <f t="shared" si="50"/>
        <v>1265.564459887989</v>
      </c>
      <c r="O69" s="82">
        <f t="shared" si="50"/>
        <v>1175.751356876222</v>
      </c>
      <c r="P69" s="82">
        <f t="shared" si="50"/>
        <v>925.9926350601595</v>
      </c>
    </row>
    <row r="70" spans="2:16" ht="15.5" x14ac:dyDescent="0.35">
      <c r="I70" s="42"/>
      <c r="J70" s="77" t="s">
        <v>77</v>
      </c>
      <c r="K70" s="81" t="s">
        <v>99</v>
      </c>
      <c r="L70" s="82">
        <f>(L67+L69-L68)</f>
        <v>2300.959834794116</v>
      </c>
      <c r="M70" s="82">
        <f t="shared" ref="M70:P70" si="51">(M67+M69-M68)</f>
        <v>2160.8200525073362</v>
      </c>
      <c r="N70" s="82">
        <f t="shared" si="51"/>
        <v>1387.2613970914329</v>
      </c>
      <c r="O70" s="82">
        <f t="shared" si="51"/>
        <v>1301.3908374364578</v>
      </c>
      <c r="P70" s="82">
        <f t="shared" si="51"/>
        <v>987.26437066704398</v>
      </c>
    </row>
    <row r="71" spans="2:16" ht="15.5" x14ac:dyDescent="0.35">
      <c r="J71" s="79" t="s">
        <v>96</v>
      </c>
      <c r="K71" s="81" t="s">
        <v>99</v>
      </c>
      <c r="L71" s="82">
        <f>((AVERAGE(K44,L44))/D5)*365</f>
        <v>1272.7478929311378</v>
      </c>
      <c r="M71" s="82">
        <f>((AVERAGE(L44,M44))/E5)*365</f>
        <v>1173.5523332161388</v>
      </c>
      <c r="N71" s="82">
        <f>((AVERAGE(M44,N44))/F5)*365</f>
        <v>842.15360420515822</v>
      </c>
      <c r="O71" s="82">
        <f>((AVERAGE(N44,O44))/G5)*365</f>
        <v>1045.9856477615401</v>
      </c>
      <c r="P71" s="82">
        <f>((AVERAGE(O44,P44))/H5)*365</f>
        <v>721.60452025830045</v>
      </c>
    </row>
    <row r="72" spans="2:16" ht="15.5" x14ac:dyDescent="0.35">
      <c r="J72" s="77" t="s">
        <v>78</v>
      </c>
      <c r="K72" s="83">
        <f>C5/(AVERAGE(K16:K16))</f>
        <v>13.08100111425388</v>
      </c>
      <c r="L72" s="83">
        <f>D5/(AVERAGE(K16:L16))</f>
        <v>10.912580903264651</v>
      </c>
      <c r="M72" s="83">
        <f>E5/(AVERAGE(L16:M16))</f>
        <v>11.889515475000472</v>
      </c>
      <c r="N72" s="83">
        <f>F5/(AVERAGE(M16:N16))</f>
        <v>19.717942433229574</v>
      </c>
      <c r="O72" s="83">
        <f>G5/(AVERAGE(N16:O16))</f>
        <v>16.743795842986618</v>
      </c>
      <c r="P72" s="83">
        <f>H5/(AVERAGE(O16:P16))</f>
        <v>24.821276595744681</v>
      </c>
    </row>
    <row r="73" spans="2:16" ht="15.5" x14ac:dyDescent="0.35">
      <c r="J73" s="84" t="s">
        <v>79</v>
      </c>
      <c r="K73" s="88">
        <f>C20/K11</f>
        <v>6.3182565735721716E-2</v>
      </c>
      <c r="L73" s="88">
        <f t="shared" ref="K73:P73" si="52">D20/L11</f>
        <v>7.6074355451423423E-2</v>
      </c>
      <c r="M73" s="88">
        <f t="shared" si="52"/>
        <v>7.6570113394406669E-2</v>
      </c>
      <c r="N73" s="88">
        <f t="shared" si="52"/>
        <v>6.8207607904187922E-2</v>
      </c>
      <c r="O73" s="88">
        <f t="shared" si="52"/>
        <v>4.3922110005086092E-2</v>
      </c>
      <c r="P73" s="88">
        <f t="shared" si="52"/>
        <v>8.4853212485915569E-2</v>
      </c>
    </row>
    <row r="74" spans="2:16" ht="15.5" x14ac:dyDescent="0.35">
      <c r="J74" s="77" t="s">
        <v>80</v>
      </c>
      <c r="K74" s="78">
        <f>(C14-C19)/C20</f>
        <v>2.4817132125620205</v>
      </c>
      <c r="L74" s="78">
        <f t="shared" ref="L74:P74" si="53">(D14-D19)/D20</f>
        <v>1.5532454476565931</v>
      </c>
      <c r="M74" s="78">
        <f t="shared" si="53"/>
        <v>1.6224965216833835</v>
      </c>
      <c r="N74" s="78">
        <f t="shared" si="53"/>
        <v>1.9343606640476492</v>
      </c>
      <c r="O74" s="78">
        <f t="shared" si="53"/>
        <v>3.3893024538185834</v>
      </c>
      <c r="P74" s="78">
        <f t="shared" si="53"/>
        <v>2.9106960455275068</v>
      </c>
    </row>
    <row r="75" spans="2:16" ht="16" thickBot="1" x14ac:dyDescent="0.4">
      <c r="J75" s="86" t="s">
        <v>81</v>
      </c>
      <c r="K75" s="87">
        <f>K73*(1-C24)</f>
        <v>5.1281084538051559E-2</v>
      </c>
      <c r="L75" s="87">
        <f t="shared" ref="K75:P75" si="54">L73*(1-D24)</f>
        <v>5.8740337295799451E-2</v>
      </c>
      <c r="M75" s="87">
        <f t="shared" si="54"/>
        <v>5.8801985059283052E-2</v>
      </c>
      <c r="N75" s="87">
        <f t="shared" si="54"/>
        <v>5.119959881199642E-2</v>
      </c>
      <c r="O75" s="87">
        <f t="shared" si="54"/>
        <v>3.2689392241252876E-2</v>
      </c>
      <c r="P75" s="87">
        <f t="shared" si="54"/>
        <v>6.3525292425159183E-2</v>
      </c>
    </row>
  </sheetData>
  <mergeCells count="4">
    <mergeCell ref="B3:H3"/>
    <mergeCell ref="B2:P2"/>
    <mergeCell ref="J3:P3"/>
    <mergeCell ref="J14:P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2024-05-09T11:00:47Z</cp:lastPrinted>
  <dcterms:created xsi:type="dcterms:W3CDTF">2022-10-27T15:35:03Z</dcterms:created>
  <dcterms:modified xsi:type="dcterms:W3CDTF">2024-06-12T09:15:30Z</dcterms:modified>
</cp:coreProperties>
</file>