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hP\Downloads\"/>
    </mc:Choice>
  </mc:AlternateContent>
  <xr:revisionPtr revIDLastSave="0" documentId="13_ncr:1_{338D2BD3-8601-4563-8E3A-A1648DA509DA}" xr6:coauthVersionLast="47" xr6:coauthVersionMax="47" xr10:uidLastSave="{00000000-0000-0000-0000-000000000000}"/>
  <bookViews>
    <workbookView xWindow="-120" yWindow="-120" windowWidth="29040" windowHeight="15720" tabRatio="769" firstSheet="1" activeTab="1" xr2:uid="{00000000-000D-0000-FFFF-FFFF00000000}"/>
  </bookViews>
  <sheets>
    <sheet name="Peer Analysis" sheetId="10" state="hidden" r:id="rId1"/>
    <sheet name="Consol" sheetId="1" r:id="rId2"/>
  </sheets>
  <externalReferences>
    <externalReference r:id="rId3"/>
  </externalReferences>
  <definedNames>
    <definedName name="_xlnm.Print_Area" localSheetId="0">'Peer Analysis'!$A$1:$G$51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75" i="1" l="1"/>
  <c r="U83" i="1"/>
  <c r="U69" i="1"/>
  <c r="U70" i="1"/>
  <c r="U71" i="1"/>
  <c r="U72" i="1"/>
  <c r="U73" i="1"/>
  <c r="U74" i="1"/>
  <c r="U76" i="1"/>
  <c r="U77" i="1"/>
  <c r="U78" i="1"/>
  <c r="U80" i="1" s="1"/>
  <c r="U79" i="1"/>
  <c r="U81" i="1"/>
  <c r="U82" i="1"/>
  <c r="U68" i="1"/>
  <c r="U66" i="1"/>
  <c r="U47" i="1"/>
  <c r="J63" i="1"/>
  <c r="J61" i="1"/>
  <c r="J56" i="1"/>
  <c r="J54" i="1"/>
  <c r="J50" i="1"/>
  <c r="J49" i="1"/>
  <c r="J45" i="1"/>
  <c r="J43" i="1"/>
  <c r="J42" i="1"/>
  <c r="I32" i="1"/>
  <c r="J33" i="1"/>
  <c r="J32" i="1"/>
  <c r="J23" i="1"/>
  <c r="J16" i="1"/>
  <c r="J15" i="1"/>
  <c r="J5" i="1"/>
  <c r="J6" i="1"/>
  <c r="Q83" i="1"/>
  <c r="R83" i="1"/>
  <c r="S83" i="1"/>
  <c r="Q81" i="1"/>
  <c r="R81" i="1"/>
  <c r="S81" i="1"/>
  <c r="T81" i="1"/>
  <c r="Q80" i="1"/>
  <c r="R80" i="1"/>
  <c r="S80" i="1"/>
  <c r="T80" i="1"/>
  <c r="Q79" i="1"/>
  <c r="R79" i="1"/>
  <c r="S79" i="1"/>
  <c r="T79" i="1"/>
  <c r="F59" i="1" l="1"/>
  <c r="G59" i="1"/>
  <c r="H59" i="1"/>
  <c r="I59" i="1"/>
  <c r="J59" i="1"/>
  <c r="G35" i="1"/>
  <c r="G23" i="1"/>
  <c r="G8" i="1"/>
  <c r="G21" i="1"/>
  <c r="G20" i="1"/>
  <c r="G19" i="1"/>
  <c r="G18" i="1"/>
  <c r="G17" i="1"/>
  <c r="G12" i="1"/>
  <c r="G11" i="1"/>
  <c r="G9" i="1"/>
  <c r="G4" i="1"/>
  <c r="F35" i="1"/>
  <c r="F23" i="1"/>
  <c r="F4" i="1"/>
  <c r="F20" i="1"/>
  <c r="F19" i="1"/>
  <c r="F18" i="1"/>
  <c r="F17" i="1"/>
  <c r="F12" i="1"/>
  <c r="F11" i="1"/>
  <c r="F9" i="1"/>
  <c r="F8" i="1"/>
  <c r="S52" i="1"/>
  <c r="T52" i="1"/>
  <c r="S41" i="1"/>
  <c r="T41" i="1"/>
  <c r="U41" i="1"/>
  <c r="R30" i="1"/>
  <c r="S30" i="1"/>
  <c r="T30" i="1"/>
  <c r="U30" i="1"/>
  <c r="S10" i="1"/>
  <c r="T10" i="1"/>
  <c r="U10" i="1"/>
  <c r="J62" i="1" s="1"/>
  <c r="J64" i="1" s="1"/>
  <c r="R10" i="1"/>
  <c r="S6" i="1"/>
  <c r="T6" i="1"/>
  <c r="U6" i="1"/>
  <c r="R6" i="1"/>
  <c r="J13" i="1"/>
  <c r="J22" i="1" l="1"/>
  <c r="T83" i="1"/>
  <c r="G13" i="1"/>
  <c r="G22" i="1" s="1"/>
  <c r="T75" i="1"/>
  <c r="F13" i="1"/>
  <c r="F22" i="1" s="1"/>
  <c r="R59" i="1"/>
  <c r="R12" i="1" s="1"/>
  <c r="G49" i="1"/>
  <c r="G42" i="1"/>
  <c r="G26" i="1"/>
  <c r="S62" i="1"/>
  <c r="H63" i="1"/>
  <c r="H62" i="1"/>
  <c r="H13" i="1"/>
  <c r="H22" i="1" s="1"/>
  <c r="H24" i="1" s="1"/>
  <c r="H5" i="1"/>
  <c r="T53" i="1"/>
  <c r="I50" i="1"/>
  <c r="I49" i="1"/>
  <c r="I42" i="1"/>
  <c r="I13" i="1"/>
  <c r="I22" i="1" s="1"/>
  <c r="I26" i="1" s="1"/>
  <c r="I5" i="1"/>
  <c r="U62" i="1"/>
  <c r="I63" i="1"/>
  <c r="H42" i="1"/>
  <c r="E42" i="1"/>
  <c r="D42" i="1"/>
  <c r="J29" i="1"/>
  <c r="I29" i="1"/>
  <c r="H29" i="1"/>
  <c r="G29" i="1"/>
  <c r="F29" i="1"/>
  <c r="E29" i="1"/>
  <c r="D29" i="1"/>
  <c r="C29" i="1"/>
  <c r="E19" i="1"/>
  <c r="E13" i="1"/>
  <c r="D12" i="1"/>
  <c r="D13" i="1" s="1"/>
  <c r="C12" i="1"/>
  <c r="C13" i="1" s="1"/>
  <c r="G5" i="1"/>
  <c r="E5" i="1"/>
  <c r="D5" i="1"/>
  <c r="Q59" i="1"/>
  <c r="Q47" i="1"/>
  <c r="Q52" i="1" s="1"/>
  <c r="Q41" i="1"/>
  <c r="Q26" i="1"/>
  <c r="Q30" i="1" s="1"/>
  <c r="R47" i="1"/>
  <c r="R52" i="1" s="1"/>
  <c r="R39" i="1"/>
  <c r="R41" i="1" s="1"/>
  <c r="R62" i="1" s="1"/>
  <c r="U59" i="1"/>
  <c r="U12" i="1" s="1"/>
  <c r="T59" i="1"/>
  <c r="T12" i="1" s="1"/>
  <c r="S59" i="1"/>
  <c r="S12" i="1" s="1"/>
  <c r="P59" i="1"/>
  <c r="O59" i="1"/>
  <c r="N59" i="1"/>
  <c r="P52" i="1"/>
  <c r="O52" i="1"/>
  <c r="N52" i="1"/>
  <c r="U52" i="1"/>
  <c r="P41" i="1"/>
  <c r="O41" i="1"/>
  <c r="N41" i="1"/>
  <c r="O30" i="1"/>
  <c r="N30" i="1"/>
  <c r="N62" i="1" s="1"/>
  <c r="P20" i="1"/>
  <c r="P30" i="1" s="1"/>
  <c r="Q10" i="1"/>
  <c r="O10" i="1"/>
  <c r="P9" i="1"/>
  <c r="P8" i="1"/>
  <c r="N8" i="1"/>
  <c r="N10" i="1" s="1"/>
  <c r="Q6" i="1"/>
  <c r="P6" i="1"/>
  <c r="O6" i="1"/>
  <c r="N6" i="1"/>
  <c r="I14" i="1" l="1"/>
  <c r="G24" i="1"/>
  <c r="R53" i="1"/>
  <c r="Q53" i="1"/>
  <c r="H14" i="1"/>
  <c r="P53" i="1"/>
  <c r="T61" i="1"/>
  <c r="T13" i="1" s="1"/>
  <c r="G14" i="1"/>
  <c r="P10" i="1"/>
  <c r="O62" i="1"/>
  <c r="T62" i="1"/>
  <c r="Q61" i="1"/>
  <c r="Q13" i="1" s="1"/>
  <c r="Q62" i="1"/>
  <c r="O12" i="1"/>
  <c r="P62" i="1"/>
  <c r="P12" i="1"/>
  <c r="C22" i="1"/>
  <c r="C14" i="1"/>
  <c r="D22" i="1"/>
  <c r="D14" i="1"/>
  <c r="E22" i="1"/>
  <c r="E14" i="1"/>
  <c r="F14" i="1"/>
  <c r="J14" i="1"/>
  <c r="R61" i="1"/>
  <c r="R13" i="1" s="1"/>
  <c r="Q12" i="1"/>
  <c r="N61" i="1"/>
  <c r="N13" i="1" s="1"/>
  <c r="O53" i="1"/>
  <c r="S53" i="1"/>
  <c r="N12" i="1"/>
  <c r="U61" i="1"/>
  <c r="U53" i="1"/>
  <c r="N53" i="1"/>
  <c r="O61" i="1"/>
  <c r="O13" i="1" s="1"/>
  <c r="S61" i="1"/>
  <c r="S13" i="1" s="1"/>
  <c r="P61" i="1"/>
  <c r="P13" i="1" s="1"/>
  <c r="F49" i="1"/>
  <c r="F50" i="1" s="1"/>
  <c r="S71" i="1"/>
  <c r="U13" i="1" l="1"/>
  <c r="E15" i="1"/>
  <c r="D15" i="1"/>
  <c r="J30" i="1"/>
  <c r="J36" i="1" s="1"/>
  <c r="J24" i="1"/>
  <c r="I24" i="1"/>
  <c r="H26" i="1"/>
  <c r="H32" i="1" s="1"/>
  <c r="F26" i="1"/>
  <c r="F24" i="1"/>
  <c r="E26" i="1"/>
  <c r="E30" i="1" s="1"/>
  <c r="E24" i="1"/>
  <c r="D26" i="1"/>
  <c r="D30" i="1" s="1"/>
  <c r="D24" i="1"/>
  <c r="C26" i="1"/>
  <c r="C30" i="1" s="1"/>
  <c r="C24" i="1"/>
  <c r="T78" i="1"/>
  <c r="T77" i="1"/>
  <c r="T76" i="1"/>
  <c r="T71" i="1"/>
  <c r="T82" i="1"/>
  <c r="T68" i="1"/>
  <c r="C36" i="1" l="1"/>
  <c r="C31" i="1"/>
  <c r="D36" i="1"/>
  <c r="D31" i="1"/>
  <c r="D32" i="1" s="1"/>
  <c r="E36" i="1"/>
  <c r="E31" i="1"/>
  <c r="F30" i="1"/>
  <c r="F36" i="1" s="1"/>
  <c r="G32" i="1"/>
  <c r="G30" i="1"/>
  <c r="G36" i="1" s="1"/>
  <c r="H30" i="1"/>
  <c r="I30" i="1"/>
  <c r="I31" i="1" s="1"/>
  <c r="J31" i="1"/>
  <c r="I62" i="1"/>
  <c r="T74" i="1"/>
  <c r="G37" i="1" l="1"/>
  <c r="E37" i="1"/>
  <c r="E32" i="1"/>
  <c r="H31" i="1"/>
  <c r="H36" i="1"/>
  <c r="D37" i="1"/>
  <c r="I36" i="1"/>
  <c r="I38" i="1" s="1"/>
  <c r="G31" i="1"/>
  <c r="I37" i="1" l="1"/>
  <c r="H37" i="1"/>
  <c r="I54" i="1"/>
  <c r="I56" i="1" s="1"/>
  <c r="C55" i="1"/>
  <c r="D55" i="1"/>
  <c r="E55" i="1"/>
  <c r="F55" i="1"/>
  <c r="G55" i="1"/>
  <c r="H55" i="1"/>
  <c r="S77" i="1"/>
  <c r="S76" i="1"/>
  <c r="R71" i="1"/>
  <c r="Q71" i="1"/>
  <c r="F62" i="1"/>
  <c r="G50" i="1"/>
  <c r="I61" i="1"/>
  <c r="I64" i="1" s="1"/>
  <c r="O78" i="1"/>
  <c r="P71" i="1"/>
  <c r="E49" i="1"/>
  <c r="E50" i="1" s="1"/>
  <c r="G61" i="1"/>
  <c r="H61" i="1"/>
  <c r="H49" i="1"/>
  <c r="H50" i="1" s="1"/>
  <c r="C49" i="1"/>
  <c r="C50" i="1" s="1"/>
  <c r="D49" i="1"/>
  <c r="D50" i="1" s="1"/>
  <c r="C54" i="1"/>
  <c r="D54" i="1"/>
  <c r="D56" i="1" s="1"/>
  <c r="E54" i="1"/>
  <c r="F54" i="1"/>
  <c r="G54" i="1"/>
  <c r="H54" i="1"/>
  <c r="C61" i="1"/>
  <c r="D61" i="1"/>
  <c r="E61" i="1"/>
  <c r="F61" i="1"/>
  <c r="C63" i="1"/>
  <c r="D63" i="1"/>
  <c r="E63" i="1"/>
  <c r="F63" i="1"/>
  <c r="G63" i="1"/>
  <c r="S65" i="1"/>
  <c r="S68" i="1" s="1"/>
  <c r="S78" i="1"/>
  <c r="C6" i="10"/>
  <c r="C10" i="10" s="1"/>
  <c r="D6" i="10"/>
  <c r="E6" i="10"/>
  <c r="F6" i="10"/>
  <c r="B7" i="10"/>
  <c r="C7" i="10"/>
  <c r="D7" i="10"/>
  <c r="E7" i="10"/>
  <c r="F7" i="10"/>
  <c r="B8" i="10"/>
  <c r="C8" i="10"/>
  <c r="D8" i="10"/>
  <c r="E8" i="10"/>
  <c r="F8" i="10"/>
  <c r="B9" i="10"/>
  <c r="C9" i="10"/>
  <c r="D9" i="10"/>
  <c r="E9" i="10"/>
  <c r="F9" i="10"/>
  <c r="B11" i="10"/>
  <c r="C11" i="10"/>
  <c r="D11" i="10"/>
  <c r="E11" i="10"/>
  <c r="F11" i="10"/>
  <c r="B12" i="10"/>
  <c r="C12" i="10"/>
  <c r="D12" i="10"/>
  <c r="E12" i="10"/>
  <c r="F12" i="10"/>
  <c r="B14" i="10"/>
  <c r="C14" i="10"/>
  <c r="D14" i="10"/>
  <c r="E14" i="10"/>
  <c r="F14" i="10"/>
  <c r="B18" i="10"/>
  <c r="B38" i="10" s="1"/>
  <c r="C18" i="10"/>
  <c r="C38" i="10" s="1"/>
  <c r="D18" i="10"/>
  <c r="D38" i="10" s="1"/>
  <c r="E18" i="10"/>
  <c r="E38" i="10" s="1"/>
  <c r="F18" i="10"/>
  <c r="F38" i="10" s="1"/>
  <c r="B20" i="10"/>
  <c r="C20" i="10"/>
  <c r="D20" i="10"/>
  <c r="E20" i="10"/>
  <c r="F20" i="10"/>
  <c r="B21" i="10"/>
  <c r="C21" i="10"/>
  <c r="D21" i="10"/>
  <c r="E21" i="10"/>
  <c r="F21" i="10"/>
  <c r="B27" i="10"/>
  <c r="C27" i="10"/>
  <c r="D27" i="10"/>
  <c r="E27" i="10"/>
  <c r="F27" i="10"/>
  <c r="B28" i="10"/>
  <c r="C28" i="10"/>
  <c r="D28" i="10"/>
  <c r="E28" i="10"/>
  <c r="F28" i="10"/>
  <c r="B29" i="10"/>
  <c r="C29" i="10"/>
  <c r="D29" i="10"/>
  <c r="E29" i="10"/>
  <c r="F29" i="10"/>
  <c r="B31" i="10"/>
  <c r="C31" i="10"/>
  <c r="D31" i="10"/>
  <c r="E31" i="10"/>
  <c r="F31" i="10"/>
  <c r="B32" i="10"/>
  <c r="C32" i="10"/>
  <c r="D32" i="10"/>
  <c r="E32" i="10"/>
  <c r="F32" i="10"/>
  <c r="B33" i="10"/>
  <c r="C33" i="10"/>
  <c r="D33" i="10"/>
  <c r="E33" i="10"/>
  <c r="F33" i="10"/>
  <c r="B34" i="10"/>
  <c r="C34" i="10"/>
  <c r="D34" i="10"/>
  <c r="E34" i="10"/>
  <c r="F34" i="10"/>
  <c r="C37" i="10"/>
  <c r="D37" i="10"/>
  <c r="E37" i="10"/>
  <c r="F37" i="10"/>
  <c r="B39" i="10"/>
  <c r="C39" i="10"/>
  <c r="D39" i="10"/>
  <c r="E39" i="10"/>
  <c r="F39" i="10"/>
  <c r="B40" i="10"/>
  <c r="C40" i="10"/>
  <c r="D40" i="10"/>
  <c r="E40" i="10"/>
  <c r="F40" i="10"/>
  <c r="B41" i="10"/>
  <c r="C41" i="10"/>
  <c r="D41" i="10"/>
  <c r="E41" i="10"/>
  <c r="F41" i="10"/>
  <c r="B42" i="10"/>
  <c r="C42" i="10"/>
  <c r="D42" i="10"/>
  <c r="E42" i="10"/>
  <c r="F42" i="10"/>
  <c r="B43" i="10"/>
  <c r="C43" i="10"/>
  <c r="D43" i="10"/>
  <c r="E43" i="10"/>
  <c r="F43" i="10"/>
  <c r="B44" i="10"/>
  <c r="C44" i="10"/>
  <c r="D44" i="10"/>
  <c r="E44" i="10"/>
  <c r="F44" i="10"/>
  <c r="B45" i="10"/>
  <c r="C45" i="10"/>
  <c r="D45" i="10"/>
  <c r="E45" i="10"/>
  <c r="F45" i="10"/>
  <c r="B46" i="10"/>
  <c r="C46" i="10"/>
  <c r="D46" i="10"/>
  <c r="E46" i="10"/>
  <c r="F46" i="10"/>
  <c r="B47" i="10"/>
  <c r="C47" i="10"/>
  <c r="D47" i="10"/>
  <c r="E47" i="10"/>
  <c r="F47" i="10"/>
  <c r="B48" i="10"/>
  <c r="C48" i="10"/>
  <c r="D48" i="10"/>
  <c r="E48" i="10"/>
  <c r="F48" i="10"/>
  <c r="B49" i="10"/>
  <c r="C49" i="10"/>
  <c r="D49" i="10"/>
  <c r="E49" i="10"/>
  <c r="F49" i="10"/>
  <c r="B50" i="10"/>
  <c r="C50" i="10"/>
  <c r="D50" i="10"/>
  <c r="E50" i="10"/>
  <c r="F50" i="10"/>
  <c r="B51" i="10"/>
  <c r="C51" i="10"/>
  <c r="D51" i="10"/>
  <c r="E51" i="10"/>
  <c r="F51" i="10"/>
  <c r="B37" i="10"/>
  <c r="B6" i="10"/>
  <c r="R77" i="1"/>
  <c r="R76" i="1"/>
  <c r="O71" i="1"/>
  <c r="N71" i="1"/>
  <c r="P79" i="1"/>
  <c r="P78" i="1"/>
  <c r="Q78" i="1"/>
  <c r="N76" i="1"/>
  <c r="Q76" i="1"/>
  <c r="N77" i="1"/>
  <c r="O77" i="1"/>
  <c r="P77" i="1"/>
  <c r="Q77" i="1"/>
  <c r="Q65" i="1"/>
  <c r="Q68" i="1" s="1"/>
  <c r="P65" i="1"/>
  <c r="P68" i="1" s="1"/>
  <c r="O65" i="1"/>
  <c r="O68" i="1" s="1"/>
  <c r="N65" i="1"/>
  <c r="N68" i="1" s="1"/>
  <c r="R65" i="1"/>
  <c r="R68" i="1" s="1"/>
  <c r="O76" i="1"/>
  <c r="P76" i="1"/>
  <c r="C62" i="1"/>
  <c r="O82" i="1"/>
  <c r="O66" i="1"/>
  <c r="O69" i="1" s="1"/>
  <c r="R82" i="1"/>
  <c r="Q66" i="1"/>
  <c r="Q69" i="1" s="1"/>
  <c r="P66" i="1"/>
  <c r="P69" i="1" s="1"/>
  <c r="G56" i="1" l="1"/>
  <c r="H56" i="1"/>
  <c r="E19" i="10"/>
  <c r="C13" i="10"/>
  <c r="F19" i="10"/>
  <c r="D13" i="10"/>
  <c r="D10" i="10"/>
  <c r="B10" i="10"/>
  <c r="D19" i="10"/>
  <c r="C19" i="10"/>
  <c r="B19" i="10"/>
  <c r="B13" i="10"/>
  <c r="F10" i="10"/>
  <c r="E10" i="10"/>
  <c r="T70" i="1"/>
  <c r="T66" i="1"/>
  <c r="T69" i="1" s="1"/>
  <c r="E51" i="1"/>
  <c r="E56" i="1"/>
  <c r="N82" i="1"/>
  <c r="N78" i="1"/>
  <c r="N74" i="1"/>
  <c r="G62" i="1"/>
  <c r="G64" i="1" s="1"/>
  <c r="R70" i="1" s="1"/>
  <c r="O79" i="1"/>
  <c r="O80" i="1" s="1"/>
  <c r="P73" i="1"/>
  <c r="D62" i="1"/>
  <c r="D64" i="1" s="1"/>
  <c r="O70" i="1" s="1"/>
  <c r="C51" i="1"/>
  <c r="Q75" i="1"/>
  <c r="N79" i="1"/>
  <c r="R78" i="1"/>
  <c r="S75" i="1"/>
  <c r="C64" i="1"/>
  <c r="N70" i="1" s="1"/>
  <c r="P82" i="1"/>
  <c r="Q73" i="1"/>
  <c r="P83" i="1"/>
  <c r="P80" i="1"/>
  <c r="F64" i="1"/>
  <c r="Q70" i="1" s="1"/>
  <c r="O81" i="1"/>
  <c r="N81" i="1"/>
  <c r="P81" i="1"/>
  <c r="N66" i="1"/>
  <c r="N69" i="1" s="1"/>
  <c r="S74" i="1"/>
  <c r="Q74" i="1"/>
  <c r="R66" i="1"/>
  <c r="R69" i="1" s="1"/>
  <c r="O75" i="1"/>
  <c r="F13" i="10"/>
  <c r="S82" i="1"/>
  <c r="O74" i="1"/>
  <c r="Q82" i="1"/>
  <c r="R74" i="1"/>
  <c r="R75" i="1"/>
  <c r="E13" i="10"/>
  <c r="N75" i="1"/>
  <c r="S66" i="1"/>
  <c r="S69" i="1" s="1"/>
  <c r="F56" i="1"/>
  <c r="C56" i="1"/>
  <c r="H64" i="1" l="1"/>
  <c r="S70" i="1" s="1"/>
  <c r="R73" i="1"/>
  <c r="R72" i="1"/>
  <c r="N72" i="1"/>
  <c r="N83" i="1"/>
  <c r="N73" i="1"/>
  <c r="T73" i="1"/>
  <c r="T72" i="1"/>
  <c r="N80" i="1"/>
  <c r="N87" i="1"/>
  <c r="P74" i="1"/>
  <c r="N86" i="1"/>
  <c r="P75" i="1"/>
  <c r="D51" i="1"/>
  <c r="E62" i="1"/>
  <c r="E64" i="1" s="1"/>
  <c r="P70" i="1" s="1"/>
  <c r="P86" i="1"/>
  <c r="S73" i="1"/>
  <c r="O87" i="1"/>
  <c r="O86" i="1"/>
  <c r="Q87" i="1"/>
  <c r="Q86" i="1"/>
  <c r="S87" i="1"/>
  <c r="S86" i="1"/>
  <c r="R86" i="1"/>
  <c r="R87" i="1"/>
  <c r="U86" i="1"/>
  <c r="U87" i="1"/>
  <c r="P72" i="1" l="1"/>
  <c r="O83" i="1"/>
  <c r="O73" i="1"/>
  <c r="P87" i="1"/>
  <c r="Q72" i="1" l="1"/>
  <c r="S72" i="1"/>
  <c r="O7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SHAH</author>
    <author>Admin</author>
  </authors>
  <commentList>
    <comment ref="C12" authorId="0" shapeId="0" xr:uid="{00000000-0006-0000-0100-000001000000}">
      <text>
        <r>
          <rPr>
            <b/>
            <sz val="9"/>
            <color indexed="81"/>
            <rFont val="Tahoma"/>
            <family val="2"/>
          </rPr>
          <t>Includes excise duty on sale of goods INR 39.9 Mn</t>
        </r>
      </text>
    </comment>
    <comment ref="D12" authorId="0" shapeId="0" xr:uid="{00000000-0006-0000-0100-000002000000}">
      <text>
        <r>
          <rPr>
            <b/>
            <sz val="9"/>
            <color indexed="81"/>
            <rFont val="Tahoma"/>
            <family val="2"/>
          </rPr>
          <t>Includes excise duty on sale of goods INR 14.4 Mn</t>
        </r>
      </text>
    </comment>
    <comment ref="E19" authorId="1" shapeId="0" xr:uid="{00000000-0006-0000-0100-000003000000}">
      <text>
        <r>
          <rPr>
            <b/>
            <sz val="9"/>
            <color indexed="81"/>
            <rFont val="Tahoma"/>
            <family val="2"/>
          </rPr>
          <t xml:space="preserve">Includes other borrowing cost of Rs. 2.6 MN (includes loan processing charges, guarantee charges, loan facilitation charges and other ancillary cost) </t>
        </r>
      </text>
    </comment>
    <comment ref="D20" authorId="0" shapeId="0" xr:uid="{00000000-0006-0000-0100-000004000000}">
      <text>
        <r>
          <rPr>
            <b/>
            <sz val="9"/>
            <color indexed="81"/>
            <rFont val="Tahoma"/>
            <family val="2"/>
          </rPr>
          <t>''Exceptional Items' of INR 369 lakhs represents net profit on sale of leasehold
rights on land and other assets.</t>
        </r>
      </text>
    </comment>
    <comment ref="E20" authorId="0" shapeId="0" xr:uid="{00000000-0006-0000-0100-000005000000}">
      <text>
        <r>
          <rPr>
            <b/>
            <sz val="9"/>
            <color indexed="81"/>
            <rFont val="Tahoma"/>
            <family val="2"/>
          </rPr>
          <t>In March 2019, the Company has divested its equity in its subsidiary M/s Benani Foods Pvt Ltd which resulted in exceptional loss of INR 358 lakhs.</t>
        </r>
      </text>
    </comment>
    <comment ref="H20" authorId="0" shapeId="0" xr:uid="{00000000-0006-0000-0100-000007000000}">
      <text>
        <r>
          <rPr>
            <b/>
            <sz val="9"/>
            <color indexed="81"/>
            <rFont val="Tahoma"/>
            <family val="2"/>
          </rPr>
          <t>‘Exceptional item of ` 49 lakhs (net) comprises (a) an additional impairment charge of ` 331 lakhs based on Company’s
assessment of the business rights asset related to Customer Support Services, duly considering the changes arising out
of post pandemic trends, evolving business models, underlying revenue streams and; (b) liabilities no longer required written back of ` 380 lakhs related to the Fulfillment &amp; distribution services which was since combined with Products &amp;
Solutions.</t>
        </r>
      </text>
    </comment>
    <comment ref="L29" authorId="0" shapeId="0" xr:uid="{00000000-0006-0000-0100-000008000000}">
      <text>
        <r>
          <rPr>
            <b/>
            <sz val="9"/>
            <color indexed="81"/>
            <rFont val="Tahoma"/>
            <family val="2"/>
          </rPr>
          <t>Includes an amount of INR 2,500 lakhs paid to TVS Investments Private Limited as Indemnity Deposit.</t>
        </r>
      </text>
    </comment>
  </commentList>
</comments>
</file>

<file path=xl/sharedStrings.xml><?xml version="1.0" encoding="utf-8"?>
<sst xmlns="http://schemas.openxmlformats.org/spreadsheetml/2006/main" count="239" uniqueCount="164">
  <si>
    <t>March Year Ended (INR Mn)</t>
  </si>
  <si>
    <t>FY19</t>
  </si>
  <si>
    <t>FY20</t>
  </si>
  <si>
    <t>Share Capital</t>
  </si>
  <si>
    <t>Reserves &amp; Surplus</t>
  </si>
  <si>
    <t>Networth/Shareholders' Fund/ Book Value</t>
  </si>
  <si>
    <t>Long Term Debt</t>
  </si>
  <si>
    <t>Short Term Debt</t>
  </si>
  <si>
    <t>Gross Block</t>
  </si>
  <si>
    <t>NON-CURRENT ASSETS</t>
  </si>
  <si>
    <t>Property, Plant and Equipment</t>
  </si>
  <si>
    <t>Capital work-in-progress</t>
  </si>
  <si>
    <t>Financial assets</t>
  </si>
  <si>
    <t>Other financial assets</t>
  </si>
  <si>
    <t>Other non-current assets</t>
  </si>
  <si>
    <t>CURRENT ASSETS, LOANS &amp; ADVANCES</t>
  </si>
  <si>
    <t>Inventories</t>
  </si>
  <si>
    <t>Trade Receivable</t>
  </si>
  <si>
    <t>Investments</t>
  </si>
  <si>
    <t>Cash and cash equivalents</t>
  </si>
  <si>
    <t>Other bank balances</t>
  </si>
  <si>
    <t>Other Current Assets</t>
  </si>
  <si>
    <t>CURRENT LIABILITIES &amp; PROVISIONS</t>
  </si>
  <si>
    <t>Trade Payables</t>
  </si>
  <si>
    <t>Current Tax Liabilities (Net)</t>
  </si>
  <si>
    <t>NET CURRENT ASSETS</t>
  </si>
  <si>
    <t>TOTAL ASSETS</t>
  </si>
  <si>
    <t>TOTAL LIABILITIES</t>
  </si>
  <si>
    <t>Other Non Current liabilities</t>
  </si>
  <si>
    <t>Provisions</t>
  </si>
  <si>
    <t>Other Financial Liabilities</t>
  </si>
  <si>
    <t>Other Current Liabilities</t>
  </si>
  <si>
    <t>Check I</t>
  </si>
  <si>
    <t>Check II</t>
  </si>
  <si>
    <t>FY18</t>
  </si>
  <si>
    <t>FY17</t>
  </si>
  <si>
    <t>Income</t>
  </si>
  <si>
    <t>Growth (%)</t>
  </si>
  <si>
    <t>CAGR (%) - 3 Years</t>
  </si>
  <si>
    <t>Expenditure</t>
  </si>
  <si>
    <t>Employee Benefit Expense</t>
  </si>
  <si>
    <t>Other Expenses</t>
  </si>
  <si>
    <t>EBITDA</t>
  </si>
  <si>
    <t>EBITDA margin (%)</t>
  </si>
  <si>
    <t>Other Income</t>
  </si>
  <si>
    <t>Depreciation</t>
  </si>
  <si>
    <t>PBT</t>
  </si>
  <si>
    <t>Tax</t>
  </si>
  <si>
    <t>Effective tax rate (%)</t>
  </si>
  <si>
    <t>PAT margin (%)</t>
  </si>
  <si>
    <t>Other Comprehensive Income</t>
  </si>
  <si>
    <t>EPS</t>
  </si>
  <si>
    <t>FY21</t>
  </si>
  <si>
    <t>Changes in Inventories of FG, SIT and WIP</t>
  </si>
  <si>
    <t>Finance Cost</t>
  </si>
  <si>
    <t>Total  Comprehensive Income</t>
  </si>
  <si>
    <t>Basic</t>
  </si>
  <si>
    <t>Diluted</t>
  </si>
  <si>
    <t>CASH FLOW STATEMENT</t>
  </si>
  <si>
    <t>Cash and Cash Equivalents at Beginning of the year</t>
  </si>
  <si>
    <t>Cash Flow From Operating Activities</t>
  </si>
  <si>
    <t>Cash Flow from Investing Activities</t>
  </si>
  <si>
    <t>Cash Flow From Financing Activities</t>
  </si>
  <si>
    <t>Net Inc./(Dec.) in Cash and Cash Equivalent</t>
  </si>
  <si>
    <t>Cash and Cash Equivalents at End of the year</t>
  </si>
  <si>
    <t>Our Calculations</t>
  </si>
  <si>
    <t xml:space="preserve">Operating Cash Inflow </t>
  </si>
  <si>
    <t>Capital Expenditure</t>
  </si>
  <si>
    <t>FCF</t>
  </si>
  <si>
    <t>No. of Shares</t>
  </si>
  <si>
    <t>Total Debt</t>
  </si>
  <si>
    <t>Market Cap (INR Mn)</t>
  </si>
  <si>
    <t>Enterprise Value</t>
  </si>
  <si>
    <t>EPS (Rs)</t>
  </si>
  <si>
    <t>BVPS (Rs)</t>
  </si>
  <si>
    <t>DPS (Rs)</t>
  </si>
  <si>
    <t>P/E (x)</t>
  </si>
  <si>
    <t>P/BV (x)</t>
  </si>
  <si>
    <t>EV/EBIDTA (x)</t>
  </si>
  <si>
    <t>RoE (%)</t>
  </si>
  <si>
    <t>RoCE (%)</t>
  </si>
  <si>
    <t>Gross D/E(x)</t>
  </si>
  <si>
    <t>Net D/E (x)</t>
  </si>
  <si>
    <t>Dividend Yield</t>
  </si>
  <si>
    <t>Debtor Days</t>
  </si>
  <si>
    <t>Creditor Days</t>
  </si>
  <si>
    <t>Inventory Days</t>
  </si>
  <si>
    <t>Cash Conversion cycle</t>
  </si>
  <si>
    <t>Working Capital Days</t>
  </si>
  <si>
    <t>Interest Cost</t>
  </si>
  <si>
    <t>Interest Coverage</t>
  </si>
  <si>
    <t>Fixed Asset Tunover</t>
  </si>
  <si>
    <t>PAT from Continuing Operations</t>
  </si>
  <si>
    <t>PBT from Discontinuing Operations</t>
  </si>
  <si>
    <t>PAT from Discontinuing Operations</t>
  </si>
  <si>
    <t>Net Profit for the Year</t>
  </si>
  <si>
    <t>PROPERTY, PLANT &amp; EQUIPMENT HELD FOR SALE</t>
  </si>
  <si>
    <t>Income Statement</t>
  </si>
  <si>
    <t>Kriti</t>
  </si>
  <si>
    <t>Prince</t>
  </si>
  <si>
    <t>Apollo</t>
  </si>
  <si>
    <t>Finolex</t>
  </si>
  <si>
    <t>Astral</t>
  </si>
  <si>
    <t>Supreme</t>
  </si>
  <si>
    <t>Market Cap</t>
  </si>
  <si>
    <t>Interest Coverage Ratio</t>
  </si>
  <si>
    <t>No. of Shares (in Mn)</t>
  </si>
  <si>
    <t>Face Value per share (INR)</t>
  </si>
  <si>
    <t>Interest Cost (%)</t>
  </si>
  <si>
    <t>Net Debt/Equity</t>
  </si>
  <si>
    <t>Gross Debt/Equity</t>
  </si>
  <si>
    <t>Cash Conversion Cycle</t>
  </si>
  <si>
    <t>Payable days</t>
  </si>
  <si>
    <t>Receivable days</t>
  </si>
  <si>
    <t>Fixed Asset Turnover</t>
  </si>
  <si>
    <t>ROCE</t>
  </si>
  <si>
    <t>ROE</t>
  </si>
  <si>
    <t>Book Value per Share</t>
  </si>
  <si>
    <t>Book Value</t>
  </si>
  <si>
    <t>OPERATIONAL RATIOS COMPARISION</t>
  </si>
  <si>
    <t>EV/ EBITDA</t>
  </si>
  <si>
    <t>Price:Book Value</t>
  </si>
  <si>
    <t>Stock P:E</t>
  </si>
  <si>
    <t>CFO</t>
  </si>
  <si>
    <t>Cash Flow</t>
  </si>
  <si>
    <t>Short Term</t>
  </si>
  <si>
    <t>Long Term</t>
  </si>
  <si>
    <t>Total Networth</t>
  </si>
  <si>
    <t>Balance Sheet Comparision</t>
  </si>
  <si>
    <t>PAT Margin (%)</t>
  </si>
  <si>
    <t>3 Years CAGR (%)</t>
  </si>
  <si>
    <t>PAT</t>
  </si>
  <si>
    <t>EBITDA Margin (%)</t>
  </si>
  <si>
    <t>Operating Revenue</t>
  </si>
  <si>
    <t>P&amp;L Comparision</t>
  </si>
  <si>
    <t>INR Mn</t>
  </si>
  <si>
    <t>Peer Comparison Analysis - KRITI INDUSTRIES (INDIA) LIMITED</t>
  </si>
  <si>
    <t>FY21 Consol</t>
  </si>
  <si>
    <t>CMP (As on 31.03.2021)</t>
  </si>
  <si>
    <t>FY22</t>
  </si>
  <si>
    <t>Intangible Assets</t>
  </si>
  <si>
    <t>Intangible Assets under development</t>
  </si>
  <si>
    <t>Non Current Tax Asset (Net of provision)</t>
  </si>
  <si>
    <t>NON-CURRENT LIABILITIES</t>
  </si>
  <si>
    <t>Deferred Tax Liabilities (Net)</t>
  </si>
  <si>
    <t>Deferred Tax Assets (Net)</t>
  </si>
  <si>
    <t>Capital Employed</t>
  </si>
  <si>
    <t>Consolidated Income Statement</t>
  </si>
  <si>
    <t>Consolidated Balance Sheet</t>
  </si>
  <si>
    <t>CMP(Rs) (As per Stock Price at BSE)</t>
  </si>
  <si>
    <t>Minority Interest / Non Controlling Interest</t>
  </si>
  <si>
    <t xml:space="preserve">Total Loans </t>
  </si>
  <si>
    <t>Cash &amp; cash equivalent and other bank balance</t>
  </si>
  <si>
    <t>FY23</t>
  </si>
  <si>
    <t>Sunteck Realty</t>
  </si>
  <si>
    <t>Cost of Construction and Development</t>
  </si>
  <si>
    <t>Investment Property</t>
  </si>
  <si>
    <t>Share of profit/(loss) of joint venture</t>
  </si>
  <si>
    <t>Loans</t>
  </si>
  <si>
    <t>Intangibles In joint venture accounted using equity method</t>
  </si>
  <si>
    <t>Liabilities towards land owners for Joint development arrangements</t>
  </si>
  <si>
    <t>Othe Financial liabilities</t>
  </si>
  <si>
    <t>Exceptional Item-Expense</t>
  </si>
  <si>
    <t>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</si>
</sst>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0.00_);_(* \(#,##0.00\);_(* &quot;-&quot;??_);_(@_)"/>
    <numFmt numFmtId="165" formatCode="0.0%"/>
    <numFmt numFmtId="166" formatCode="_ * #,##0_ ;_ * \-#,##0_ ;_ * &quot;-&quot;??_ ;_ @_ "/>
    <numFmt numFmtId="167" formatCode="_(* #,##0.0_);_(* \(#,##0.0\);_(* &quot;-&quot;??_);_(@_)"/>
    <numFmt numFmtId="168" formatCode="_(* #,##0_);_(* \(#,##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val="double"/>
      <sz val="11"/>
      <color theme="1"/>
      <name val="Calibri"/>
      <family val="2"/>
      <scheme val="minor"/>
    </font>
    <font>
      <sz val="11"/>
      <name val="Calibri"/>
      <family val="2"/>
      <scheme val="minor"/>
    </font>
    <font>
      <i/>
      <sz val="11"/>
      <color rgb="FF0070C0"/>
      <name val="Calibri"/>
      <family val="2"/>
      <scheme val="minor"/>
    </font>
    <font>
      <sz val="11"/>
      <color rgb="FF0070C0"/>
      <name val="Calibri"/>
      <family val="2"/>
      <scheme val="minor"/>
    </font>
    <font>
      <b/>
      <sz val="14"/>
      <color theme="1"/>
      <name val="Calibri"/>
      <family val="2"/>
      <scheme val="minor"/>
    </font>
    <font>
      <b/>
      <i/>
      <sz val="11"/>
      <color theme="1"/>
      <name val="Calibri"/>
      <family val="2"/>
      <scheme val="minor"/>
    </font>
    <font>
      <i/>
      <sz val="11"/>
      <color theme="1"/>
      <name val="Calibri"/>
      <family val="2"/>
      <scheme val="minor"/>
    </font>
    <font>
      <b/>
      <sz val="12"/>
      <name val="Calibri"/>
      <family val="2"/>
      <scheme val="minor"/>
    </font>
    <font>
      <b/>
      <sz val="12"/>
      <color theme="1"/>
      <name val="Calibri"/>
      <family val="2"/>
      <scheme val="minor"/>
    </font>
    <font>
      <b/>
      <sz val="9"/>
      <color indexed="81"/>
      <name val="Tahoma"/>
      <family val="2"/>
    </font>
  </fonts>
  <fills count="14">
    <fill>
      <patternFill patternType="none"/>
    </fill>
    <fill>
      <patternFill patternType="gray125"/>
    </fill>
    <fill>
      <patternFill patternType="solid">
        <fgColor theme="6"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rgb="FFFF00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1"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141">
    <xf numFmtId="0" fontId="0" fillId="0" borderId="0" xfId="0"/>
    <xf numFmtId="43" fontId="0" fillId="0" borderId="0" xfId="1" applyFont="1"/>
    <xf numFmtId="0" fontId="0" fillId="0" borderId="0" xfId="0" applyAlignment="1">
      <alignment vertical="top"/>
    </xf>
    <xf numFmtId="0" fontId="0" fillId="0" borderId="1" xfId="0" applyBorder="1" applyAlignment="1">
      <alignment vertical="top"/>
    </xf>
    <xf numFmtId="0" fontId="0" fillId="6" borderId="0" xfId="0" applyFill="1"/>
    <xf numFmtId="0" fontId="0" fillId="3" borderId="0" xfId="0" applyFill="1" applyAlignment="1">
      <alignment horizontal="center"/>
    </xf>
    <xf numFmtId="0" fontId="0" fillId="7" borderId="0" xfId="0" applyFill="1"/>
    <xf numFmtId="43" fontId="0" fillId="7" borderId="0" xfId="1" applyFont="1" applyFill="1"/>
    <xf numFmtId="165" fontId="0" fillId="7" borderId="0" xfId="2" applyNumberFormat="1" applyFont="1" applyFill="1"/>
    <xf numFmtId="10" fontId="0" fillId="7" borderId="0" xfId="2" applyNumberFormat="1" applyFont="1" applyFill="1"/>
    <xf numFmtId="43" fontId="0" fillId="7" borderId="0" xfId="1" applyFont="1" applyFill="1" applyAlignment="1">
      <alignment horizontal="right"/>
    </xf>
    <xf numFmtId="0" fontId="0" fillId="9" borderId="0" xfId="0" applyFill="1" applyAlignment="1">
      <alignment vertical="top"/>
    </xf>
    <xf numFmtId="0" fontId="5" fillId="9" borderId="0" xfId="0" applyFont="1" applyFill="1" applyAlignment="1">
      <alignment vertical="top"/>
    </xf>
    <xf numFmtId="165" fontId="0" fillId="9" borderId="1" xfId="2" applyNumberFormat="1" applyFont="1" applyFill="1" applyBorder="1" applyAlignment="1">
      <alignment vertical="top"/>
    </xf>
    <xf numFmtId="0" fontId="0" fillId="9" borderId="1" xfId="0" applyFill="1" applyBorder="1" applyAlignment="1">
      <alignment vertical="top"/>
    </xf>
    <xf numFmtId="164" fontId="0" fillId="0" borderId="1" xfId="0" applyNumberFormat="1" applyBorder="1" applyAlignment="1">
      <alignment vertical="top"/>
    </xf>
    <xf numFmtId="167" fontId="0" fillId="0" borderId="1" xfId="0" applyNumberFormat="1" applyBorder="1" applyAlignment="1">
      <alignment vertical="top"/>
    </xf>
    <xf numFmtId="168" fontId="0" fillId="0" borderId="1" xfId="0" applyNumberFormat="1" applyBorder="1" applyAlignment="1">
      <alignment vertical="top"/>
    </xf>
    <xf numFmtId="168" fontId="0" fillId="8" borderId="1" xfId="0" applyNumberFormat="1" applyFill="1" applyBorder="1" applyAlignment="1">
      <alignment vertical="top"/>
    </xf>
    <xf numFmtId="0" fontId="2" fillId="9" borderId="1" xfId="0" applyFont="1" applyFill="1" applyBorder="1" applyAlignment="1">
      <alignment vertical="top"/>
    </xf>
    <xf numFmtId="0" fontId="2" fillId="0" borderId="1" xfId="0" applyFont="1" applyBorder="1" applyAlignment="1">
      <alignment vertical="top"/>
    </xf>
    <xf numFmtId="0" fontId="5" fillId="9" borderId="1" xfId="0" applyFont="1" applyFill="1" applyBorder="1" applyAlignment="1">
      <alignment vertical="top"/>
    </xf>
    <xf numFmtId="165" fontId="0" fillId="9" borderId="1" xfId="0" applyNumberFormat="1" applyFill="1" applyBorder="1" applyAlignment="1">
      <alignment vertical="top"/>
    </xf>
    <xf numFmtId="165" fontId="0" fillId="0" borderId="1" xfId="0" applyNumberFormat="1" applyBorder="1" applyAlignment="1">
      <alignment vertical="top"/>
    </xf>
    <xf numFmtId="0" fontId="2" fillId="9" borderId="0" xfId="0" applyFont="1" applyFill="1" applyAlignment="1">
      <alignment vertical="top"/>
    </xf>
    <xf numFmtId="43" fontId="2" fillId="9" borderId="1" xfId="3" applyFont="1" applyFill="1" applyBorder="1" applyAlignment="1">
      <alignment vertical="top"/>
    </xf>
    <xf numFmtId="43" fontId="2" fillId="0" borderId="1" xfId="3" applyFont="1" applyFill="1" applyBorder="1" applyAlignment="1">
      <alignment vertical="top"/>
    </xf>
    <xf numFmtId="166" fontId="0" fillId="0" borderId="1" xfId="3" applyNumberFormat="1" applyFont="1" applyFill="1" applyBorder="1" applyAlignment="1">
      <alignment vertical="top"/>
    </xf>
    <xf numFmtId="0" fontId="5" fillId="0" borderId="1" xfId="0" applyFont="1" applyBorder="1" applyAlignment="1">
      <alignment vertical="top"/>
    </xf>
    <xf numFmtId="164" fontId="1" fillId="0" borderId="1" xfId="5" applyFont="1" applyFill="1" applyBorder="1" applyAlignment="1">
      <alignment vertical="top"/>
    </xf>
    <xf numFmtId="0" fontId="0" fillId="8" borderId="1" xfId="0" applyFill="1" applyBorder="1" applyAlignment="1">
      <alignment vertical="top"/>
    </xf>
    <xf numFmtId="164" fontId="0" fillId="0" borderId="1" xfId="5" applyFont="1" applyFill="1" applyBorder="1" applyAlignment="1">
      <alignment vertical="top"/>
    </xf>
    <xf numFmtId="0" fontId="0" fillId="9" borderId="1" xfId="0" applyFill="1" applyBorder="1" applyAlignment="1">
      <alignment horizontal="right" vertical="top"/>
    </xf>
    <xf numFmtId="164" fontId="2" fillId="0" borderId="1" xfId="0" applyNumberFormat="1" applyFont="1" applyBorder="1" applyAlignment="1">
      <alignment vertical="top"/>
    </xf>
    <xf numFmtId="10" fontId="2" fillId="9" borderId="1" xfId="2" applyNumberFormat="1" applyFont="1" applyFill="1" applyBorder="1" applyAlignment="1">
      <alignment vertical="top"/>
    </xf>
    <xf numFmtId="10" fontId="2" fillId="0" borderId="1" xfId="2" applyNumberFormat="1" applyFont="1" applyFill="1" applyBorder="1" applyAlignment="1">
      <alignment vertical="top"/>
    </xf>
    <xf numFmtId="165" fontId="5" fillId="9" borderId="1" xfId="2" applyNumberFormat="1" applyFont="1" applyFill="1" applyBorder="1" applyAlignment="1">
      <alignment vertical="top"/>
    </xf>
    <xf numFmtId="165" fontId="5" fillId="0" borderId="1" xfId="2" applyNumberFormat="1" applyFont="1" applyFill="1" applyBorder="1" applyAlignment="1">
      <alignment vertical="top"/>
    </xf>
    <xf numFmtId="164" fontId="2" fillId="9" borderId="1" xfId="0" applyNumberFormat="1" applyFont="1" applyFill="1" applyBorder="1" applyAlignment="1">
      <alignment vertical="top"/>
    </xf>
    <xf numFmtId="164" fontId="2" fillId="9" borderId="1" xfId="3" applyNumberFormat="1" applyFont="1" applyFill="1" applyBorder="1" applyAlignment="1">
      <alignment vertical="top"/>
    </xf>
    <xf numFmtId="164" fontId="2" fillId="0" borderId="1" xfId="3" applyNumberFormat="1" applyFont="1" applyFill="1" applyBorder="1" applyAlignment="1">
      <alignment vertical="top"/>
    </xf>
    <xf numFmtId="164" fontId="0" fillId="9" borderId="1" xfId="3" applyNumberFormat="1" applyFont="1" applyFill="1" applyBorder="1" applyAlignment="1">
      <alignment vertical="top"/>
    </xf>
    <xf numFmtId="164" fontId="0" fillId="0" borderId="1" xfId="3" applyNumberFormat="1" applyFont="1" applyFill="1" applyBorder="1" applyAlignment="1">
      <alignment vertical="top"/>
    </xf>
    <xf numFmtId="0" fontId="11" fillId="9" borderId="1" xfId="0" applyFont="1" applyFill="1" applyBorder="1" applyAlignment="1">
      <alignment horizontal="center" vertical="top"/>
    </xf>
    <xf numFmtId="0" fontId="12" fillId="9" borderId="1" xfId="0" applyFont="1" applyFill="1" applyBorder="1" applyAlignment="1">
      <alignment horizontal="center" vertical="top"/>
    </xf>
    <xf numFmtId="0" fontId="12" fillId="0" borderId="1" xfId="0" applyFont="1" applyBorder="1" applyAlignment="1">
      <alignment horizontal="center" vertical="top"/>
    </xf>
    <xf numFmtId="0" fontId="0" fillId="0" borderId="0" xfId="0" applyAlignment="1">
      <alignment vertical="top" wrapText="1"/>
    </xf>
    <xf numFmtId="0" fontId="12" fillId="10" borderId="1" xfId="0" applyFont="1" applyFill="1" applyBorder="1" applyAlignment="1">
      <alignment horizontal="center" vertical="center"/>
    </xf>
    <xf numFmtId="0" fontId="8" fillId="12" borderId="0" xfId="0" applyFont="1" applyFill="1" applyAlignment="1">
      <alignment horizontal="center" vertical="top"/>
    </xf>
    <xf numFmtId="0" fontId="2" fillId="11" borderId="1" xfId="0" applyFont="1" applyFill="1" applyBorder="1" applyAlignment="1">
      <alignment horizontal="center" vertical="top" wrapText="1"/>
    </xf>
    <xf numFmtId="0" fontId="0" fillId="13" borderId="0" xfId="0" applyFill="1"/>
    <xf numFmtId="0" fontId="0" fillId="13" borderId="0" xfId="0" applyFill="1" applyAlignment="1">
      <alignment horizontal="center"/>
    </xf>
    <xf numFmtId="165" fontId="6" fillId="13" borderId="0" xfId="2" applyNumberFormat="1" applyFont="1" applyFill="1" applyBorder="1"/>
    <xf numFmtId="43" fontId="0" fillId="13" borderId="0" xfId="1" applyFont="1" applyFill="1"/>
    <xf numFmtId="43" fontId="1" fillId="13" borderId="0" xfId="1" applyFont="1" applyFill="1" applyBorder="1"/>
    <xf numFmtId="43" fontId="0" fillId="13" borderId="0" xfId="1" applyFont="1" applyFill="1" applyBorder="1" applyAlignment="1">
      <alignment horizontal="center"/>
    </xf>
    <xf numFmtId="43" fontId="2" fillId="13" borderId="0" xfId="1" applyFont="1" applyFill="1"/>
    <xf numFmtId="10" fontId="6" fillId="13" borderId="0" xfId="2" applyNumberFormat="1" applyFont="1" applyFill="1"/>
    <xf numFmtId="43" fontId="2" fillId="13" borderId="0" xfId="1" applyFont="1" applyFill="1" applyBorder="1"/>
    <xf numFmtId="43" fontId="0" fillId="13" borderId="0" xfId="1" applyFont="1" applyFill="1" applyBorder="1"/>
    <xf numFmtId="165" fontId="6" fillId="13" borderId="0" xfId="2" applyNumberFormat="1" applyFont="1" applyFill="1"/>
    <xf numFmtId="43" fontId="2" fillId="13" borderId="0" xfId="1" applyFont="1" applyFill="1" applyBorder="1" applyAlignment="1">
      <alignment horizontal="center"/>
    </xf>
    <xf numFmtId="0" fontId="0" fillId="9" borderId="0" xfId="0" applyFill="1"/>
    <xf numFmtId="0" fontId="10" fillId="9" borderId="0" xfId="0" applyFont="1" applyFill="1"/>
    <xf numFmtId="43" fontId="0" fillId="9" borderId="0" xfId="0" applyNumberFormat="1" applyFill="1"/>
    <xf numFmtId="43" fontId="0" fillId="9" borderId="0" xfId="1" applyFont="1" applyFill="1"/>
    <xf numFmtId="164" fontId="0" fillId="9" borderId="0" xfId="0" applyNumberFormat="1" applyFill="1"/>
    <xf numFmtId="0" fontId="0" fillId="3" borderId="1" xfId="0" applyFill="1" applyBorder="1"/>
    <xf numFmtId="0" fontId="0" fillId="3" borderId="1" xfId="0" applyFill="1" applyBorder="1" applyAlignment="1">
      <alignment horizontal="center"/>
    </xf>
    <xf numFmtId="0" fontId="0" fillId="0" borderId="1" xfId="0" applyBorder="1"/>
    <xf numFmtId="43" fontId="0" fillId="0" borderId="1" xfId="1" applyFont="1" applyBorder="1"/>
    <xf numFmtId="166" fontId="0" fillId="0" borderId="1" xfId="1" applyNumberFormat="1" applyFont="1" applyBorder="1"/>
    <xf numFmtId="0" fontId="2" fillId="5" borderId="1" xfId="0" applyFont="1" applyFill="1" applyBorder="1"/>
    <xf numFmtId="43" fontId="2" fillId="5" borderId="1" xfId="1" applyFont="1" applyFill="1" applyBorder="1"/>
    <xf numFmtId="166" fontId="2" fillId="5" borderId="1" xfId="1" applyNumberFormat="1" applyFont="1" applyFill="1" applyBorder="1"/>
    <xf numFmtId="0" fontId="2" fillId="0" borderId="1" xfId="0" applyFont="1" applyBorder="1"/>
    <xf numFmtId="43" fontId="2" fillId="0" borderId="1" xfId="1" applyFont="1" applyBorder="1"/>
    <xf numFmtId="166" fontId="2" fillId="0" borderId="1" xfId="1" applyNumberFormat="1" applyFont="1" applyBorder="1"/>
    <xf numFmtId="0" fontId="4" fillId="0" borderId="1" xfId="0" applyFont="1" applyBorder="1"/>
    <xf numFmtId="0" fontId="3" fillId="0" borderId="1" xfId="0" applyFont="1" applyBorder="1"/>
    <xf numFmtId="0" fontId="0" fillId="0" borderId="1" xfId="0" applyBorder="1" applyAlignment="1">
      <alignment horizontal="left" indent="1"/>
    </xf>
    <xf numFmtId="0" fontId="2" fillId="5" borderId="1" xfId="0" applyFont="1" applyFill="1" applyBorder="1" applyAlignment="1">
      <alignment horizontal="left"/>
    </xf>
    <xf numFmtId="166" fontId="0" fillId="0" borderId="1" xfId="0" applyNumberFormat="1" applyBorder="1"/>
    <xf numFmtId="0" fontId="6" fillId="7" borderId="1" xfId="0" applyFont="1" applyFill="1" applyBorder="1"/>
    <xf numFmtId="165" fontId="6" fillId="7" borderId="1" xfId="2" applyNumberFormat="1" applyFont="1" applyFill="1" applyBorder="1"/>
    <xf numFmtId="43" fontId="6" fillId="7" borderId="1" xfId="1" applyFont="1" applyFill="1" applyBorder="1"/>
    <xf numFmtId="165" fontId="6" fillId="7" borderId="1" xfId="1" applyNumberFormat="1" applyFont="1" applyFill="1" applyBorder="1"/>
    <xf numFmtId="43" fontId="1" fillId="0" borderId="1" xfId="1" applyFont="1" applyBorder="1"/>
    <xf numFmtId="166" fontId="1" fillId="0" borderId="1" xfId="1" applyNumberFormat="1" applyFont="1" applyBorder="1"/>
    <xf numFmtId="43" fontId="7" fillId="7" borderId="1" xfId="1" applyFont="1" applyFill="1" applyBorder="1"/>
    <xf numFmtId="165" fontId="7" fillId="7" borderId="1" xfId="1" applyNumberFormat="1" applyFont="1" applyFill="1" applyBorder="1"/>
    <xf numFmtId="0" fontId="2" fillId="7" borderId="1" xfId="0" applyFont="1" applyFill="1" applyBorder="1"/>
    <xf numFmtId="43" fontId="2" fillId="7" borderId="1" xfId="1" applyFont="1" applyFill="1" applyBorder="1"/>
    <xf numFmtId="166" fontId="2" fillId="7" borderId="1" xfId="1" applyNumberFormat="1" applyFont="1" applyFill="1" applyBorder="1"/>
    <xf numFmtId="43" fontId="2" fillId="7" borderId="1" xfId="1" applyFont="1" applyFill="1" applyBorder="1" applyAlignment="1">
      <alignment horizontal="center"/>
    </xf>
    <xf numFmtId="0" fontId="6" fillId="0" borderId="1" xfId="0" applyFont="1" applyBorder="1"/>
    <xf numFmtId="43" fontId="6" fillId="0" borderId="1" xfId="1" applyFont="1" applyFill="1" applyBorder="1"/>
    <xf numFmtId="165" fontId="6" fillId="0" borderId="1" xfId="2" applyNumberFormat="1" applyFont="1" applyFill="1" applyBorder="1"/>
    <xf numFmtId="0" fontId="0" fillId="6" borderId="1" xfId="0" applyFill="1" applyBorder="1"/>
    <xf numFmtId="43" fontId="0" fillId="4" borderId="1" xfId="1" applyFont="1" applyFill="1" applyBorder="1"/>
    <xf numFmtId="0" fontId="9" fillId="7" borderId="1" xfId="0" applyFont="1" applyFill="1" applyBorder="1"/>
    <xf numFmtId="166" fontId="9" fillId="7" borderId="1" xfId="1" applyNumberFormat="1" applyFont="1" applyFill="1" applyBorder="1"/>
    <xf numFmtId="0" fontId="0" fillId="7" borderId="1" xfId="0" applyFill="1" applyBorder="1"/>
    <xf numFmtId="166" fontId="0" fillId="7" borderId="1" xfId="1" applyNumberFormat="1" applyFont="1" applyFill="1" applyBorder="1"/>
    <xf numFmtId="43" fontId="0" fillId="7" borderId="1" xfId="1" applyFont="1" applyFill="1" applyBorder="1"/>
    <xf numFmtId="10" fontId="6" fillId="7" borderId="1" xfId="2" applyNumberFormat="1" applyFont="1" applyFill="1" applyBorder="1"/>
    <xf numFmtId="9" fontId="0" fillId="0" borderId="1" xfId="2" applyFont="1" applyBorder="1"/>
    <xf numFmtId="9" fontId="0" fillId="7" borderId="0" xfId="2" applyFont="1" applyFill="1"/>
    <xf numFmtId="9" fontId="6" fillId="7" borderId="1" xfId="2" applyFont="1" applyFill="1" applyBorder="1"/>
    <xf numFmtId="0" fontId="12" fillId="0" borderId="0" xfId="0" applyFont="1" applyAlignment="1">
      <alignment horizontal="center"/>
    </xf>
    <xf numFmtId="0" fontId="0" fillId="9" borderId="1" xfId="0" applyFill="1" applyBorder="1"/>
    <xf numFmtId="0" fontId="0" fillId="0" borderId="8" xfId="0" applyBorder="1"/>
    <xf numFmtId="166" fontId="0" fillId="9" borderId="0" xfId="0" applyNumberFormat="1" applyFill="1"/>
    <xf numFmtId="166" fontId="0" fillId="0" borderId="1" xfId="1" applyNumberFormat="1" applyFont="1" applyFill="1" applyBorder="1"/>
    <xf numFmtId="166" fontId="1" fillId="0" borderId="1" xfId="1" applyNumberFormat="1" applyFont="1" applyFill="1" applyBorder="1"/>
    <xf numFmtId="166" fontId="0" fillId="0" borderId="1" xfId="1" applyNumberFormat="1" applyFont="1" applyFill="1" applyBorder="1" applyAlignment="1">
      <alignment horizontal="center"/>
    </xf>
    <xf numFmtId="166" fontId="2" fillId="0" borderId="1" xfId="1" applyNumberFormat="1" applyFont="1" applyFill="1" applyBorder="1"/>
    <xf numFmtId="43" fontId="0" fillId="0" borderId="1" xfId="1" applyFont="1" applyFill="1" applyBorder="1"/>
    <xf numFmtId="43" fontId="0" fillId="0" borderId="1" xfId="1" applyFont="1" applyFill="1" applyBorder="1" applyAlignment="1">
      <alignment horizontal="center"/>
    </xf>
    <xf numFmtId="43" fontId="0" fillId="0" borderId="1" xfId="1" applyFont="1" applyFill="1" applyBorder="1" applyAlignment="1">
      <alignment horizontal="right"/>
    </xf>
    <xf numFmtId="166" fontId="5" fillId="0" borderId="1" xfId="1" applyNumberFormat="1" applyFont="1" applyFill="1" applyBorder="1"/>
    <xf numFmtId="166" fontId="0" fillId="0" borderId="7" xfId="1" applyNumberFormat="1" applyFont="1" applyFill="1" applyBorder="1"/>
    <xf numFmtId="9" fontId="0" fillId="0" borderId="1" xfId="2" applyFont="1" applyFill="1" applyBorder="1"/>
    <xf numFmtId="9" fontId="0" fillId="0" borderId="7" xfId="2" applyFont="1" applyFill="1" applyBorder="1"/>
    <xf numFmtId="0" fontId="0" fillId="0" borderId="7" xfId="0" applyBorder="1"/>
    <xf numFmtId="43" fontId="0" fillId="0" borderId="7" xfId="1" applyFont="1" applyFill="1" applyBorder="1"/>
    <xf numFmtId="166" fontId="9" fillId="7" borderId="7" xfId="1" applyNumberFormat="1" applyFont="1" applyFill="1" applyBorder="1"/>
    <xf numFmtId="166" fontId="2" fillId="5" borderId="7" xfId="1" applyNumberFormat="1" applyFont="1" applyFill="1" applyBorder="1"/>
    <xf numFmtId="166" fontId="0" fillId="7" borderId="7" xfId="1" applyNumberFormat="1" applyFont="1" applyFill="1" applyBorder="1"/>
    <xf numFmtId="0" fontId="0" fillId="6" borderId="1" xfId="0" applyFill="1" applyBorder="1" applyAlignment="1">
      <alignment horizontal="center"/>
    </xf>
    <xf numFmtId="9" fontId="0" fillId="6" borderId="1" xfId="2" applyFont="1" applyFill="1" applyBorder="1" applyAlignment="1">
      <alignment horizontal="center"/>
    </xf>
    <xf numFmtId="0" fontId="0" fillId="6" borderId="7" xfId="0" applyFill="1" applyBorder="1" applyAlignment="1">
      <alignment horizontal="center"/>
    </xf>
    <xf numFmtId="43" fontId="0" fillId="10" borderId="0" xfId="1" applyFont="1" applyFill="1"/>
    <xf numFmtId="9" fontId="6" fillId="0" borderId="1" xfId="2" applyFont="1" applyFill="1" applyBorder="1"/>
    <xf numFmtId="0" fontId="8" fillId="12" borderId="2" xfId="0" applyFont="1" applyFill="1" applyBorder="1" applyAlignment="1">
      <alignment horizontal="center" vertical="top"/>
    </xf>
    <xf numFmtId="0" fontId="8" fillId="12" borderId="3" xfId="0" applyFont="1" applyFill="1" applyBorder="1" applyAlignment="1">
      <alignment horizontal="center" vertical="top"/>
    </xf>
    <xf numFmtId="0" fontId="8" fillId="12" borderId="4" xfId="0" applyFont="1" applyFill="1" applyBorder="1" applyAlignment="1">
      <alignment horizontal="center" vertical="top"/>
    </xf>
    <xf numFmtId="0" fontId="12" fillId="10" borderId="1" xfId="0" applyFont="1" applyFill="1"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8" fillId="2" borderId="1" xfId="0" applyFont="1" applyFill="1" applyBorder="1" applyAlignment="1">
      <alignment horizontal="center"/>
    </xf>
  </cellXfs>
  <cellStyles count="6">
    <cellStyle name="Comma" xfId="1" builtinId="3"/>
    <cellStyle name="Comma 2" xfId="3" xr:uid="{00000000-0005-0000-0000-000001000000}"/>
    <cellStyle name="Comma 2 2" xfId="4" xr:uid="{00000000-0005-0000-0000-000002000000}"/>
    <cellStyle name="Comma 3" xfId="5" xr:uid="{00000000-0005-0000-0000-000003000000}"/>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user/Downloads/Summary%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lidated"/>
      <sheetName val="Standalone"/>
      <sheetName val="Peer Analysis working "/>
      <sheetName val="Peer Analysis Final "/>
      <sheetName val="Sheet1"/>
      <sheetName val="Peer Analysis working"/>
      <sheetName val="Peer Analysis Final"/>
    </sheetNames>
    <sheetDataSet>
      <sheetData sheetId="0"/>
      <sheetData sheetId="1"/>
      <sheetData sheetId="2">
        <row r="5">
          <cell r="C5">
            <v>4922.2</v>
          </cell>
          <cell r="D5">
            <v>6728.6</v>
          </cell>
          <cell r="E5">
            <v>5689.2</v>
          </cell>
          <cell r="F5">
            <v>44274</v>
          </cell>
          <cell r="I5">
            <v>680.69399999999996</v>
          </cell>
          <cell r="J5">
            <v>4754.6000000000004</v>
          </cell>
          <cell r="K5">
            <v>3151.3</v>
          </cell>
          <cell r="L5">
            <v>6058.3</v>
          </cell>
          <cell r="M5">
            <v>25609</v>
          </cell>
        </row>
        <row r="6">
          <cell r="I6">
            <v>0</v>
          </cell>
          <cell r="J6">
            <v>0</v>
          </cell>
          <cell r="K6">
            <v>389.3</v>
          </cell>
          <cell r="L6">
            <v>66.7</v>
          </cell>
          <cell r="M6">
            <v>859</v>
          </cell>
        </row>
        <row r="7">
          <cell r="B7">
            <v>6.6957261377430521E-2</v>
          </cell>
          <cell r="C7">
            <v>1.7483450932637146E-2</v>
          </cell>
          <cell r="D7">
            <v>0.11395326030791875</v>
          </cell>
          <cell r="E7">
            <v>8.1957653928725893E-2</v>
          </cell>
          <cell r="F7">
            <v>7.2805272529955722E-2</v>
          </cell>
          <cell r="I7">
            <v>180.61199999999999</v>
          </cell>
          <cell r="J7">
            <v>0</v>
          </cell>
          <cell r="K7">
            <v>832.6</v>
          </cell>
          <cell r="L7">
            <v>862.5</v>
          </cell>
          <cell r="M7">
            <v>2879</v>
          </cell>
        </row>
        <row r="12">
          <cell r="B12">
            <v>233.76000000000022</v>
          </cell>
          <cell r="C12">
            <v>874.7</v>
          </cell>
          <cell r="D12">
            <v>933</v>
          </cell>
          <cell r="E12">
            <v>977.9</v>
          </cell>
          <cell r="F12">
            <v>5489</v>
          </cell>
        </row>
        <row r="14">
          <cell r="B14">
            <v>0.27796799337795663</v>
          </cell>
          <cell r="C14">
            <v>0.20517447704828018</v>
          </cell>
          <cell r="D14">
            <v>0.33549630488669613</v>
          </cell>
          <cell r="E14">
            <v>-2.4487478418460316</v>
          </cell>
          <cell r="F14">
            <v>5.7989028682093879E-2</v>
          </cell>
        </row>
        <row r="25">
          <cell r="B25">
            <v>62.377000000000223</v>
          </cell>
          <cell r="C25">
            <v>788.3</v>
          </cell>
          <cell r="D25">
            <v>296</v>
          </cell>
          <cell r="E25">
            <v>99.7</v>
          </cell>
          <cell r="F25">
            <v>3451</v>
          </cell>
        </row>
        <row r="27">
          <cell r="B27">
            <v>0.15020466640116381</v>
          </cell>
          <cell r="C27">
            <v>-2.3617924740187757E-2</v>
          </cell>
          <cell r="D27">
            <v>0.2798301533370493</v>
          </cell>
          <cell r="E27">
            <v>-1.7739968460390942E-2</v>
          </cell>
          <cell r="F27">
            <v>1.3492351397157654E-2</v>
          </cell>
          <cell r="I27">
            <v>16042570</v>
          </cell>
          <cell r="J27">
            <v>15050871</v>
          </cell>
          <cell r="K27">
            <v>37759530</v>
          </cell>
          <cell r="L27">
            <v>30603181</v>
          </cell>
          <cell r="M27">
            <v>109971221</v>
          </cell>
        </row>
        <row r="28">
          <cell r="I28">
            <v>70.587307999999993</v>
          </cell>
          <cell r="J28">
            <v>569.82597606000002</v>
          </cell>
          <cell r="K28">
            <v>104.9714934</v>
          </cell>
          <cell r="L28">
            <v>220.95496682000004</v>
          </cell>
          <cell r="M28">
            <v>2525.489090265</v>
          </cell>
        </row>
        <row r="29">
          <cell r="B29">
            <v>3.76</v>
          </cell>
          <cell r="C29">
            <v>52.21</v>
          </cell>
          <cell r="D29">
            <v>7.83</v>
          </cell>
          <cell r="E29">
            <v>3.26</v>
          </cell>
          <cell r="F29">
            <v>31.37</v>
          </cell>
        </row>
        <row r="31">
          <cell r="I31">
            <v>29.757307999999966</v>
          </cell>
          <cell r="J31">
            <v>387.32597606000002</v>
          </cell>
          <cell r="K31">
            <v>625.27149340000017</v>
          </cell>
          <cell r="L31">
            <v>998.55496682</v>
          </cell>
          <cell r="M31">
            <v>-3254.5109097349996</v>
          </cell>
        </row>
        <row r="32">
          <cell r="J32">
            <v>378.6</v>
          </cell>
          <cell r="K32">
            <v>27.8</v>
          </cell>
          <cell r="L32">
            <v>72.2</v>
          </cell>
          <cell r="M32">
            <v>229.65</v>
          </cell>
        </row>
        <row r="34">
          <cell r="I34">
            <v>424.30483395116869</v>
          </cell>
          <cell r="J34">
            <v>3159.0198334701026</v>
          </cell>
          <cell r="K34">
            <v>834.57076928658807</v>
          </cell>
          <cell r="L34">
            <v>1979.6308102742653</v>
          </cell>
          <cell r="M34">
            <v>2328.7001605629166</v>
          </cell>
        </row>
        <row r="35">
          <cell r="I35">
            <v>11.702127659574469</v>
          </cell>
          <cell r="J35">
            <v>7.2514843899636086</v>
          </cell>
          <cell r="K35">
            <v>3.5504469987228608</v>
          </cell>
          <cell r="L35">
            <v>22.147239263803684</v>
          </cell>
          <cell r="M35">
            <v>7.3206885559451704</v>
          </cell>
        </row>
        <row r="36">
          <cell r="I36">
            <v>0.10369903069514348</v>
          </cell>
          <cell r="J36">
            <v>0.11984730073192279</v>
          </cell>
          <cell r="K36">
            <v>3.3310536413543618E-2</v>
          </cell>
          <cell r="L36">
            <v>3.6471446910849581E-2</v>
          </cell>
          <cell r="M36">
            <v>9.8617247462415569E-2</v>
          </cell>
        </row>
        <row r="37">
          <cell r="I37">
            <v>0.12729854551676908</v>
          </cell>
          <cell r="J37">
            <v>0.44281007895278379</v>
          </cell>
          <cell r="K37">
            <v>0.67017309046087903</v>
          </cell>
          <cell r="L37">
            <v>1.021121757664383</v>
          </cell>
          <cell r="M37">
            <v>-0.59291508648843139</v>
          </cell>
        </row>
        <row r="38">
          <cell r="I38">
            <v>9.1637358343103104E-2</v>
          </cell>
          <cell r="J38">
            <v>0.16579733310898917</v>
          </cell>
          <cell r="K38">
            <v>9.392948941706597E-2</v>
          </cell>
          <cell r="L38">
            <v>1.6456761797864088E-2</v>
          </cell>
          <cell r="M38">
            <v>0.13475731188254128</v>
          </cell>
        </row>
        <row r="39">
          <cell r="I39">
            <v>0.15966919879744115</v>
          </cell>
          <cell r="J39">
            <v>0.23463756949794889</v>
          </cell>
          <cell r="K39">
            <v>0.16266310441067727</v>
          </cell>
          <cell r="L39">
            <v>7.0130917016226549E-2</v>
          </cell>
          <cell r="M39">
            <v>0.12677259525029899</v>
          </cell>
        </row>
        <row r="40">
          <cell r="I40">
            <v>0.19664505085895492</v>
          </cell>
          <cell r="J40">
            <v>0.68930559505911992</v>
          </cell>
          <cell r="K40">
            <v>0.63170644710638169</v>
          </cell>
          <cell r="L40">
            <v>0.8970505519229417</v>
          </cell>
          <cell r="M40">
            <v>0.46451642047251207</v>
          </cell>
        </row>
        <row r="41">
          <cell r="I41">
            <v>0.2653350844873027</v>
          </cell>
          <cell r="J41">
            <v>0</v>
          </cell>
          <cell r="K41">
            <v>0.38774474026592198</v>
          </cell>
          <cell r="L41">
            <v>0.15337635970486771</v>
          </cell>
          <cell r="M41">
            <v>0.14596430942246866</v>
          </cell>
        </row>
        <row r="42">
          <cell r="I42">
            <v>-5.998289980519883E-2</v>
          </cell>
          <cell r="J42">
            <v>-3.8383880873259578E-2</v>
          </cell>
          <cell r="K42">
            <v>0.16510646399898457</v>
          </cell>
          <cell r="L42">
            <v>0.128352838254956</v>
          </cell>
          <cell r="M42">
            <v>-0.22570190167519233</v>
          </cell>
        </row>
        <row r="44">
          <cell r="I44">
            <v>3.4090909090909088E-2</v>
          </cell>
          <cell r="J44">
            <v>0.10565240359218171</v>
          </cell>
          <cell r="K44">
            <v>0</v>
          </cell>
          <cell r="L44">
            <v>0</v>
          </cell>
          <cell r="M44">
            <v>6.531678641410843E-2</v>
          </cell>
        </row>
        <row r="45">
          <cell r="I45">
            <v>66.342013720741051</v>
          </cell>
          <cell r="J45">
            <v>65.062573645930684</v>
          </cell>
          <cell r="K45">
            <v>86.592976250631622</v>
          </cell>
          <cell r="L45">
            <v>107.90185790620825</v>
          </cell>
          <cell r="M45">
            <v>56.711275240547494</v>
          </cell>
        </row>
        <row r="46">
          <cell r="I46">
            <v>6242.8348665021331</v>
          </cell>
          <cell r="J46">
            <v>17.260000000000002</v>
          </cell>
          <cell r="K46">
            <v>29.69</v>
          </cell>
          <cell r="L46">
            <v>50.87</v>
          </cell>
          <cell r="M46">
            <v>51.52</v>
          </cell>
        </row>
        <row r="47">
          <cell r="I47">
            <v>0</v>
          </cell>
          <cell r="J47">
            <v>0</v>
          </cell>
          <cell r="K47">
            <v>10.79</v>
          </cell>
          <cell r="L47">
            <v>0</v>
          </cell>
          <cell r="M47">
            <v>16.899999999999999</v>
          </cell>
        </row>
        <row r="48">
          <cell r="I48">
            <v>-6176.4928527813918</v>
          </cell>
          <cell r="J48">
            <v>47.802573645930678</v>
          </cell>
          <cell r="K48">
            <v>67.692976250631631</v>
          </cell>
          <cell r="L48">
            <v>57.031857906208252</v>
          </cell>
          <cell r="M48">
            <v>22.091275240547482</v>
          </cell>
        </row>
        <row r="49">
          <cell r="I49">
            <v>38.568782865166789</v>
          </cell>
          <cell r="J49">
            <v>104.5124131485921</v>
          </cell>
          <cell r="K49">
            <v>-3.1679695627619462</v>
          </cell>
          <cell r="L49">
            <v>102.35551571398437</v>
          </cell>
          <cell r="M49">
            <v>168.22119076658987</v>
          </cell>
        </row>
        <row r="50">
          <cell r="I50">
            <v>0.19180342391424715</v>
          </cell>
          <cell r="J50">
            <v>0</v>
          </cell>
          <cell r="K50">
            <v>0.24519191423193387</v>
          </cell>
          <cell r="L50">
            <v>0.14496340938441668</v>
          </cell>
          <cell r="M50">
            <v>0.13001605136436598</v>
          </cell>
        </row>
        <row r="51">
          <cell r="I51">
            <v>3.7837018647884131</v>
          </cell>
          <cell r="J51">
            <v>158.70422535211267</v>
          </cell>
          <cell r="K51">
            <v>2.2760347129506009</v>
          </cell>
          <cell r="L51">
            <v>3.4877505567928733</v>
          </cell>
          <cell r="M51">
            <v>10.687242798353909</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1"/>
  <sheetViews>
    <sheetView view="pageBreakPreview" topLeftCell="A34" zoomScaleNormal="100" zoomScaleSheetLayoutView="100" workbookViewId="0">
      <selection activeCell="B6" sqref="B6"/>
    </sheetView>
  </sheetViews>
  <sheetFormatPr defaultColWidth="9.140625" defaultRowHeight="15" x14ac:dyDescent="0.25"/>
  <cols>
    <col min="1" max="1" width="25.42578125" style="11" customWidth="1"/>
    <col min="2" max="3" width="14.7109375" style="11" customWidth="1"/>
    <col min="4" max="5" width="14.7109375" style="12" customWidth="1"/>
    <col min="6" max="7" width="14.7109375" style="11" customWidth="1"/>
    <col min="8" max="16384" width="9.140625" style="11"/>
  </cols>
  <sheetData>
    <row r="1" spans="1:7" s="2" customFormat="1" ht="18.75" x14ac:dyDescent="0.25">
      <c r="A1" s="134" t="s">
        <v>136</v>
      </c>
      <c r="B1" s="135"/>
      <c r="C1" s="135"/>
      <c r="D1" s="135"/>
      <c r="E1" s="135"/>
      <c r="F1" s="136"/>
      <c r="G1" s="48"/>
    </row>
    <row r="2" spans="1:7" s="46" customFormat="1" x14ac:dyDescent="0.25">
      <c r="A2" s="137" t="s">
        <v>135</v>
      </c>
      <c r="B2" s="49" t="s">
        <v>98</v>
      </c>
      <c r="C2" s="49" t="s">
        <v>99</v>
      </c>
      <c r="D2" s="49" t="s">
        <v>100</v>
      </c>
      <c r="E2" s="49" t="s">
        <v>101</v>
      </c>
      <c r="F2" s="49" t="s">
        <v>102</v>
      </c>
      <c r="G2" s="49" t="s">
        <v>103</v>
      </c>
    </row>
    <row r="3" spans="1:7" s="46" customFormat="1" ht="15.75" x14ac:dyDescent="0.25">
      <c r="A3" s="137"/>
      <c r="B3" s="47" t="s">
        <v>137</v>
      </c>
      <c r="C3" s="47" t="s">
        <v>137</v>
      </c>
      <c r="D3" s="47" t="s">
        <v>137</v>
      </c>
      <c r="E3" s="47" t="s">
        <v>137</v>
      </c>
      <c r="F3" s="47" t="s">
        <v>137</v>
      </c>
      <c r="G3" s="47" t="s">
        <v>137</v>
      </c>
    </row>
    <row r="4" spans="1:7" ht="15.75" x14ac:dyDescent="0.25">
      <c r="A4" s="19" t="s">
        <v>134</v>
      </c>
      <c r="B4" s="45"/>
      <c r="C4" s="44"/>
      <c r="D4" s="43"/>
      <c r="E4" s="43"/>
      <c r="F4" s="43"/>
      <c r="G4" s="43"/>
    </row>
    <row r="5" spans="1:7" x14ac:dyDescent="0.25">
      <c r="A5" s="19" t="s">
        <v>97</v>
      </c>
      <c r="B5" s="3"/>
      <c r="C5" s="14"/>
      <c r="D5" s="21"/>
      <c r="E5" s="21"/>
      <c r="F5" s="21"/>
      <c r="G5" s="21"/>
    </row>
    <row r="6" spans="1:7" x14ac:dyDescent="0.25">
      <c r="A6" s="14" t="s">
        <v>133</v>
      </c>
      <c r="B6" s="42" t="e">
        <f>#REF!*10</f>
        <v>#REF!</v>
      </c>
      <c r="C6" s="41">
        <f>'[1]Peer Analysis working '!C5*10</f>
        <v>49222</v>
      </c>
      <c r="D6" s="41">
        <f>'[1]Peer Analysis working '!D5*10</f>
        <v>67286</v>
      </c>
      <c r="E6" s="41">
        <f>'[1]Peer Analysis working '!E5*10</f>
        <v>56892</v>
      </c>
      <c r="F6" s="41">
        <f>'[1]Peer Analysis working '!F5*10</f>
        <v>442740</v>
      </c>
      <c r="G6" s="41"/>
    </row>
    <row r="7" spans="1:7" x14ac:dyDescent="0.25">
      <c r="A7" s="14" t="s">
        <v>130</v>
      </c>
      <c r="B7" s="37">
        <f>'[1]Peer Analysis working '!B7</f>
        <v>6.6957261377430521E-2</v>
      </c>
      <c r="C7" s="36">
        <f>'[1]Peer Analysis working '!C7</f>
        <v>1.7483450932637146E-2</v>
      </c>
      <c r="D7" s="36">
        <f>'[1]Peer Analysis working '!D7</f>
        <v>0.11395326030791875</v>
      </c>
      <c r="E7" s="36">
        <f>'[1]Peer Analysis working '!E7</f>
        <v>8.1957653928725893E-2</v>
      </c>
      <c r="F7" s="36">
        <f>'[1]Peer Analysis working '!F7</f>
        <v>7.2805272529955722E-2</v>
      </c>
      <c r="G7" s="36"/>
    </row>
    <row r="8" spans="1:7" s="24" customFormat="1" x14ac:dyDescent="0.25">
      <c r="A8" s="19" t="s">
        <v>42</v>
      </c>
      <c r="B8" s="40">
        <f>'[1]Peer Analysis working '!B12*10</f>
        <v>2337.6000000000022</v>
      </c>
      <c r="C8" s="39">
        <f>'[1]Peer Analysis working '!C12*10</f>
        <v>8747</v>
      </c>
      <c r="D8" s="39">
        <f>'[1]Peer Analysis working '!D12*10</f>
        <v>9330</v>
      </c>
      <c r="E8" s="39">
        <f>'[1]Peer Analysis working '!E12*10</f>
        <v>9779</v>
      </c>
      <c r="F8" s="39">
        <f>'[1]Peer Analysis working '!F12*10</f>
        <v>54890</v>
      </c>
      <c r="G8" s="39"/>
    </row>
    <row r="9" spans="1:7" x14ac:dyDescent="0.25">
      <c r="A9" s="14" t="s">
        <v>130</v>
      </c>
      <c r="B9" s="37">
        <f>'[1]Peer Analysis working '!B14</f>
        <v>0.27796799337795663</v>
      </c>
      <c r="C9" s="36">
        <f>'[1]Peer Analysis working '!C14</f>
        <v>0.20517447704828018</v>
      </c>
      <c r="D9" s="36">
        <f>'[1]Peer Analysis working '!D14</f>
        <v>0.33549630488669613</v>
      </c>
      <c r="E9" s="36">
        <f>'[1]Peer Analysis working '!E14</f>
        <v>-2.4487478418460316</v>
      </c>
      <c r="F9" s="36">
        <f>'[1]Peer Analysis working '!F14</f>
        <v>5.7989028682093879E-2</v>
      </c>
      <c r="G9" s="36"/>
    </row>
    <row r="10" spans="1:7" s="24" customFormat="1" x14ac:dyDescent="0.25">
      <c r="A10" s="19" t="s">
        <v>132</v>
      </c>
      <c r="B10" s="35" t="e">
        <f>+B8/B$6</f>
        <v>#REF!</v>
      </c>
      <c r="C10" s="35">
        <f>+C8/C$6</f>
        <v>0.17770509121937345</v>
      </c>
      <c r="D10" s="35">
        <f>+D8/D$6</f>
        <v>0.13866183158457926</v>
      </c>
      <c r="E10" s="35">
        <f>+E8/E$6</f>
        <v>0.17188708430007735</v>
      </c>
      <c r="F10" s="35">
        <f>+F8/F$6</f>
        <v>0.12397795545918598</v>
      </c>
      <c r="G10" s="35"/>
    </row>
    <row r="11" spans="1:7" s="24" customFormat="1" x14ac:dyDescent="0.25">
      <c r="A11" s="19" t="s">
        <v>131</v>
      </c>
      <c r="B11" s="33">
        <f>'[1]Peer Analysis working '!B25*10</f>
        <v>623.77000000000226</v>
      </c>
      <c r="C11" s="38">
        <f>'[1]Peer Analysis working '!C25*10</f>
        <v>7883</v>
      </c>
      <c r="D11" s="38">
        <f>'[1]Peer Analysis working '!D25*10</f>
        <v>2960</v>
      </c>
      <c r="E11" s="38">
        <f>'[1]Peer Analysis working '!E25*10</f>
        <v>997</v>
      </c>
      <c r="F11" s="38">
        <f>'[1]Peer Analysis working '!F25*10</f>
        <v>34510</v>
      </c>
      <c r="G11" s="38"/>
    </row>
    <row r="12" spans="1:7" x14ac:dyDescent="0.25">
      <c r="A12" s="14" t="s">
        <v>130</v>
      </c>
      <c r="B12" s="37">
        <f>'[1]Peer Analysis working '!B27</f>
        <v>0.15020466640116381</v>
      </c>
      <c r="C12" s="36">
        <f>'[1]Peer Analysis working '!C27</f>
        <v>-2.3617924740187757E-2</v>
      </c>
      <c r="D12" s="36">
        <f>'[1]Peer Analysis working '!D27</f>
        <v>0.2798301533370493</v>
      </c>
      <c r="E12" s="36">
        <f>'[1]Peer Analysis working '!E27</f>
        <v>-1.7739968460390942E-2</v>
      </c>
      <c r="F12" s="36">
        <f>'[1]Peer Analysis working '!F27</f>
        <v>1.3492351397157654E-2</v>
      </c>
      <c r="G12" s="36"/>
    </row>
    <row r="13" spans="1:7" x14ac:dyDescent="0.25">
      <c r="A13" s="19" t="s">
        <v>129</v>
      </c>
      <c r="B13" s="35" t="e">
        <f>+B11/B$6</f>
        <v>#REF!</v>
      </c>
      <c r="C13" s="34">
        <f>+C11/C$6</f>
        <v>0.1601519645686888</v>
      </c>
      <c r="D13" s="34">
        <f>+D11/D$6</f>
        <v>4.3991320631334901E-2</v>
      </c>
      <c r="E13" s="34">
        <f>+E11/E$6</f>
        <v>1.7524432257610911E-2</v>
      </c>
      <c r="F13" s="34">
        <f>+F11/F$6</f>
        <v>7.7946424538103631E-2</v>
      </c>
      <c r="G13" s="34"/>
    </row>
    <row r="14" spans="1:7" x14ac:dyDescent="0.25">
      <c r="A14" s="14" t="s">
        <v>51</v>
      </c>
      <c r="B14" s="15">
        <f>'[1]Peer Analysis working '!B29</f>
        <v>3.76</v>
      </c>
      <c r="C14" s="15">
        <f>'[1]Peer Analysis working '!C29</f>
        <v>52.21</v>
      </c>
      <c r="D14" s="15">
        <f>'[1]Peer Analysis working '!D29</f>
        <v>7.83</v>
      </c>
      <c r="E14" s="15">
        <f>'[1]Peer Analysis working '!E29</f>
        <v>3.26</v>
      </c>
      <c r="F14" s="15">
        <f>'[1]Peer Analysis working '!F29</f>
        <v>31.37</v>
      </c>
      <c r="G14" s="15"/>
    </row>
    <row r="15" spans="1:7" x14ac:dyDescent="0.25">
      <c r="A15" s="14"/>
      <c r="B15" s="3"/>
      <c r="C15" s="14"/>
      <c r="D15" s="21"/>
      <c r="E15" s="21"/>
      <c r="F15" s="14"/>
      <c r="G15" s="14"/>
    </row>
    <row r="16" spans="1:7" x14ac:dyDescent="0.25">
      <c r="A16" s="14"/>
      <c r="B16" s="3"/>
      <c r="C16" s="14"/>
      <c r="D16" s="21"/>
      <c r="E16" s="21"/>
      <c r="F16" s="14"/>
      <c r="G16" s="14"/>
    </row>
    <row r="17" spans="1:7" x14ac:dyDescent="0.25">
      <c r="A17" s="19" t="s">
        <v>128</v>
      </c>
      <c r="B17" s="20"/>
      <c r="C17" s="19"/>
      <c r="D17" s="19"/>
      <c r="E17" s="19"/>
      <c r="F17" s="19"/>
      <c r="G17" s="19"/>
    </row>
    <row r="18" spans="1:7" s="24" customFormat="1" x14ac:dyDescent="0.25">
      <c r="A18" s="19" t="s">
        <v>127</v>
      </c>
      <c r="B18" s="33">
        <f>'[1]Peer Analysis working '!I5*10</f>
        <v>6806.94</v>
      </c>
      <c r="C18" s="33">
        <f>'[1]Peer Analysis working '!J5*10</f>
        <v>47546</v>
      </c>
      <c r="D18" s="33">
        <f>'[1]Peer Analysis working '!K5*10</f>
        <v>31513</v>
      </c>
      <c r="E18" s="33">
        <f>'[1]Peer Analysis working '!L5*10</f>
        <v>60583</v>
      </c>
      <c r="F18" s="33">
        <f>'[1]Peer Analysis working '!M5*10</f>
        <v>256090</v>
      </c>
      <c r="G18" s="33"/>
    </row>
    <row r="19" spans="1:7" s="24" customFormat="1" x14ac:dyDescent="0.25">
      <c r="A19" s="19" t="s">
        <v>70</v>
      </c>
      <c r="B19" s="33">
        <f>SUM(B20:B21)</f>
        <v>1806.12</v>
      </c>
      <c r="C19" s="33">
        <f>SUM(C20:C21)</f>
        <v>0</v>
      </c>
      <c r="D19" s="33">
        <f>SUM(D20:D21)</f>
        <v>12219</v>
      </c>
      <c r="E19" s="33">
        <f>SUM(E20:E21)</f>
        <v>9292</v>
      </c>
      <c r="F19" s="33">
        <f>SUM(F20:F21)</f>
        <v>37380</v>
      </c>
      <c r="G19" s="33"/>
    </row>
    <row r="20" spans="1:7" x14ac:dyDescent="0.25">
      <c r="A20" s="32" t="s">
        <v>126</v>
      </c>
      <c r="B20" s="15">
        <f>'[1]Peer Analysis working '!I6*10</f>
        <v>0</v>
      </c>
      <c r="C20" s="15">
        <f>'[1]Peer Analysis working '!J6*10</f>
        <v>0</v>
      </c>
      <c r="D20" s="15">
        <f>'[1]Peer Analysis working '!K6*10</f>
        <v>3893</v>
      </c>
      <c r="E20" s="15">
        <f>'[1]Peer Analysis working '!L6*10</f>
        <v>667</v>
      </c>
      <c r="F20" s="15">
        <f>'[1]Peer Analysis working '!M6*10</f>
        <v>8590</v>
      </c>
      <c r="G20" s="15"/>
    </row>
    <row r="21" spans="1:7" x14ac:dyDescent="0.25">
      <c r="A21" s="32" t="s">
        <v>125</v>
      </c>
      <c r="B21" s="15">
        <f>'[1]Peer Analysis working '!I7*10</f>
        <v>1806.12</v>
      </c>
      <c r="C21" s="15">
        <f>'[1]Peer Analysis working '!J7*10</f>
        <v>0</v>
      </c>
      <c r="D21" s="15">
        <f>'[1]Peer Analysis working '!K7*10</f>
        <v>8326</v>
      </c>
      <c r="E21" s="15">
        <f>'[1]Peer Analysis working '!L7*10</f>
        <v>8625</v>
      </c>
      <c r="F21" s="15">
        <f>'[1]Peer Analysis working '!M7*10</f>
        <v>28790</v>
      </c>
      <c r="G21" s="15"/>
    </row>
    <row r="22" spans="1:7" x14ac:dyDescent="0.25">
      <c r="A22" s="14"/>
      <c r="B22" s="3"/>
      <c r="C22" s="14"/>
      <c r="D22" s="21"/>
      <c r="E22" s="21"/>
      <c r="F22" s="14"/>
      <c r="G22" s="14"/>
    </row>
    <row r="23" spans="1:7" x14ac:dyDescent="0.25">
      <c r="A23" s="19" t="s">
        <v>124</v>
      </c>
      <c r="B23" s="20"/>
      <c r="C23" s="19"/>
      <c r="D23" s="19"/>
      <c r="E23" s="19"/>
      <c r="F23" s="19"/>
      <c r="G23" s="19"/>
    </row>
    <row r="24" spans="1:7" x14ac:dyDescent="0.25">
      <c r="A24" s="30" t="s">
        <v>123</v>
      </c>
      <c r="B24" s="31"/>
      <c r="C24" s="14"/>
      <c r="D24" s="14"/>
      <c r="E24" s="14"/>
      <c r="F24" s="14"/>
      <c r="G24" s="14"/>
    </row>
    <row r="25" spans="1:7" x14ac:dyDescent="0.25">
      <c r="A25" s="30" t="s">
        <v>68</v>
      </c>
      <c r="B25" s="29"/>
      <c r="C25" s="14"/>
      <c r="D25" s="14"/>
      <c r="E25" s="14"/>
      <c r="F25" s="14"/>
      <c r="G25" s="14"/>
    </row>
    <row r="26" spans="1:7" s="2" customFormat="1" x14ac:dyDescent="0.25">
      <c r="A26" s="3"/>
      <c r="B26" s="3"/>
      <c r="C26" s="3"/>
      <c r="D26" s="28"/>
      <c r="E26" s="28"/>
      <c r="F26" s="28"/>
      <c r="G26" s="28"/>
    </row>
    <row r="27" spans="1:7" s="2" customFormat="1" x14ac:dyDescent="0.25">
      <c r="A27" s="3" t="s">
        <v>69</v>
      </c>
      <c r="B27" s="27">
        <f>'[1]Peer Analysis working '!I27</f>
        <v>16042570</v>
      </c>
      <c r="C27" s="27">
        <f>'[1]Peer Analysis working '!J27</f>
        <v>15050871</v>
      </c>
      <c r="D27" s="27">
        <f>'[1]Peer Analysis working '!K27</f>
        <v>37759530</v>
      </c>
      <c r="E27" s="27">
        <f>'[1]Peer Analysis working '!L27</f>
        <v>30603181</v>
      </c>
      <c r="F27" s="27">
        <f>'[1]Peer Analysis working '!M27</f>
        <v>109971221</v>
      </c>
      <c r="G27" s="27"/>
    </row>
    <row r="28" spans="1:7" s="24" customFormat="1" x14ac:dyDescent="0.25">
      <c r="A28" s="19" t="s">
        <v>104</v>
      </c>
      <c r="B28" s="26">
        <f>'[1]Peer Analysis working '!I28*10</f>
        <v>705.87307999999996</v>
      </c>
      <c r="C28" s="25">
        <f>'[1]Peer Analysis working '!J28*10</f>
        <v>5698.2597605999999</v>
      </c>
      <c r="D28" s="25">
        <f>'[1]Peer Analysis working '!K28*10</f>
        <v>1049.7149340000001</v>
      </c>
      <c r="E28" s="25">
        <f>'[1]Peer Analysis working '!L28*10</f>
        <v>2209.5496682000003</v>
      </c>
      <c r="F28" s="25">
        <f>'[1]Peer Analysis working '!M28*10</f>
        <v>25254.89090265</v>
      </c>
      <c r="G28" s="25"/>
    </row>
    <row r="29" spans="1:7" s="24" customFormat="1" x14ac:dyDescent="0.25">
      <c r="A29" s="19" t="s">
        <v>72</v>
      </c>
      <c r="B29" s="26">
        <f>'[1]Peer Analysis working '!I31*10</f>
        <v>297.57307999999966</v>
      </c>
      <c r="C29" s="25">
        <f>'[1]Peer Analysis working '!J31*10</f>
        <v>3873.2597605999999</v>
      </c>
      <c r="D29" s="25">
        <f>'[1]Peer Analysis working '!K31*10</f>
        <v>6252.7149340000014</v>
      </c>
      <c r="E29" s="25">
        <f>'[1]Peer Analysis working '!L31*10</f>
        <v>9985.5496681999994</v>
      </c>
      <c r="F29" s="25">
        <f>'[1]Peer Analysis working '!M31*10</f>
        <v>-32545.109097349996</v>
      </c>
      <c r="G29" s="25"/>
    </row>
    <row r="30" spans="1:7" x14ac:dyDescent="0.25">
      <c r="A30" s="14"/>
      <c r="B30" s="3"/>
      <c r="C30" s="14"/>
      <c r="D30" s="21"/>
      <c r="E30" s="14"/>
      <c r="F30" s="14"/>
      <c r="G30" s="14"/>
    </row>
    <row r="31" spans="1:7" x14ac:dyDescent="0.25">
      <c r="A31" s="14" t="s">
        <v>122</v>
      </c>
      <c r="B31" s="16">
        <f>'[1]Peer Analysis working '!I35</f>
        <v>11.702127659574469</v>
      </c>
      <c r="C31" s="16">
        <f>'[1]Peer Analysis working '!J35</f>
        <v>7.2514843899636086</v>
      </c>
      <c r="D31" s="16">
        <f>'[1]Peer Analysis working '!K35</f>
        <v>3.5504469987228608</v>
      </c>
      <c r="E31" s="16">
        <f>'[1]Peer Analysis working '!L35</f>
        <v>22.147239263803684</v>
      </c>
      <c r="F31" s="16">
        <f>'[1]Peer Analysis working '!M35</f>
        <v>7.3206885559451704</v>
      </c>
      <c r="G31" s="16"/>
    </row>
    <row r="32" spans="1:7" x14ac:dyDescent="0.25">
      <c r="A32" s="14" t="s">
        <v>83</v>
      </c>
      <c r="B32" s="23">
        <f>'[1]Peer Analysis working '!I44</f>
        <v>3.4090909090909088E-2</v>
      </c>
      <c r="C32" s="22">
        <f>'[1]Peer Analysis working '!J44</f>
        <v>0.10565240359218171</v>
      </c>
      <c r="D32" s="22">
        <f>'[1]Peer Analysis working '!K44</f>
        <v>0</v>
      </c>
      <c r="E32" s="22">
        <f>'[1]Peer Analysis working '!L44</f>
        <v>0</v>
      </c>
      <c r="F32" s="22">
        <f>'[1]Peer Analysis working '!M44</f>
        <v>6.531678641410843E-2</v>
      </c>
      <c r="G32" s="22"/>
    </row>
    <row r="33" spans="1:7" x14ac:dyDescent="0.25">
      <c r="A33" s="14" t="s">
        <v>121</v>
      </c>
      <c r="B33" s="16">
        <f>'[1]Peer Analysis working '!I36</f>
        <v>0.10369903069514348</v>
      </c>
      <c r="C33" s="16">
        <f>'[1]Peer Analysis working '!J36</f>
        <v>0.11984730073192279</v>
      </c>
      <c r="D33" s="16">
        <f>'[1]Peer Analysis working '!K36</f>
        <v>3.3310536413543618E-2</v>
      </c>
      <c r="E33" s="16">
        <f>'[1]Peer Analysis working '!L36</f>
        <v>3.6471446910849581E-2</v>
      </c>
      <c r="F33" s="16">
        <f>'[1]Peer Analysis working '!M36</f>
        <v>9.8617247462415569E-2</v>
      </c>
      <c r="G33" s="16"/>
    </row>
    <row r="34" spans="1:7" x14ac:dyDescent="0.25">
      <c r="A34" s="14" t="s">
        <v>120</v>
      </c>
      <c r="B34" s="16">
        <f>'[1]Peer Analysis working '!I37</f>
        <v>0.12729854551676908</v>
      </c>
      <c r="C34" s="16">
        <f>'[1]Peer Analysis working '!J37</f>
        <v>0.44281007895278379</v>
      </c>
      <c r="D34" s="16">
        <f>'[1]Peer Analysis working '!K37</f>
        <v>0.67017309046087903</v>
      </c>
      <c r="E34" s="16">
        <f>'[1]Peer Analysis working '!L37</f>
        <v>1.021121757664383</v>
      </c>
      <c r="F34" s="16">
        <f>'[1]Peer Analysis working '!M37</f>
        <v>-0.59291508648843139</v>
      </c>
      <c r="G34" s="16"/>
    </row>
    <row r="35" spans="1:7" x14ac:dyDescent="0.25">
      <c r="A35" s="14"/>
      <c r="B35" s="3"/>
      <c r="C35" s="14"/>
      <c r="D35" s="21"/>
      <c r="E35" s="21"/>
      <c r="F35" s="14"/>
      <c r="G35" s="14"/>
    </row>
    <row r="36" spans="1:7" x14ac:dyDescent="0.25">
      <c r="A36" s="19" t="s">
        <v>119</v>
      </c>
      <c r="B36" s="20"/>
      <c r="C36" s="19"/>
      <c r="D36" s="19"/>
      <c r="E36" s="19"/>
      <c r="F36" s="19"/>
      <c r="G36" s="19"/>
    </row>
    <row r="37" spans="1:7" x14ac:dyDescent="0.25">
      <c r="A37" s="19" t="s">
        <v>138</v>
      </c>
      <c r="B37" s="15" t="e">
        <f>#REF!</f>
        <v>#REF!</v>
      </c>
      <c r="C37" s="15">
        <f>'[1]Peer Analysis working '!J32</f>
        <v>378.6</v>
      </c>
      <c r="D37" s="15">
        <f>'[1]Peer Analysis working '!K32</f>
        <v>27.8</v>
      </c>
      <c r="E37" s="15">
        <f>'[1]Peer Analysis working '!L32</f>
        <v>72.2</v>
      </c>
      <c r="F37" s="15">
        <f>'[1]Peer Analysis working '!M32</f>
        <v>229.65</v>
      </c>
      <c r="G37" s="15"/>
    </row>
    <row r="38" spans="1:7" x14ac:dyDescent="0.25">
      <c r="A38" s="14" t="s">
        <v>118</v>
      </c>
      <c r="B38" s="15">
        <f>B18</f>
        <v>6806.94</v>
      </c>
      <c r="C38" s="15">
        <f>C18</f>
        <v>47546</v>
      </c>
      <c r="D38" s="15">
        <f>D18</f>
        <v>31513</v>
      </c>
      <c r="E38" s="15">
        <f>E18</f>
        <v>60583</v>
      </c>
      <c r="F38" s="15">
        <f>F18</f>
        <v>256090</v>
      </c>
      <c r="G38" s="15"/>
    </row>
    <row r="39" spans="1:7" x14ac:dyDescent="0.25">
      <c r="A39" s="14" t="s">
        <v>117</v>
      </c>
      <c r="B39" s="15">
        <f>'[1]Peer Analysis working '!I34</f>
        <v>424.30483395116869</v>
      </c>
      <c r="C39" s="15">
        <f>'[1]Peer Analysis working '!J34</f>
        <v>3159.0198334701026</v>
      </c>
      <c r="D39" s="15">
        <f>'[1]Peer Analysis working '!K34</f>
        <v>834.57076928658807</v>
      </c>
      <c r="E39" s="15">
        <f>'[1]Peer Analysis working '!L34</f>
        <v>1979.6308102742653</v>
      </c>
      <c r="F39" s="15">
        <f>'[1]Peer Analysis working '!M34</f>
        <v>2328.7001605629166</v>
      </c>
      <c r="G39" s="15"/>
    </row>
    <row r="40" spans="1:7" x14ac:dyDescent="0.25">
      <c r="A40" s="14" t="s">
        <v>116</v>
      </c>
      <c r="B40" s="13">
        <f>'[1]Peer Analysis working '!I38</f>
        <v>9.1637358343103104E-2</v>
      </c>
      <c r="C40" s="13">
        <f>'[1]Peer Analysis working '!J38</f>
        <v>0.16579733310898917</v>
      </c>
      <c r="D40" s="13">
        <f>'[1]Peer Analysis working '!K38</f>
        <v>9.392948941706597E-2</v>
      </c>
      <c r="E40" s="13">
        <f>'[1]Peer Analysis working '!L38</f>
        <v>1.6456761797864088E-2</v>
      </c>
      <c r="F40" s="13">
        <f>'[1]Peer Analysis working '!M38</f>
        <v>0.13475731188254128</v>
      </c>
      <c r="G40" s="13"/>
    </row>
    <row r="41" spans="1:7" x14ac:dyDescent="0.25">
      <c r="A41" s="14" t="s">
        <v>115</v>
      </c>
      <c r="B41" s="13">
        <f>'[1]Peer Analysis working '!I39</f>
        <v>0.15966919879744115</v>
      </c>
      <c r="C41" s="13">
        <f>'[1]Peer Analysis working '!J39</f>
        <v>0.23463756949794889</v>
      </c>
      <c r="D41" s="13">
        <f>'[1]Peer Analysis working '!K39</f>
        <v>0.16266310441067727</v>
      </c>
      <c r="E41" s="13">
        <f>'[1]Peer Analysis working '!L39</f>
        <v>7.0130917016226549E-2</v>
      </c>
      <c r="F41" s="13">
        <f>'[1]Peer Analysis working '!M39</f>
        <v>0.12677259525029899</v>
      </c>
      <c r="G41" s="13"/>
    </row>
    <row r="42" spans="1:7" x14ac:dyDescent="0.25">
      <c r="A42" s="14" t="s">
        <v>114</v>
      </c>
      <c r="B42" s="16">
        <f>'[1]Peer Analysis working '!I40</f>
        <v>0.19664505085895492</v>
      </c>
      <c r="C42" s="16">
        <f>'[1]Peer Analysis working '!J40</f>
        <v>0.68930559505911992</v>
      </c>
      <c r="D42" s="16">
        <f>'[1]Peer Analysis working '!K40</f>
        <v>0.63170644710638169</v>
      </c>
      <c r="E42" s="16">
        <f>'[1]Peer Analysis working '!L40</f>
        <v>0.8970505519229417</v>
      </c>
      <c r="F42" s="16">
        <f>'[1]Peer Analysis working '!M40</f>
        <v>0.46451642047251207</v>
      </c>
      <c r="G42" s="16"/>
    </row>
    <row r="43" spans="1:7" x14ac:dyDescent="0.25">
      <c r="A43" s="14" t="s">
        <v>113</v>
      </c>
      <c r="B43" s="17">
        <f>'[1]Peer Analysis working '!I45</f>
        <v>66.342013720741051</v>
      </c>
      <c r="C43" s="17">
        <f>'[1]Peer Analysis working '!J45</f>
        <v>65.062573645930684</v>
      </c>
      <c r="D43" s="17">
        <f>'[1]Peer Analysis working '!K45</f>
        <v>86.592976250631622</v>
      </c>
      <c r="E43" s="17">
        <f>'[1]Peer Analysis working '!L45</f>
        <v>107.90185790620825</v>
      </c>
      <c r="F43" s="17">
        <f>'[1]Peer Analysis working '!M45</f>
        <v>56.711275240547494</v>
      </c>
      <c r="G43" s="17"/>
    </row>
    <row r="44" spans="1:7" x14ac:dyDescent="0.25">
      <c r="A44" s="14" t="s">
        <v>86</v>
      </c>
      <c r="B44" s="17">
        <f>'[1]Peer Analysis working '!I47</f>
        <v>0</v>
      </c>
      <c r="C44" s="17">
        <f>'[1]Peer Analysis working '!J47</f>
        <v>0</v>
      </c>
      <c r="D44" s="17">
        <f>'[1]Peer Analysis working '!K47</f>
        <v>10.79</v>
      </c>
      <c r="E44" s="17">
        <f>'[1]Peer Analysis working '!L47</f>
        <v>0</v>
      </c>
      <c r="F44" s="17">
        <f>'[1]Peer Analysis working '!M47</f>
        <v>16.899999999999999</v>
      </c>
      <c r="G44" s="17"/>
    </row>
    <row r="45" spans="1:7" x14ac:dyDescent="0.25">
      <c r="A45" s="14" t="s">
        <v>112</v>
      </c>
      <c r="B45" s="18">
        <f>'[1]Peer Analysis working '!I46</f>
        <v>6242.8348665021331</v>
      </c>
      <c r="C45" s="17">
        <f>'[1]Peer Analysis working '!J46</f>
        <v>17.260000000000002</v>
      </c>
      <c r="D45" s="17">
        <f>'[1]Peer Analysis working '!K46</f>
        <v>29.69</v>
      </c>
      <c r="E45" s="17">
        <f>'[1]Peer Analysis working '!L46</f>
        <v>50.87</v>
      </c>
      <c r="F45" s="17">
        <f>'[1]Peer Analysis working '!M46</f>
        <v>51.52</v>
      </c>
      <c r="G45" s="17"/>
    </row>
    <row r="46" spans="1:7" x14ac:dyDescent="0.25">
      <c r="A46" s="14" t="s">
        <v>111</v>
      </c>
      <c r="B46" s="18">
        <f>'[1]Peer Analysis working '!I48</f>
        <v>-6176.4928527813918</v>
      </c>
      <c r="C46" s="17">
        <f>'[1]Peer Analysis working '!J48</f>
        <v>47.802573645930678</v>
      </c>
      <c r="D46" s="17">
        <f>'[1]Peer Analysis working '!K48</f>
        <v>67.692976250631631</v>
      </c>
      <c r="E46" s="17">
        <f>'[1]Peer Analysis working '!L48</f>
        <v>57.031857906208252</v>
      </c>
      <c r="F46" s="17">
        <f>'[1]Peer Analysis working '!M48</f>
        <v>22.091275240547482</v>
      </c>
      <c r="G46" s="17"/>
    </row>
    <row r="47" spans="1:7" x14ac:dyDescent="0.25">
      <c r="A47" s="14" t="s">
        <v>88</v>
      </c>
      <c r="B47" s="17">
        <f>'[1]Peer Analysis working '!I49</f>
        <v>38.568782865166789</v>
      </c>
      <c r="C47" s="17">
        <f>'[1]Peer Analysis working '!J49</f>
        <v>104.5124131485921</v>
      </c>
      <c r="D47" s="17">
        <f>'[1]Peer Analysis working '!K49</f>
        <v>-3.1679695627619462</v>
      </c>
      <c r="E47" s="17">
        <f>'[1]Peer Analysis working '!L49</f>
        <v>102.35551571398437</v>
      </c>
      <c r="F47" s="17">
        <f>'[1]Peer Analysis working '!M49</f>
        <v>168.22119076658987</v>
      </c>
      <c r="G47" s="17"/>
    </row>
    <row r="48" spans="1:7" x14ac:dyDescent="0.25">
      <c r="A48" s="14" t="s">
        <v>110</v>
      </c>
      <c r="B48" s="16">
        <f>'[1]Peer Analysis working '!I41</f>
        <v>0.2653350844873027</v>
      </c>
      <c r="C48" s="16">
        <f>'[1]Peer Analysis working '!J41</f>
        <v>0</v>
      </c>
      <c r="D48" s="16">
        <f>'[1]Peer Analysis working '!K41</f>
        <v>0.38774474026592198</v>
      </c>
      <c r="E48" s="16">
        <f>'[1]Peer Analysis working '!L41</f>
        <v>0.15337635970486771</v>
      </c>
      <c r="F48" s="16">
        <f>'[1]Peer Analysis working '!M41</f>
        <v>0.14596430942246866</v>
      </c>
      <c r="G48" s="16"/>
    </row>
    <row r="49" spans="1:7" x14ac:dyDescent="0.25">
      <c r="A49" s="14" t="s">
        <v>109</v>
      </c>
      <c r="B49" s="16">
        <f>'[1]Peer Analysis working '!I42</f>
        <v>-5.998289980519883E-2</v>
      </c>
      <c r="C49" s="16">
        <f>'[1]Peer Analysis working '!J42</f>
        <v>-3.8383880873259578E-2</v>
      </c>
      <c r="D49" s="16">
        <f>'[1]Peer Analysis working '!K42</f>
        <v>0.16510646399898457</v>
      </c>
      <c r="E49" s="16">
        <f>'[1]Peer Analysis working '!L42</f>
        <v>0.128352838254956</v>
      </c>
      <c r="F49" s="16">
        <f>'[1]Peer Analysis working '!M42</f>
        <v>-0.22570190167519233</v>
      </c>
      <c r="G49" s="16"/>
    </row>
    <row r="50" spans="1:7" x14ac:dyDescent="0.25">
      <c r="A50" s="14" t="s">
        <v>105</v>
      </c>
      <c r="B50" s="15">
        <f>'[1]Peer Analysis working '!I51</f>
        <v>3.7837018647884131</v>
      </c>
      <c r="C50" s="15">
        <f>'[1]Peer Analysis working '!J51</f>
        <v>158.70422535211267</v>
      </c>
      <c r="D50" s="15">
        <f>'[1]Peer Analysis working '!K51</f>
        <v>2.2760347129506009</v>
      </c>
      <c r="E50" s="15">
        <f>'[1]Peer Analysis working '!L51</f>
        <v>3.4877505567928733</v>
      </c>
      <c r="F50" s="15">
        <f>'[1]Peer Analysis working '!M51</f>
        <v>10.687242798353909</v>
      </c>
      <c r="G50" s="15"/>
    </row>
    <row r="51" spans="1:7" x14ac:dyDescent="0.25">
      <c r="A51" s="14" t="s">
        <v>108</v>
      </c>
      <c r="B51" s="13">
        <f>'[1]Peer Analysis working '!I50</f>
        <v>0.19180342391424715</v>
      </c>
      <c r="C51" s="13">
        <f>'[1]Peer Analysis working '!J50</f>
        <v>0</v>
      </c>
      <c r="D51" s="13">
        <f>'[1]Peer Analysis working '!K50</f>
        <v>0.24519191423193387</v>
      </c>
      <c r="E51" s="13">
        <f>'[1]Peer Analysis working '!L50</f>
        <v>0.14496340938441668</v>
      </c>
      <c r="F51" s="13">
        <f>'[1]Peer Analysis working '!M50</f>
        <v>0.13001605136436598</v>
      </c>
      <c r="G51" s="13"/>
    </row>
  </sheetData>
  <mergeCells count="2">
    <mergeCell ref="A1:F1"/>
    <mergeCell ref="A2:A3"/>
  </mergeCells>
  <printOptions horizontalCentered="1"/>
  <pageMargins left="0.39370078740157483" right="0.39370078740157483" top="0.39370078740157483" bottom="0.39370078740157483" header="0.31496062992125984" footer="0.31496062992125984"/>
  <pageSetup paperSize="9" scale="84"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87"/>
  <sheetViews>
    <sheetView tabSelected="1" zoomScale="70" zoomScaleNormal="70" workbookViewId="0">
      <pane xSplit="1" ySplit="3" topLeftCell="F4" activePane="bottomRight" state="frozen"/>
      <selection pane="topRight" activeCell="B1" sqref="B1"/>
      <selection pane="bottomLeft" activeCell="A3" sqref="A3"/>
      <selection pane="bottomRight" activeCell="Z17" sqref="Z17"/>
    </sheetView>
  </sheetViews>
  <sheetFormatPr defaultColWidth="8.85546875" defaultRowHeight="15" x14ac:dyDescent="0.25"/>
  <cols>
    <col min="1" max="1" width="46.85546875" style="62" bestFit="1" customWidth="1"/>
    <col min="2" max="2" width="3.28515625" style="62" hidden="1" customWidth="1"/>
    <col min="3" max="3" width="9.140625" style="62" hidden="1" customWidth="1"/>
    <col min="4" max="4" width="8.85546875" style="62" hidden="1" customWidth="1"/>
    <col min="5" max="5" width="9.85546875" style="62" hidden="1" customWidth="1"/>
    <col min="6" max="6" width="11.85546875" style="62" bestFit="1" customWidth="1"/>
    <col min="7" max="7" width="9.5703125" style="62" customWidth="1"/>
    <col min="8" max="8" width="11.85546875" style="62" bestFit="1" customWidth="1"/>
    <col min="9" max="9" width="11" style="62" bestFit="1" customWidth="1"/>
    <col min="10" max="10" width="13.85546875" style="62" bestFit="1" customWidth="1"/>
    <col min="11" max="11" width="2.5703125" style="62" customWidth="1"/>
    <col min="12" max="12" width="56.42578125" style="62" customWidth="1"/>
    <col min="13" max="13" width="2.85546875" style="62" hidden="1" customWidth="1"/>
    <col min="14" max="14" width="9.140625" style="62" hidden="1" customWidth="1"/>
    <col min="15" max="16" width="8.85546875" style="62" hidden="1" customWidth="1"/>
    <col min="17" max="17" width="12.28515625" style="62" bestFit="1" customWidth="1"/>
    <col min="18" max="18" width="11.7109375" style="62" bestFit="1" customWidth="1"/>
    <col min="19" max="19" width="13.42578125" style="62" bestFit="1" customWidth="1"/>
    <col min="20" max="20" width="11.28515625" style="62" bestFit="1" customWidth="1"/>
    <col min="21" max="21" width="13" style="62" bestFit="1" customWidth="1"/>
    <col min="22" max="22" width="12.140625" style="62" bestFit="1" customWidth="1"/>
    <col min="23" max="16384" width="8.85546875" style="62"/>
  </cols>
  <sheetData>
    <row r="1" spans="1:21" ht="18.75" x14ac:dyDescent="0.3">
      <c r="A1" s="140" t="s">
        <v>154</v>
      </c>
      <c r="B1" s="140"/>
      <c r="C1" s="140"/>
      <c r="D1" s="140"/>
      <c r="E1" s="140"/>
      <c r="F1" s="140"/>
      <c r="G1" s="140"/>
      <c r="H1" s="140"/>
      <c r="I1" s="140"/>
      <c r="J1" s="140"/>
      <c r="K1" s="140"/>
      <c r="L1" s="140"/>
      <c r="M1" s="140"/>
      <c r="N1" s="140"/>
      <c r="O1" s="140"/>
      <c r="P1" s="140"/>
      <c r="Q1" s="140"/>
      <c r="R1" s="140"/>
      <c r="S1" s="140"/>
      <c r="T1" s="140"/>
      <c r="U1" s="140"/>
    </row>
    <row r="2" spans="1:21" ht="12.6" customHeight="1" x14ac:dyDescent="0.25">
      <c r="A2" s="139" t="s">
        <v>147</v>
      </c>
      <c r="B2" s="139"/>
      <c r="C2" s="139"/>
      <c r="D2" s="139"/>
      <c r="E2" s="139"/>
      <c r="F2" s="139"/>
      <c r="G2" s="139"/>
      <c r="H2" s="139"/>
      <c r="I2" s="139"/>
      <c r="J2" s="109"/>
      <c r="K2" s="50"/>
      <c r="L2" s="138" t="s">
        <v>148</v>
      </c>
      <c r="M2" s="139"/>
      <c r="N2" s="139"/>
      <c r="O2" s="139"/>
      <c r="P2" s="139"/>
      <c r="Q2" s="139"/>
      <c r="R2" s="139"/>
      <c r="S2" s="139"/>
      <c r="T2" s="139"/>
      <c r="U2" s="139"/>
    </row>
    <row r="3" spans="1:21" x14ac:dyDescent="0.25">
      <c r="A3" s="67" t="s">
        <v>0</v>
      </c>
      <c r="B3" s="68"/>
      <c r="C3" s="68" t="s">
        <v>35</v>
      </c>
      <c r="D3" s="68" t="s">
        <v>34</v>
      </c>
      <c r="E3" s="68" t="s">
        <v>1</v>
      </c>
      <c r="F3" s="67" t="s">
        <v>2</v>
      </c>
      <c r="G3" s="67" t="s">
        <v>52</v>
      </c>
      <c r="H3" s="67" t="s">
        <v>139</v>
      </c>
      <c r="I3" s="67" t="s">
        <v>153</v>
      </c>
      <c r="J3" s="67" t="s">
        <v>163</v>
      </c>
      <c r="K3" s="51"/>
      <c r="L3" s="67" t="s">
        <v>0</v>
      </c>
      <c r="M3" s="67"/>
      <c r="N3" s="68" t="s">
        <v>35</v>
      </c>
      <c r="O3" s="68" t="s">
        <v>34</v>
      </c>
      <c r="P3" s="68" t="s">
        <v>1</v>
      </c>
      <c r="Q3" s="67" t="s">
        <v>2</v>
      </c>
      <c r="R3" s="67" t="s">
        <v>52</v>
      </c>
      <c r="S3" s="67" t="s">
        <v>139</v>
      </c>
      <c r="T3" s="67" t="s">
        <v>153</v>
      </c>
      <c r="U3" s="67" t="s">
        <v>163</v>
      </c>
    </row>
    <row r="4" spans="1:21" x14ac:dyDescent="0.25">
      <c r="A4" s="69" t="s">
        <v>36</v>
      </c>
      <c r="B4" s="70"/>
      <c r="C4" s="71">
        <v>25271.9</v>
      </c>
      <c r="D4" s="71">
        <v>41824.199999999997</v>
      </c>
      <c r="E4" s="71">
        <v>27568.400000000001</v>
      </c>
      <c r="F4" s="113">
        <f>55971.71/10</f>
        <v>5597.1710000000003</v>
      </c>
      <c r="G4" s="114">
        <f>61386.48/10</f>
        <v>6138.6480000000001</v>
      </c>
      <c r="H4" s="113">
        <v>5130.7560000000003</v>
      </c>
      <c r="I4" s="113">
        <v>3624.4720000000002</v>
      </c>
      <c r="J4" s="113">
        <v>5648.4679999999998</v>
      </c>
      <c r="K4" s="50"/>
      <c r="L4" s="69" t="s">
        <v>3</v>
      </c>
      <c r="M4" s="70"/>
      <c r="N4" s="71">
        <v>186.1</v>
      </c>
      <c r="O4" s="71">
        <v>186.1</v>
      </c>
      <c r="P4" s="71">
        <v>186.1</v>
      </c>
      <c r="Q4" s="71">
        <v>140</v>
      </c>
      <c r="R4" s="113">
        <v>140</v>
      </c>
      <c r="S4" s="113">
        <v>140.44999999999999</v>
      </c>
      <c r="T4" s="113">
        <v>140.47900000000001</v>
      </c>
      <c r="U4" s="113">
        <v>146.48599999999999</v>
      </c>
    </row>
    <row r="5" spans="1:21" x14ac:dyDescent="0.25">
      <c r="A5" s="83" t="s">
        <v>37</v>
      </c>
      <c r="B5" s="84"/>
      <c r="C5" s="84"/>
      <c r="D5" s="84">
        <f t="shared" ref="D5:E5" si="0">D4/C4-1</f>
        <v>0.65496856192055186</v>
      </c>
      <c r="E5" s="84">
        <f t="shared" si="0"/>
        <v>-0.34085051238278308</v>
      </c>
      <c r="F5" s="108"/>
      <c r="G5" s="108">
        <f>G4/F4-1</f>
        <v>9.6741193006252502E-2</v>
      </c>
      <c r="H5" s="108">
        <f>H4/G4-1</f>
        <v>-0.16418794496768663</v>
      </c>
      <c r="I5" s="133">
        <f>I4/H4-1</f>
        <v>-0.29357934776083683</v>
      </c>
      <c r="J5" s="133">
        <f>J4/I4-1</f>
        <v>0.5584250616365638</v>
      </c>
      <c r="K5" s="52"/>
      <c r="L5" s="69" t="s">
        <v>4</v>
      </c>
      <c r="M5" s="70"/>
      <c r="N5" s="71">
        <v>485</v>
      </c>
      <c r="O5" s="71">
        <v>641.20000000000005</v>
      </c>
      <c r="P5" s="71">
        <v>683.7</v>
      </c>
      <c r="Q5" s="71">
        <v>27347</v>
      </c>
      <c r="R5" s="113">
        <v>27582</v>
      </c>
      <c r="S5" s="113">
        <v>27763.588</v>
      </c>
      <c r="T5" s="113">
        <v>27738.077000000001</v>
      </c>
      <c r="U5" s="113">
        <v>31095.481</v>
      </c>
    </row>
    <row r="6" spans="1:21" x14ac:dyDescent="0.25">
      <c r="A6" s="83" t="s">
        <v>38</v>
      </c>
      <c r="B6" s="85"/>
      <c r="C6" s="86"/>
      <c r="D6" s="86"/>
      <c r="E6" s="84"/>
      <c r="F6" s="108"/>
      <c r="G6" s="108"/>
      <c r="H6" s="108"/>
      <c r="I6" s="133"/>
      <c r="J6" s="133">
        <f>((J4/G4)^(1/3)-1)</f>
        <v>-2.7358832695006274E-2</v>
      </c>
      <c r="K6" s="52"/>
      <c r="L6" s="72" t="s">
        <v>5</v>
      </c>
      <c r="M6" s="73"/>
      <c r="N6" s="74">
        <f t="shared" ref="N6:O6" si="1">SUM(N4:N5)</f>
        <v>671.1</v>
      </c>
      <c r="O6" s="74">
        <f t="shared" si="1"/>
        <v>827.30000000000007</v>
      </c>
      <c r="P6" s="74">
        <f t="shared" ref="P6:U6" si="2">SUM(P4:P5)</f>
        <v>869.80000000000007</v>
      </c>
      <c r="Q6" s="74">
        <f t="shared" si="2"/>
        <v>27487</v>
      </c>
      <c r="R6" s="74">
        <f t="shared" si="2"/>
        <v>27722</v>
      </c>
      <c r="S6" s="74">
        <f t="shared" si="2"/>
        <v>27904.038</v>
      </c>
      <c r="T6" s="74">
        <f t="shared" si="2"/>
        <v>27878.556</v>
      </c>
      <c r="U6" s="74">
        <f t="shared" si="2"/>
        <v>31241.967000000001</v>
      </c>
    </row>
    <row r="7" spans="1:21" x14ac:dyDescent="0.25">
      <c r="A7" s="79" t="s">
        <v>39</v>
      </c>
      <c r="B7" s="70"/>
      <c r="C7" s="70"/>
      <c r="D7" s="70"/>
      <c r="E7" s="71"/>
      <c r="F7" s="113"/>
      <c r="G7" s="113"/>
      <c r="H7" s="113"/>
      <c r="I7" s="113"/>
      <c r="J7" s="113"/>
      <c r="K7" s="53"/>
      <c r="L7" s="69" t="s">
        <v>150</v>
      </c>
      <c r="M7" s="70"/>
      <c r="N7" s="71">
        <v>-7.3</v>
      </c>
      <c r="O7" s="71">
        <v>-5.4</v>
      </c>
      <c r="P7" s="71">
        <v>0</v>
      </c>
      <c r="Q7" s="71">
        <v>0</v>
      </c>
      <c r="R7" s="113">
        <v>0</v>
      </c>
      <c r="S7" s="113">
        <v>0</v>
      </c>
      <c r="T7" s="113">
        <v>0</v>
      </c>
      <c r="U7" s="113">
        <v>0</v>
      </c>
    </row>
    <row r="8" spans="1:21" x14ac:dyDescent="0.25">
      <c r="A8" s="80" t="s">
        <v>155</v>
      </c>
      <c r="B8" s="70"/>
      <c r="C8" s="71">
        <v>1029.0999999999999</v>
      </c>
      <c r="D8" s="71">
        <v>1072.4000000000001</v>
      </c>
      <c r="E8" s="71">
        <v>674</v>
      </c>
      <c r="F8" s="113">
        <f>36200.68/10</f>
        <v>3620.0680000000002</v>
      </c>
      <c r="G8" s="113">
        <f>24115.38/10</f>
        <v>2411.538</v>
      </c>
      <c r="H8" s="113">
        <v>8618.4560000000001</v>
      </c>
      <c r="I8" s="113">
        <v>14732.843999999999</v>
      </c>
      <c r="J8" s="113">
        <v>4163.393</v>
      </c>
      <c r="K8" s="53"/>
      <c r="L8" s="69" t="s">
        <v>6</v>
      </c>
      <c r="M8" s="70"/>
      <c r="N8" s="71">
        <f>18.8</f>
        <v>18.8</v>
      </c>
      <c r="O8" s="71">
        <v>0</v>
      </c>
      <c r="P8" s="71">
        <f>0</f>
        <v>0</v>
      </c>
      <c r="Q8" s="71">
        <v>4741</v>
      </c>
      <c r="R8" s="113">
        <v>5520</v>
      </c>
      <c r="S8" s="113">
        <v>4403.1980000000003</v>
      </c>
      <c r="T8" s="113">
        <v>4208.3890000000001</v>
      </c>
      <c r="U8" s="113">
        <v>2506.701</v>
      </c>
    </row>
    <row r="9" spans="1:21" x14ac:dyDescent="0.25">
      <c r="A9" s="80" t="s">
        <v>53</v>
      </c>
      <c r="B9" s="87"/>
      <c r="C9" s="88">
        <v>-1091.4000000000001</v>
      </c>
      <c r="D9" s="88">
        <v>-3299.5</v>
      </c>
      <c r="E9" s="88">
        <v>4577.3999999999996</v>
      </c>
      <c r="F9" s="114">
        <f>-(11209.71/10)</f>
        <v>-1120.971</v>
      </c>
      <c r="G9" s="114">
        <f>12540.29/10</f>
        <v>1254.029</v>
      </c>
      <c r="H9" s="114">
        <v>-6045.5020000000004</v>
      </c>
      <c r="I9" s="114">
        <v>-13456.816999999999</v>
      </c>
      <c r="J9" s="114">
        <v>-1810.8409999999999</v>
      </c>
      <c r="K9" s="54"/>
      <c r="L9" s="69" t="s">
        <v>7</v>
      </c>
      <c r="M9" s="70"/>
      <c r="N9" s="71">
        <v>205.7</v>
      </c>
      <c r="O9" s="71">
        <v>32.9</v>
      </c>
      <c r="P9" s="71">
        <f>0</f>
        <v>0</v>
      </c>
      <c r="Q9" s="71">
        <v>1772</v>
      </c>
      <c r="R9" s="113">
        <v>1024</v>
      </c>
      <c r="S9" s="113">
        <v>3478.998</v>
      </c>
      <c r="T9" s="113">
        <v>2645.7779999999998</v>
      </c>
      <c r="U9" s="113">
        <v>1242.7049999999999</v>
      </c>
    </row>
    <row r="10" spans="1:21" x14ac:dyDescent="0.25">
      <c r="A10" s="80"/>
      <c r="B10" s="87"/>
      <c r="C10" s="88"/>
      <c r="D10" s="88"/>
      <c r="E10" s="88"/>
      <c r="F10" s="114"/>
      <c r="G10" s="114"/>
      <c r="H10" s="115"/>
      <c r="I10" s="115"/>
      <c r="J10" s="115"/>
      <c r="K10" s="55"/>
      <c r="L10" s="72" t="s">
        <v>151</v>
      </c>
      <c r="M10" s="73"/>
      <c r="N10" s="74">
        <f t="shared" ref="N10:U10" si="3">SUM(N8:N9)</f>
        <v>224.5</v>
      </c>
      <c r="O10" s="74">
        <f t="shared" si="3"/>
        <v>32.9</v>
      </c>
      <c r="P10" s="74">
        <f t="shared" si="3"/>
        <v>0</v>
      </c>
      <c r="Q10" s="74">
        <f t="shared" si="3"/>
        <v>6513</v>
      </c>
      <c r="R10" s="74">
        <f t="shared" si="3"/>
        <v>6544</v>
      </c>
      <c r="S10" s="74">
        <f t="shared" si="3"/>
        <v>7882.1959999999999</v>
      </c>
      <c r="T10" s="74">
        <f t="shared" si="3"/>
        <v>6854.1669999999995</v>
      </c>
      <c r="U10" s="74">
        <f t="shared" si="3"/>
        <v>3749.4059999999999</v>
      </c>
    </row>
    <row r="11" spans="1:21" x14ac:dyDescent="0.25">
      <c r="A11" s="80" t="s">
        <v>40</v>
      </c>
      <c r="B11" s="87"/>
      <c r="C11" s="88">
        <v>324.5</v>
      </c>
      <c r="D11" s="88">
        <v>331.1</v>
      </c>
      <c r="E11" s="88">
        <v>361</v>
      </c>
      <c r="F11" s="114">
        <f>4175.62/10</f>
        <v>417.56200000000001</v>
      </c>
      <c r="G11" s="114">
        <f>3672.42/10</f>
        <v>367.24200000000002</v>
      </c>
      <c r="H11" s="114">
        <v>527.59900000000005</v>
      </c>
      <c r="I11" s="114">
        <v>689.923</v>
      </c>
      <c r="J11" s="114">
        <v>902.62</v>
      </c>
      <c r="K11" s="54"/>
      <c r="L11" s="75"/>
      <c r="M11" s="76"/>
      <c r="N11" s="77"/>
      <c r="O11" s="77"/>
      <c r="P11" s="77"/>
      <c r="Q11" s="77"/>
      <c r="R11" s="113"/>
      <c r="S11" s="113"/>
      <c r="T11" s="113"/>
      <c r="U11" s="113"/>
    </row>
    <row r="12" spans="1:21" x14ac:dyDescent="0.25">
      <c r="A12" s="80" t="s">
        <v>41</v>
      </c>
      <c r="B12" s="70"/>
      <c r="C12" s="71">
        <f>727.9+39.9</f>
        <v>767.8</v>
      </c>
      <c r="D12" s="71">
        <f>704.3+14.4</f>
        <v>718.69999999999993</v>
      </c>
      <c r="E12" s="71">
        <v>812.7</v>
      </c>
      <c r="F12" s="113">
        <f>9986.48/10</f>
        <v>998.64799999999991</v>
      </c>
      <c r="G12" s="113">
        <f>7366.43/10</f>
        <v>736.64300000000003</v>
      </c>
      <c r="H12" s="113">
        <v>1076.896</v>
      </c>
      <c r="I12" s="113">
        <v>1016.759</v>
      </c>
      <c r="J12" s="113">
        <v>1220.4580000000001</v>
      </c>
      <c r="K12" s="53"/>
      <c r="L12" s="72" t="s">
        <v>146</v>
      </c>
      <c r="M12" s="73"/>
      <c r="N12" s="74">
        <f t="shared" ref="N12:U12" si="4">N6+N7+N8+N59</f>
        <v>710.9</v>
      </c>
      <c r="O12" s="74">
        <f t="shared" si="4"/>
        <v>855.00000000000011</v>
      </c>
      <c r="P12" s="74">
        <f t="shared" si="4"/>
        <v>908.80000000000007</v>
      </c>
      <c r="Q12" s="74">
        <f t="shared" si="4"/>
        <v>37015</v>
      </c>
      <c r="R12" s="74">
        <f t="shared" si="4"/>
        <v>38815</v>
      </c>
      <c r="S12" s="74">
        <f t="shared" si="4"/>
        <v>32355.621999999999</v>
      </c>
      <c r="T12" s="74">
        <f t="shared" si="4"/>
        <v>32237.206999999999</v>
      </c>
      <c r="U12" s="74">
        <f t="shared" si="4"/>
        <v>33913.667999999998</v>
      </c>
    </row>
    <row r="13" spans="1:21" x14ac:dyDescent="0.25">
      <c r="A13" s="72" t="s">
        <v>42</v>
      </c>
      <c r="B13" s="73"/>
      <c r="C13" s="74">
        <f t="shared" ref="C13:E13" si="5">C4-SUM(C8:C12)</f>
        <v>24241.9</v>
      </c>
      <c r="D13" s="74">
        <f t="shared" si="5"/>
        <v>43001.5</v>
      </c>
      <c r="E13" s="74">
        <f t="shared" si="5"/>
        <v>21143.300000000003</v>
      </c>
      <c r="F13" s="74">
        <f>F4-SUM(F8:F12)</f>
        <v>1681.8640000000005</v>
      </c>
      <c r="G13" s="74">
        <f>G4-SUM(G8:G12)</f>
        <v>1369.1959999999999</v>
      </c>
      <c r="H13" s="74">
        <f>H4-SUM(H8:H12)</f>
        <v>953.3070000000007</v>
      </c>
      <c r="I13" s="74">
        <f>I4-SUM(I8:I12)</f>
        <v>641.76300000000037</v>
      </c>
      <c r="J13" s="74">
        <f>J4-SUM(J8:J12)</f>
        <v>1172.8379999999997</v>
      </c>
      <c r="K13" s="56"/>
      <c r="L13" s="72" t="s">
        <v>146</v>
      </c>
      <c r="M13" s="73"/>
      <c r="N13" s="74">
        <f t="shared" ref="N13:U13" si="6">N61-N52-N9</f>
        <v>710.90000000000032</v>
      </c>
      <c r="O13" s="74">
        <f t="shared" si="6"/>
        <v>854.99999999999966</v>
      </c>
      <c r="P13" s="74">
        <f t="shared" si="6"/>
        <v>908.80000000000007</v>
      </c>
      <c r="Q13" s="74">
        <f t="shared" si="6"/>
        <v>30502</v>
      </c>
      <c r="R13" s="74">
        <f t="shared" si="6"/>
        <v>32271</v>
      </c>
      <c r="S13" s="74">
        <f t="shared" si="6"/>
        <v>32355.621999999996</v>
      </c>
      <c r="T13" s="74">
        <f t="shared" si="6"/>
        <v>32237.207000000002</v>
      </c>
      <c r="U13" s="74">
        <f t="shared" si="6"/>
        <v>33913.667999999998</v>
      </c>
    </row>
    <row r="14" spans="1:21" x14ac:dyDescent="0.25">
      <c r="A14" s="83" t="s">
        <v>43</v>
      </c>
      <c r="B14" s="84"/>
      <c r="C14" s="84">
        <f t="shared" ref="C14:J14" si="7">C13/C4</f>
        <v>0.95924327019337685</v>
      </c>
      <c r="D14" s="84">
        <f t="shared" si="7"/>
        <v>1.0281487751110601</v>
      </c>
      <c r="E14" s="84">
        <f t="shared" si="7"/>
        <v>0.76693968456638761</v>
      </c>
      <c r="F14" s="84">
        <f t="shared" si="7"/>
        <v>0.30048465555188514</v>
      </c>
      <c r="G14" s="84">
        <f>G13/G4</f>
        <v>0.22304520474215167</v>
      </c>
      <c r="H14" s="84">
        <f>H13/H4</f>
        <v>0.1858024431487291</v>
      </c>
      <c r="I14" s="84">
        <f>I13/I4</f>
        <v>0.1770638592324621</v>
      </c>
      <c r="J14" s="84">
        <f t="shared" si="7"/>
        <v>0.20763824810550396</v>
      </c>
      <c r="K14" s="57"/>
      <c r="L14" s="69"/>
      <c r="M14" s="70"/>
      <c r="N14" s="71"/>
      <c r="O14" s="71"/>
      <c r="P14" s="71"/>
      <c r="Q14" s="71"/>
      <c r="R14" s="113"/>
      <c r="S14" s="113"/>
      <c r="T14" s="113"/>
      <c r="U14" s="113"/>
    </row>
    <row r="15" spans="1:21" x14ac:dyDescent="0.25">
      <c r="A15" s="83" t="s">
        <v>37</v>
      </c>
      <c r="B15" s="84"/>
      <c r="C15" s="84"/>
      <c r="D15" s="84">
        <f t="shared" ref="D15:E15" si="8">D14/C14-1</f>
        <v>7.1833190869081909E-2</v>
      </c>
      <c r="E15" s="84">
        <f t="shared" si="8"/>
        <v>-0.25405767809863589</v>
      </c>
      <c r="F15" s="108"/>
      <c r="G15" s="108"/>
      <c r="H15" s="108"/>
      <c r="I15" s="108"/>
      <c r="J15" s="108">
        <f>J13/I13-1</f>
        <v>0.82752511441139331</v>
      </c>
      <c r="K15" s="52"/>
      <c r="L15" s="72" t="s">
        <v>8</v>
      </c>
      <c r="M15" s="73"/>
      <c r="N15" s="74"/>
      <c r="O15" s="74"/>
      <c r="P15" s="74"/>
      <c r="Q15" s="74"/>
      <c r="R15" s="74"/>
      <c r="S15" s="74"/>
      <c r="T15" s="74"/>
      <c r="U15" s="74"/>
    </row>
    <row r="16" spans="1:21" x14ac:dyDescent="0.25">
      <c r="A16" s="83" t="s">
        <v>38</v>
      </c>
      <c r="B16" s="89"/>
      <c r="C16" s="90"/>
      <c r="D16" s="90"/>
      <c r="E16" s="84"/>
      <c r="F16" s="108"/>
      <c r="G16" s="108"/>
      <c r="H16" s="108"/>
      <c r="I16" s="108"/>
      <c r="J16" s="108">
        <f>((J13/G13)^(1/3)-1)</f>
        <v>-5.0290456207565337E-2</v>
      </c>
      <c r="K16" s="52"/>
      <c r="L16" s="78" t="s">
        <v>9</v>
      </c>
      <c r="M16" s="70"/>
      <c r="N16" s="71"/>
      <c r="O16" s="71"/>
      <c r="P16" s="71"/>
      <c r="Q16" s="71"/>
      <c r="R16" s="113"/>
      <c r="S16" s="113"/>
      <c r="T16" s="113"/>
      <c r="U16" s="113"/>
    </row>
    <row r="17" spans="1:21" x14ac:dyDescent="0.25">
      <c r="A17" s="69" t="s">
        <v>44</v>
      </c>
      <c r="B17" s="70"/>
      <c r="C17" s="71">
        <v>30.8</v>
      </c>
      <c r="D17" s="71">
        <v>22.1</v>
      </c>
      <c r="E17" s="71">
        <v>37.299999999999997</v>
      </c>
      <c r="F17" s="113">
        <f>2048.82/10</f>
        <v>204.88200000000001</v>
      </c>
      <c r="G17" s="113">
        <f>1697.75/10</f>
        <v>169.77500000000001</v>
      </c>
      <c r="H17" s="113">
        <v>209.47200000000001</v>
      </c>
      <c r="I17" s="113">
        <v>284.25900000000001</v>
      </c>
      <c r="J17" s="113">
        <v>554.72</v>
      </c>
      <c r="K17" s="53"/>
      <c r="L17" s="69" t="s">
        <v>10</v>
      </c>
      <c r="M17" s="70"/>
      <c r="N17" s="71">
        <v>137.80000000000001</v>
      </c>
      <c r="O17" s="71">
        <v>99.3</v>
      </c>
      <c r="P17" s="71">
        <v>110.8</v>
      </c>
      <c r="Q17" s="71">
        <v>365</v>
      </c>
      <c r="R17" s="113">
        <v>334</v>
      </c>
      <c r="S17" s="113">
        <v>473.65899999999999</v>
      </c>
      <c r="T17" s="113">
        <v>522.38400000000001</v>
      </c>
      <c r="U17" s="113">
        <v>647.71199999999999</v>
      </c>
    </row>
    <row r="18" spans="1:21" x14ac:dyDescent="0.25">
      <c r="A18" s="69" t="s">
        <v>45</v>
      </c>
      <c r="B18" s="70"/>
      <c r="C18" s="71">
        <v>60.6</v>
      </c>
      <c r="D18" s="71">
        <v>46.1</v>
      </c>
      <c r="E18" s="71">
        <v>36.799999999999997</v>
      </c>
      <c r="F18" s="113">
        <f>371.15/10</f>
        <v>37.114999999999995</v>
      </c>
      <c r="G18" s="113">
        <f>520.35/10</f>
        <v>52.035000000000004</v>
      </c>
      <c r="H18" s="113">
        <v>72.867999999999995</v>
      </c>
      <c r="I18" s="113">
        <v>92.269000000000005</v>
      </c>
      <c r="J18" s="113">
        <v>95.331999999999994</v>
      </c>
      <c r="K18" s="53"/>
      <c r="L18" s="69" t="s">
        <v>11</v>
      </c>
      <c r="M18" s="70"/>
      <c r="N18" s="71">
        <v>0</v>
      </c>
      <c r="O18" s="71">
        <v>1.1000000000000001</v>
      </c>
      <c r="P18" s="71">
        <v>0</v>
      </c>
      <c r="Q18" s="71">
        <v>0</v>
      </c>
      <c r="R18" s="113">
        <v>93</v>
      </c>
      <c r="S18" s="113">
        <v>67.435000000000002</v>
      </c>
      <c r="T18" s="113">
        <v>1011.687</v>
      </c>
      <c r="U18" s="113">
        <v>183.166</v>
      </c>
    </row>
    <row r="19" spans="1:21" x14ac:dyDescent="0.25">
      <c r="A19" s="69" t="s">
        <v>54</v>
      </c>
      <c r="B19" s="70"/>
      <c r="C19" s="71">
        <v>28.1</v>
      </c>
      <c r="D19" s="71">
        <v>14.2</v>
      </c>
      <c r="E19" s="71">
        <f>1.5+2.6</f>
        <v>4.0999999999999996</v>
      </c>
      <c r="F19" s="113">
        <f>8131.62/10</f>
        <v>813.16200000000003</v>
      </c>
      <c r="G19" s="113">
        <f>8463.6/10</f>
        <v>846.36</v>
      </c>
      <c r="H19" s="113">
        <v>776.1</v>
      </c>
      <c r="I19" s="113">
        <v>858.95500000000004</v>
      </c>
      <c r="J19" s="113">
        <v>683.52</v>
      </c>
      <c r="K19" s="53"/>
      <c r="L19" s="69" t="s">
        <v>156</v>
      </c>
      <c r="M19" s="70"/>
      <c r="N19" s="71">
        <v>0</v>
      </c>
      <c r="O19" s="71">
        <v>0</v>
      </c>
      <c r="P19" s="71">
        <v>0</v>
      </c>
      <c r="Q19" s="71">
        <v>186</v>
      </c>
      <c r="R19" s="113">
        <v>194</v>
      </c>
      <c r="S19" s="113">
        <v>750.303</v>
      </c>
      <c r="T19" s="113">
        <v>967.26599999999996</v>
      </c>
      <c r="U19" s="113">
        <v>4233.5479999999998</v>
      </c>
    </row>
    <row r="20" spans="1:21" x14ac:dyDescent="0.25">
      <c r="A20" s="69" t="s">
        <v>157</v>
      </c>
      <c r="B20" s="70"/>
      <c r="C20" s="71">
        <v>0</v>
      </c>
      <c r="D20" s="71">
        <v>36.9</v>
      </c>
      <c r="E20" s="71">
        <v>-35.799999999999997</v>
      </c>
      <c r="F20" s="113">
        <f>-(70.14/10)</f>
        <v>-7.0140000000000002</v>
      </c>
      <c r="G20" s="113">
        <f>34.26/10</f>
        <v>3.4259999999999997</v>
      </c>
      <c r="H20" s="113">
        <v>11.726000000000001</v>
      </c>
      <c r="I20" s="113">
        <v>70.037000000000006</v>
      </c>
      <c r="J20" s="113">
        <v>1.0309999999999999</v>
      </c>
      <c r="K20" s="53"/>
      <c r="L20" s="69" t="s">
        <v>140</v>
      </c>
      <c r="M20" s="70"/>
      <c r="N20" s="71">
        <v>192.6</v>
      </c>
      <c r="O20" s="71">
        <v>188.1</v>
      </c>
      <c r="P20" s="71">
        <f>186.8+5.5</f>
        <v>192.3</v>
      </c>
      <c r="Q20" s="71">
        <v>0.9</v>
      </c>
      <c r="R20" s="113">
        <v>0.7</v>
      </c>
      <c r="S20" s="113">
        <v>0.99299999999999999</v>
      </c>
      <c r="T20" s="113">
        <v>0.68100000000000005</v>
      </c>
      <c r="U20" s="113">
        <v>23.276</v>
      </c>
    </row>
    <row r="21" spans="1:21" x14ac:dyDescent="0.25">
      <c r="A21" s="69" t="s">
        <v>162</v>
      </c>
      <c r="B21" s="70"/>
      <c r="C21" s="71"/>
      <c r="D21" s="71"/>
      <c r="E21" s="71"/>
      <c r="F21" s="113"/>
      <c r="G21" s="113">
        <f>603.5/10</f>
        <v>60.35</v>
      </c>
      <c r="H21" s="113"/>
      <c r="I21" s="113"/>
      <c r="J21" s="113"/>
      <c r="K21" s="53"/>
      <c r="L21" s="69" t="s">
        <v>141</v>
      </c>
      <c r="M21" s="70"/>
      <c r="N21" s="71">
        <v>0</v>
      </c>
      <c r="O21" s="71">
        <v>0</v>
      </c>
      <c r="P21" s="71">
        <v>3.7</v>
      </c>
      <c r="Q21" s="71">
        <v>0</v>
      </c>
      <c r="R21" s="113">
        <v>3</v>
      </c>
      <c r="S21" s="113">
        <v>6.0250000000000004</v>
      </c>
      <c r="T21" s="113">
        <v>13.09</v>
      </c>
      <c r="U21" s="113">
        <v>1.7689999999999999</v>
      </c>
    </row>
    <row r="22" spans="1:21" x14ac:dyDescent="0.25">
      <c r="A22" s="91" t="s">
        <v>46</v>
      </c>
      <c r="B22" s="92"/>
      <c r="C22" s="93">
        <f t="shared" ref="C22:E22" si="9">C13+C17+C20-SUM(C18:C19)</f>
        <v>24184</v>
      </c>
      <c r="D22" s="93">
        <f t="shared" si="9"/>
        <v>43000.2</v>
      </c>
      <c r="E22" s="93">
        <f t="shared" si="9"/>
        <v>21103.9</v>
      </c>
      <c r="F22" s="93">
        <f>F13+F17+F20-SUM(F18:F19)</f>
        <v>1029.4550000000006</v>
      </c>
      <c r="G22" s="93">
        <f>G13+G17-G18-G19+G20-G21</f>
        <v>583.65199999999993</v>
      </c>
      <c r="H22" s="93">
        <f>H13+H17+H20-SUM(H18:H19)</f>
        <v>325.53700000000072</v>
      </c>
      <c r="I22" s="93">
        <f>I13+I17+I20-SUM(I18:I19)</f>
        <v>44.835000000000377</v>
      </c>
      <c r="J22" s="93">
        <f>J13+J17+J20-SUM(J18:J19)</f>
        <v>949.73699999999974</v>
      </c>
      <c r="K22" s="53"/>
      <c r="L22" s="69" t="s">
        <v>159</v>
      </c>
      <c r="M22" s="70"/>
      <c r="N22" s="71"/>
      <c r="O22" s="71"/>
      <c r="P22" s="71"/>
      <c r="Q22" s="71">
        <v>2395</v>
      </c>
      <c r="R22" s="113">
        <v>2259</v>
      </c>
      <c r="S22" s="113">
        <v>2329.451</v>
      </c>
      <c r="T22" s="113">
        <v>2307.56</v>
      </c>
      <c r="U22" s="113">
        <v>2271.3420000000001</v>
      </c>
    </row>
    <row r="23" spans="1:21" x14ac:dyDescent="0.25">
      <c r="A23" s="69" t="s">
        <v>47</v>
      </c>
      <c r="B23" s="70"/>
      <c r="C23" s="71">
        <v>24</v>
      </c>
      <c r="D23" s="71">
        <v>82</v>
      </c>
      <c r="E23" s="71">
        <v>67.8</v>
      </c>
      <c r="F23" s="113">
        <f>(3453.6-645.8)/10</f>
        <v>280.78000000000003</v>
      </c>
      <c r="G23" s="113">
        <f>(1026.89+615.56)/10</f>
        <v>164.245</v>
      </c>
      <c r="H23" s="113">
        <v>74.617000000000004</v>
      </c>
      <c r="I23" s="113">
        <v>30.745999999999999</v>
      </c>
      <c r="J23" s="113">
        <f>J22-J26</f>
        <v>240.45299999999975</v>
      </c>
      <c r="K23" s="58"/>
      <c r="L23" s="79" t="s">
        <v>12</v>
      </c>
      <c r="M23" s="70"/>
      <c r="N23" s="71"/>
      <c r="O23" s="71"/>
      <c r="P23" s="71"/>
      <c r="Q23" s="71"/>
      <c r="R23" s="113"/>
      <c r="S23" s="113"/>
      <c r="T23" s="113"/>
      <c r="U23" s="113"/>
    </row>
    <row r="24" spans="1:21" x14ac:dyDescent="0.25">
      <c r="A24" s="83" t="s">
        <v>48</v>
      </c>
      <c r="B24" s="84"/>
      <c r="C24" s="84">
        <f t="shared" ref="C24:E24" si="10">C23/C22</f>
        <v>9.9239166391002311E-4</v>
      </c>
      <c r="D24" s="84">
        <f t="shared" si="10"/>
        <v>1.9069678745680255E-3</v>
      </c>
      <c r="E24" s="84">
        <f t="shared" si="10"/>
        <v>3.2126763299674464E-3</v>
      </c>
      <c r="F24" s="84">
        <f>F23/F22</f>
        <v>0.27274625894283855</v>
      </c>
      <c r="G24" s="84">
        <f>G23/G22</f>
        <v>0.28140912735671259</v>
      </c>
      <c r="H24" s="84">
        <f>H23/H22</f>
        <v>0.22921204041322443</v>
      </c>
      <c r="I24" s="84">
        <f>I23/I22</f>
        <v>0.68575889372141718</v>
      </c>
      <c r="J24" s="84">
        <f>J23/J22</f>
        <v>0.25317851152476928</v>
      </c>
      <c r="K24" s="59"/>
      <c r="L24" s="80" t="s">
        <v>18</v>
      </c>
      <c r="M24" s="70"/>
      <c r="N24" s="71">
        <v>46.7</v>
      </c>
      <c r="O24" s="71">
        <v>14.5</v>
      </c>
      <c r="P24" s="71">
        <v>5.7</v>
      </c>
      <c r="Q24" s="71">
        <v>319</v>
      </c>
      <c r="R24" s="113">
        <v>7</v>
      </c>
      <c r="S24" s="113">
        <v>16.696999999999999</v>
      </c>
      <c r="T24" s="113">
        <v>99.49</v>
      </c>
      <c r="U24" s="113">
        <v>24.140999999999998</v>
      </c>
    </row>
    <row r="25" spans="1:21" x14ac:dyDescent="0.25">
      <c r="A25" s="83"/>
      <c r="B25" s="84"/>
      <c r="C25" s="84"/>
      <c r="D25" s="84"/>
      <c r="E25" s="84"/>
      <c r="F25" s="84"/>
      <c r="G25" s="84"/>
      <c r="H25" s="84"/>
      <c r="I25" s="84"/>
      <c r="J25" s="84"/>
      <c r="K25" s="60"/>
      <c r="L25" s="80" t="s">
        <v>158</v>
      </c>
      <c r="M25" s="111"/>
      <c r="N25" s="110"/>
      <c r="O25" s="110"/>
      <c r="P25" s="110"/>
      <c r="Q25" s="110">
        <v>413</v>
      </c>
      <c r="R25" s="69">
        <v>393</v>
      </c>
      <c r="S25" s="69">
        <v>717.12099999999998</v>
      </c>
      <c r="T25" s="113">
        <v>894.95100000000002</v>
      </c>
      <c r="U25" s="69">
        <v>1777.915</v>
      </c>
    </row>
    <row r="26" spans="1:21" x14ac:dyDescent="0.25">
      <c r="A26" s="72" t="s">
        <v>92</v>
      </c>
      <c r="B26" s="73"/>
      <c r="C26" s="74">
        <f t="shared" ref="C26:F26" si="11">C22-C23</f>
        <v>24160</v>
      </c>
      <c r="D26" s="74">
        <f t="shared" si="11"/>
        <v>42918.2</v>
      </c>
      <c r="E26" s="74">
        <f t="shared" si="11"/>
        <v>21036.100000000002</v>
      </c>
      <c r="F26" s="74">
        <f t="shared" si="11"/>
        <v>748.67500000000064</v>
      </c>
      <c r="G26" s="74">
        <f>G22-G23</f>
        <v>419.40699999999993</v>
      </c>
      <c r="H26" s="74">
        <f>H22-H23</f>
        <v>250.9200000000007</v>
      </c>
      <c r="I26" s="74">
        <f>I22-I23</f>
        <v>14.089000000000379</v>
      </c>
      <c r="J26" s="74">
        <v>709.28399999999999</v>
      </c>
      <c r="K26" s="60"/>
      <c r="L26" s="80" t="s">
        <v>13</v>
      </c>
      <c r="M26" s="70"/>
      <c r="N26" s="71">
        <v>19.5</v>
      </c>
      <c r="O26" s="71">
        <v>22</v>
      </c>
      <c r="P26" s="71">
        <v>31</v>
      </c>
      <c r="Q26" s="71">
        <f>33+6</f>
        <v>39</v>
      </c>
      <c r="R26" s="113">
        <v>158</v>
      </c>
      <c r="S26" s="113">
        <v>482.26799999999997</v>
      </c>
      <c r="T26" s="113">
        <v>221.75</v>
      </c>
      <c r="U26" s="113">
        <v>268.29599999999999</v>
      </c>
    </row>
    <row r="27" spans="1:21" x14ac:dyDescent="0.25">
      <c r="A27" s="91" t="s">
        <v>93</v>
      </c>
      <c r="B27" s="92"/>
      <c r="C27" s="92">
        <v>0</v>
      </c>
      <c r="D27" s="92">
        <v>0</v>
      </c>
      <c r="E27" s="92">
        <v>0</v>
      </c>
      <c r="F27" s="92">
        <v>0</v>
      </c>
      <c r="G27" s="92">
        <v>0</v>
      </c>
      <c r="H27" s="94">
        <v>0</v>
      </c>
      <c r="I27" s="94">
        <v>0</v>
      </c>
      <c r="J27" s="94">
        <v>0</v>
      </c>
      <c r="K27" s="58"/>
      <c r="L27" s="69" t="s">
        <v>145</v>
      </c>
      <c r="M27" s="70"/>
      <c r="N27" s="71">
        <v>43.2</v>
      </c>
      <c r="O27" s="71">
        <v>16.899999999999999</v>
      </c>
      <c r="P27" s="71">
        <v>0</v>
      </c>
      <c r="Q27" s="71">
        <v>390</v>
      </c>
      <c r="R27" s="113">
        <v>331</v>
      </c>
      <c r="S27" s="113">
        <v>287.18</v>
      </c>
      <c r="T27" s="113">
        <v>342.86900000000003</v>
      </c>
      <c r="U27" s="113">
        <v>458.55</v>
      </c>
    </row>
    <row r="28" spans="1:21" x14ac:dyDescent="0.25">
      <c r="A28" s="69" t="s">
        <v>47</v>
      </c>
      <c r="B28" s="70"/>
      <c r="C28" s="70">
        <v>0</v>
      </c>
      <c r="D28" s="70">
        <v>0</v>
      </c>
      <c r="E28" s="70">
        <v>0</v>
      </c>
      <c r="F28" s="117">
        <v>0</v>
      </c>
      <c r="G28" s="117">
        <v>0</v>
      </c>
      <c r="H28" s="118">
        <v>0</v>
      </c>
      <c r="I28" s="118">
        <v>0</v>
      </c>
      <c r="J28" s="118">
        <v>0</v>
      </c>
      <c r="K28" s="61"/>
      <c r="L28" s="69" t="s">
        <v>142</v>
      </c>
      <c r="M28" s="70"/>
      <c r="N28" s="71">
        <v>69.400000000000006</v>
      </c>
      <c r="O28" s="71">
        <v>44.5</v>
      </c>
      <c r="P28" s="71">
        <v>40.200000000000003</v>
      </c>
      <c r="Q28" s="71">
        <v>129</v>
      </c>
      <c r="R28" s="113">
        <v>124</v>
      </c>
      <c r="S28" s="113">
        <v>217.14500000000001</v>
      </c>
      <c r="T28" s="113">
        <v>243.22499999999999</v>
      </c>
      <c r="U28" s="113">
        <v>175.84800000000001</v>
      </c>
    </row>
    <row r="29" spans="1:21" x14ac:dyDescent="0.25">
      <c r="A29" s="72" t="s">
        <v>94</v>
      </c>
      <c r="B29" s="73"/>
      <c r="C29" s="73">
        <f t="shared" ref="C29:G29" si="12">C27-C28</f>
        <v>0</v>
      </c>
      <c r="D29" s="73">
        <f t="shared" si="12"/>
        <v>0</v>
      </c>
      <c r="E29" s="73">
        <f t="shared" si="12"/>
        <v>0</v>
      </c>
      <c r="F29" s="73">
        <f t="shared" si="12"/>
        <v>0</v>
      </c>
      <c r="G29" s="73">
        <f t="shared" si="12"/>
        <v>0</v>
      </c>
      <c r="H29" s="73">
        <f>H27-H28</f>
        <v>0</v>
      </c>
      <c r="I29" s="73">
        <f>I27-I28</f>
        <v>0</v>
      </c>
      <c r="J29" s="73">
        <f>J27-J28</f>
        <v>0</v>
      </c>
      <c r="K29" s="55"/>
      <c r="L29" s="69" t="s">
        <v>14</v>
      </c>
      <c r="M29" s="70"/>
      <c r="N29" s="71">
        <v>279.8</v>
      </c>
      <c r="O29" s="71">
        <v>267</v>
      </c>
      <c r="P29" s="71">
        <v>261.7</v>
      </c>
      <c r="Q29" s="71">
        <v>0.6</v>
      </c>
      <c r="R29" s="113">
        <v>6</v>
      </c>
      <c r="S29" s="113">
        <v>15.43</v>
      </c>
      <c r="T29" s="113">
        <v>31.077000000000002</v>
      </c>
      <c r="U29" s="113">
        <v>219.494</v>
      </c>
    </row>
    <row r="30" spans="1:21" x14ac:dyDescent="0.25">
      <c r="A30" s="72" t="s">
        <v>95</v>
      </c>
      <c r="B30" s="73"/>
      <c r="C30" s="74">
        <f t="shared" ref="C30:E30" si="13">C26+C29</f>
        <v>24160</v>
      </c>
      <c r="D30" s="74">
        <f t="shared" si="13"/>
        <v>42918.2</v>
      </c>
      <c r="E30" s="74">
        <f t="shared" si="13"/>
        <v>21036.100000000002</v>
      </c>
      <c r="F30" s="74">
        <f>F26+F29</f>
        <v>748.67500000000064</v>
      </c>
      <c r="G30" s="74">
        <f>G26+G29</f>
        <v>419.40699999999993</v>
      </c>
      <c r="H30" s="74">
        <f>H26+H29</f>
        <v>250.9200000000007</v>
      </c>
      <c r="I30" s="74">
        <f>I26+I29</f>
        <v>14.089000000000379</v>
      </c>
      <c r="J30" s="74">
        <f>J26+J29</f>
        <v>709.28399999999999</v>
      </c>
      <c r="K30" s="58"/>
      <c r="L30" s="81" t="s">
        <v>9</v>
      </c>
      <c r="M30" s="73"/>
      <c r="N30" s="74">
        <f t="shared" ref="N30:U30" si="14">SUM(N17:N29)</f>
        <v>789</v>
      </c>
      <c r="O30" s="74">
        <f t="shared" si="14"/>
        <v>653.4</v>
      </c>
      <c r="P30" s="74">
        <f t="shared" si="14"/>
        <v>645.4</v>
      </c>
      <c r="Q30" s="74">
        <f t="shared" si="14"/>
        <v>4237.5</v>
      </c>
      <c r="R30" s="74">
        <f t="shared" si="14"/>
        <v>3902.7</v>
      </c>
      <c r="S30" s="74">
        <f t="shared" si="14"/>
        <v>5363.7070000000012</v>
      </c>
      <c r="T30" s="74">
        <f t="shared" si="14"/>
        <v>6656.03</v>
      </c>
      <c r="U30" s="74">
        <f t="shared" si="14"/>
        <v>10285.056999999999</v>
      </c>
    </row>
    <row r="31" spans="1:21" x14ac:dyDescent="0.25">
      <c r="A31" s="83" t="s">
        <v>49</v>
      </c>
      <c r="B31" s="84"/>
      <c r="C31" s="105">
        <f t="shared" ref="C31:J31" si="15">C30/C4</f>
        <v>0.95600251662914137</v>
      </c>
      <c r="D31" s="105">
        <f t="shared" si="15"/>
        <v>1.0261571052165972</v>
      </c>
      <c r="E31" s="105">
        <f t="shared" si="15"/>
        <v>0.76305117453316118</v>
      </c>
      <c r="F31" s="84"/>
      <c r="G31" s="84">
        <f t="shared" si="15"/>
        <v>6.8322373265253186E-2</v>
      </c>
      <c r="H31" s="84">
        <f>H30/H4</f>
        <v>4.8905073638270985E-2</v>
      </c>
      <c r="I31" s="84">
        <f>I30/I4</f>
        <v>3.8871868785302736E-3</v>
      </c>
      <c r="J31" s="84">
        <f t="shared" si="15"/>
        <v>0.12557103979344489</v>
      </c>
      <c r="K31" s="58"/>
      <c r="L31" s="69"/>
      <c r="M31" s="76"/>
      <c r="N31" s="77"/>
      <c r="O31" s="77"/>
      <c r="P31" s="77"/>
      <c r="Q31" s="77"/>
      <c r="R31" s="113"/>
      <c r="S31" s="113"/>
      <c r="T31" s="113"/>
      <c r="U31" s="113"/>
    </row>
    <row r="32" spans="1:21" x14ac:dyDescent="0.25">
      <c r="A32" s="83" t="s">
        <v>37</v>
      </c>
      <c r="B32" s="84"/>
      <c r="C32" s="84"/>
      <c r="D32" s="84">
        <f t="shared" ref="D32" si="16">D31/C31-1</f>
        <v>7.3383267687223697E-2</v>
      </c>
      <c r="E32" s="84">
        <f>E31/D31-1</f>
        <v>-0.256399268051553</v>
      </c>
      <c r="F32" s="108"/>
      <c r="G32" s="108">
        <f>G26/F26-1</f>
        <v>-0.43980098173439797</v>
      </c>
      <c r="H32" s="108">
        <f>H26/G26-1</f>
        <v>-0.40172672368367546</v>
      </c>
      <c r="I32" s="108">
        <f>I26/H26-1</f>
        <v>-0.94385062968276601</v>
      </c>
      <c r="J32" s="108">
        <f>J26/I26-1</f>
        <v>49.343104549647308</v>
      </c>
      <c r="K32" s="57"/>
      <c r="L32" s="78" t="s">
        <v>15</v>
      </c>
      <c r="M32" s="70"/>
      <c r="N32" s="71"/>
      <c r="O32" s="71"/>
      <c r="P32" s="71"/>
      <c r="Q32" s="71"/>
      <c r="R32" s="113"/>
      <c r="S32" s="113"/>
      <c r="T32" s="113"/>
      <c r="U32" s="113"/>
    </row>
    <row r="33" spans="1:21" x14ac:dyDescent="0.25">
      <c r="A33" s="83" t="s">
        <v>38</v>
      </c>
      <c r="B33" s="85"/>
      <c r="C33" s="86"/>
      <c r="D33" s="86"/>
      <c r="E33" s="84"/>
      <c r="F33" s="108"/>
      <c r="G33" s="108"/>
      <c r="H33" s="108"/>
      <c r="I33" s="108"/>
      <c r="J33" s="108">
        <f>((J26/G26)^(1/3)-1)</f>
        <v>0.19141070002196159</v>
      </c>
      <c r="K33" s="57"/>
      <c r="L33" s="69" t="s">
        <v>16</v>
      </c>
      <c r="M33" s="70"/>
      <c r="N33" s="71">
        <v>1532.7</v>
      </c>
      <c r="O33" s="71">
        <v>4854</v>
      </c>
      <c r="P33" s="71">
        <v>316.10000000000002</v>
      </c>
      <c r="Q33" s="71">
        <v>27438</v>
      </c>
      <c r="R33" s="113">
        <v>26144</v>
      </c>
      <c r="S33" s="113">
        <v>40418.942999999999</v>
      </c>
      <c r="T33" s="113">
        <v>57251.163</v>
      </c>
      <c r="U33" s="113">
        <v>59662.845999999998</v>
      </c>
    </row>
    <row r="34" spans="1:21" x14ac:dyDescent="0.25">
      <c r="A34" s="95"/>
      <c r="B34" s="96"/>
      <c r="C34" s="96"/>
      <c r="D34" s="96"/>
      <c r="E34" s="97"/>
      <c r="F34" s="97"/>
      <c r="G34" s="97"/>
      <c r="H34" s="97"/>
      <c r="I34" s="97"/>
      <c r="J34" s="97"/>
      <c r="K34" s="52"/>
      <c r="L34" s="79" t="s">
        <v>12</v>
      </c>
      <c r="M34" s="70"/>
      <c r="N34" s="71"/>
      <c r="O34" s="71"/>
      <c r="P34" s="71"/>
      <c r="Q34" s="71"/>
      <c r="R34" s="113"/>
      <c r="S34" s="113"/>
      <c r="T34" s="113"/>
      <c r="U34" s="113"/>
    </row>
    <row r="35" spans="1:21" x14ac:dyDescent="0.25">
      <c r="A35" s="69" t="s">
        <v>50</v>
      </c>
      <c r="B35" s="70"/>
      <c r="C35" s="71">
        <v>-3.3</v>
      </c>
      <c r="D35" s="71">
        <v>-2.1</v>
      </c>
      <c r="E35" s="71">
        <v>0.6</v>
      </c>
      <c r="F35" s="113">
        <f>1037.58/10</f>
        <v>103.758</v>
      </c>
      <c r="G35" s="113">
        <f>-(478.97/10)</f>
        <v>-47.897000000000006</v>
      </c>
      <c r="H35" s="113">
        <v>64.643000000000001</v>
      </c>
      <c r="I35" s="113">
        <v>159.11000000000001</v>
      </c>
      <c r="J35" s="113">
        <v>42.991</v>
      </c>
      <c r="K35" s="52"/>
      <c r="L35" s="80" t="s">
        <v>158</v>
      </c>
      <c r="M35" s="70"/>
      <c r="N35" s="71">
        <v>0</v>
      </c>
      <c r="O35" s="71">
        <v>0</v>
      </c>
      <c r="P35" s="71">
        <v>150.6</v>
      </c>
      <c r="Q35" s="71">
        <v>876</v>
      </c>
      <c r="R35" s="113">
        <v>768</v>
      </c>
      <c r="S35" s="113">
        <v>291.202</v>
      </c>
      <c r="T35" s="113">
        <v>1408.7539999999999</v>
      </c>
      <c r="U35" s="113">
        <v>1131.0440000000001</v>
      </c>
    </row>
    <row r="36" spans="1:21" x14ac:dyDescent="0.25">
      <c r="A36" s="75" t="s">
        <v>55</v>
      </c>
      <c r="B36" s="76"/>
      <c r="C36" s="77">
        <f t="shared" ref="C36:E36" si="17">C30+C35</f>
        <v>24156.7</v>
      </c>
      <c r="D36" s="77">
        <f t="shared" si="17"/>
        <v>42916.1</v>
      </c>
      <c r="E36" s="77">
        <f t="shared" si="17"/>
        <v>21036.7</v>
      </c>
      <c r="F36" s="116">
        <f>F30+F35</f>
        <v>852.43300000000067</v>
      </c>
      <c r="G36" s="116">
        <f>G30+G35</f>
        <v>371.50999999999993</v>
      </c>
      <c r="H36" s="116">
        <f>H30+H35</f>
        <v>315.56300000000067</v>
      </c>
      <c r="I36" s="116">
        <f>I30+I35</f>
        <v>173.19900000000038</v>
      </c>
      <c r="J36" s="116">
        <f>J30+J35</f>
        <v>752.27499999999998</v>
      </c>
      <c r="K36" s="53"/>
      <c r="L36" s="80" t="s">
        <v>17</v>
      </c>
      <c r="M36" s="70"/>
      <c r="N36" s="71">
        <v>1273.8</v>
      </c>
      <c r="O36" s="71">
        <v>4008.7</v>
      </c>
      <c r="P36" s="71">
        <v>256.3</v>
      </c>
      <c r="Q36" s="71">
        <v>3698</v>
      </c>
      <c r="R36" s="113">
        <v>3352</v>
      </c>
      <c r="S36" s="113">
        <v>2703.181</v>
      </c>
      <c r="T36" s="113">
        <v>1496.172</v>
      </c>
      <c r="U36" s="113">
        <v>2925.3029999999999</v>
      </c>
    </row>
    <row r="37" spans="1:21" x14ac:dyDescent="0.25">
      <c r="A37" s="83" t="s">
        <v>37</v>
      </c>
      <c r="B37" s="84"/>
      <c r="C37" s="84"/>
      <c r="D37" s="84">
        <f t="shared" ref="D37:E37" si="18">D36/C36-1</f>
        <v>0.77657130319952627</v>
      </c>
      <c r="E37" s="84">
        <f t="shared" si="18"/>
        <v>-0.50981799371331504</v>
      </c>
      <c r="F37" s="84"/>
      <c r="G37" s="84">
        <f>G36/F36-1</f>
        <v>-0.56417689132166449</v>
      </c>
      <c r="H37" s="84">
        <f>H36/G36-1</f>
        <v>-0.15059352372748858</v>
      </c>
      <c r="I37" s="84">
        <f>I36/H36-1</f>
        <v>-0.45114287796731556</v>
      </c>
      <c r="J37" s="84"/>
      <c r="K37" s="58"/>
      <c r="L37" s="80" t="s">
        <v>19</v>
      </c>
      <c r="M37" s="70"/>
      <c r="N37" s="71">
        <v>133.9</v>
      </c>
      <c r="O37" s="71">
        <v>323.8</v>
      </c>
      <c r="P37" s="71">
        <v>31.7</v>
      </c>
      <c r="Q37" s="71">
        <v>832</v>
      </c>
      <c r="R37" s="113">
        <v>516</v>
      </c>
      <c r="S37" s="113">
        <v>497.44799999999998</v>
      </c>
      <c r="T37" s="113">
        <v>888.13900000000001</v>
      </c>
      <c r="U37" s="113">
        <v>597.01900000000001</v>
      </c>
    </row>
    <row r="38" spans="1:21" x14ac:dyDescent="0.25">
      <c r="A38" s="83" t="s">
        <v>38</v>
      </c>
      <c r="B38" s="85"/>
      <c r="C38" s="85"/>
      <c r="D38" s="85"/>
      <c r="E38" s="84"/>
      <c r="F38" s="84"/>
      <c r="G38" s="84"/>
      <c r="H38" s="84"/>
      <c r="I38" s="84">
        <f>((I36/F36)^(1/3)-1)</f>
        <v>-0.41211139545555031</v>
      </c>
      <c r="J38" s="84"/>
      <c r="K38" s="52"/>
      <c r="L38" s="80" t="s">
        <v>20</v>
      </c>
      <c r="M38" s="70"/>
      <c r="N38" s="71">
        <v>0</v>
      </c>
      <c r="O38" s="71">
        <v>72.400000000000006</v>
      </c>
      <c r="P38" s="71">
        <v>51.2</v>
      </c>
      <c r="Q38" s="71">
        <v>830</v>
      </c>
      <c r="R38" s="113">
        <v>474</v>
      </c>
      <c r="S38" s="113">
        <v>472.39800000000002</v>
      </c>
      <c r="T38" s="113">
        <v>694.06899999999996</v>
      </c>
      <c r="U38" s="113">
        <v>460.73599999999999</v>
      </c>
    </row>
    <row r="39" spans="1:21" x14ac:dyDescent="0.25">
      <c r="A39" s="69" t="s">
        <v>51</v>
      </c>
      <c r="B39" s="70"/>
      <c r="C39" s="70"/>
      <c r="D39" s="70"/>
      <c r="E39" s="70"/>
      <c r="F39" s="117"/>
      <c r="G39" s="117"/>
      <c r="H39" s="69"/>
      <c r="I39" s="69"/>
      <c r="J39" s="69"/>
      <c r="K39" s="52"/>
      <c r="L39" s="80" t="s">
        <v>13</v>
      </c>
      <c r="M39" s="70"/>
      <c r="N39" s="71">
        <v>54.6</v>
      </c>
      <c r="O39" s="71">
        <v>63.5</v>
      </c>
      <c r="P39" s="71">
        <v>98.4</v>
      </c>
      <c r="Q39" s="71">
        <v>1002</v>
      </c>
      <c r="R39" s="113">
        <f>1349+315</f>
        <v>1664</v>
      </c>
      <c r="S39" s="113">
        <v>1214.635</v>
      </c>
      <c r="T39" s="113">
        <v>1665.0440000000001</v>
      </c>
      <c r="U39" s="113">
        <v>1533.2840000000001</v>
      </c>
    </row>
    <row r="40" spans="1:21" x14ac:dyDescent="0.25">
      <c r="A40" s="80" t="s">
        <v>56</v>
      </c>
      <c r="B40" s="70"/>
      <c r="C40" s="70">
        <v>3.04</v>
      </c>
      <c r="D40" s="70">
        <v>8.68</v>
      </c>
      <c r="E40" s="70">
        <v>4</v>
      </c>
      <c r="F40" s="117">
        <v>5.27</v>
      </c>
      <c r="G40" s="119">
        <v>2.98</v>
      </c>
      <c r="H40" s="117">
        <v>1.79</v>
      </c>
      <c r="I40" s="117">
        <v>0.1</v>
      </c>
      <c r="J40" s="117">
        <v>4.99</v>
      </c>
      <c r="K40" s="50"/>
      <c r="L40" s="69" t="s">
        <v>21</v>
      </c>
      <c r="M40" s="70"/>
      <c r="N40" s="71">
        <v>33.9</v>
      </c>
      <c r="O40" s="71">
        <v>311.3</v>
      </c>
      <c r="P40" s="71">
        <v>97.5</v>
      </c>
      <c r="Q40" s="71">
        <v>2814</v>
      </c>
      <c r="R40" s="113">
        <v>3751</v>
      </c>
      <c r="S40" s="113">
        <v>4027.1880000000001</v>
      </c>
      <c r="T40" s="113">
        <v>2526.9250000000002</v>
      </c>
      <c r="U40" s="113">
        <v>2641.16</v>
      </c>
    </row>
    <row r="41" spans="1:21" x14ac:dyDescent="0.25">
      <c r="A41" s="80" t="s">
        <v>57</v>
      </c>
      <c r="B41" s="70"/>
      <c r="C41" s="70">
        <v>3.02</v>
      </c>
      <c r="D41" s="70">
        <v>8.58</v>
      </c>
      <c r="E41" s="70">
        <v>3.99</v>
      </c>
      <c r="F41" s="117">
        <v>5.27</v>
      </c>
      <c r="G41" s="119">
        <v>2.98</v>
      </c>
      <c r="H41" s="117">
        <v>1.79</v>
      </c>
      <c r="I41" s="117">
        <v>0.1</v>
      </c>
      <c r="J41" s="117">
        <v>4.99</v>
      </c>
      <c r="K41" s="50"/>
      <c r="L41" s="81" t="s">
        <v>15</v>
      </c>
      <c r="M41" s="73"/>
      <c r="N41" s="74">
        <f t="shared" ref="N41:P41" si="19">SUM(N33:N40)</f>
        <v>3028.9</v>
      </c>
      <c r="O41" s="74">
        <f t="shared" si="19"/>
        <v>9633.6999999999989</v>
      </c>
      <c r="P41" s="74">
        <f t="shared" si="19"/>
        <v>1001.8000000000001</v>
      </c>
      <c r="Q41" s="74">
        <f>SUM(Q33:Q40)</f>
        <v>37490</v>
      </c>
      <c r="R41" s="74">
        <f t="shared" ref="R41:U41" si="20">SUM(R33:R40)</f>
        <v>36669</v>
      </c>
      <c r="S41" s="74">
        <f t="shared" si="20"/>
        <v>49624.994999999995</v>
      </c>
      <c r="T41" s="74">
        <f t="shared" si="20"/>
        <v>65930.266000000003</v>
      </c>
      <c r="U41" s="74">
        <f t="shared" si="20"/>
        <v>68951.392000000007</v>
      </c>
    </row>
    <row r="42" spans="1:21" x14ac:dyDescent="0.25">
      <c r="A42" s="83" t="s">
        <v>37</v>
      </c>
      <c r="B42" s="84"/>
      <c r="C42" s="84"/>
      <c r="D42" s="84">
        <f t="shared" ref="D42:E42" si="21">D41/C41-1</f>
        <v>1.8410596026490067</v>
      </c>
      <c r="E42" s="84">
        <f t="shared" si="21"/>
        <v>-0.534965034965035</v>
      </c>
      <c r="F42" s="84"/>
      <c r="G42" s="84">
        <f>G41/F41-1</f>
        <v>-0.4345351043643263</v>
      </c>
      <c r="H42" s="84">
        <f>H41/G41-1</f>
        <v>-0.39932885906040272</v>
      </c>
      <c r="I42" s="84">
        <f>I41/H41-1</f>
        <v>-0.94413407821229045</v>
      </c>
      <c r="J42" s="84">
        <f>J41/I41-1</f>
        <v>48.9</v>
      </c>
      <c r="K42" s="50"/>
      <c r="L42" s="69"/>
      <c r="M42" s="70"/>
      <c r="N42" s="71"/>
      <c r="O42" s="71"/>
      <c r="P42" s="71"/>
      <c r="Q42" s="71"/>
      <c r="R42" s="71"/>
      <c r="S42" s="71"/>
      <c r="T42" s="71"/>
      <c r="U42" s="71"/>
    </row>
    <row r="43" spans="1:21" x14ac:dyDescent="0.25">
      <c r="A43" s="83" t="s">
        <v>38</v>
      </c>
      <c r="B43" s="85"/>
      <c r="C43" s="85"/>
      <c r="D43" s="85"/>
      <c r="E43" s="84"/>
      <c r="F43" s="84"/>
      <c r="G43" s="84"/>
      <c r="H43" s="84"/>
      <c r="I43" s="84"/>
      <c r="J43" s="84">
        <f>((J41/G41)^(1/3)-1)</f>
        <v>0.18748489448892092</v>
      </c>
      <c r="K43" s="52"/>
      <c r="L43" s="72" t="s">
        <v>96</v>
      </c>
      <c r="M43" s="73"/>
      <c r="N43" s="74">
        <v>0</v>
      </c>
      <c r="O43" s="74">
        <v>0</v>
      </c>
      <c r="P43" s="74">
        <v>0</v>
      </c>
      <c r="Q43" s="74">
        <v>0</v>
      </c>
      <c r="R43" s="74">
        <v>0</v>
      </c>
      <c r="S43" s="74">
        <v>0</v>
      </c>
      <c r="T43" s="74">
        <v>0</v>
      </c>
      <c r="U43" s="74">
        <v>0</v>
      </c>
    </row>
    <row r="44" spans="1:21" x14ac:dyDescent="0.25">
      <c r="A44" s="98" t="s">
        <v>58</v>
      </c>
      <c r="B44" s="68"/>
      <c r="C44" s="68" t="s">
        <v>35</v>
      </c>
      <c r="D44" s="68" t="s">
        <v>34</v>
      </c>
      <c r="E44" s="68" t="s">
        <v>1</v>
      </c>
      <c r="F44" s="129" t="s">
        <v>2</v>
      </c>
      <c r="G44" s="129" t="s">
        <v>52</v>
      </c>
      <c r="H44" s="129" t="s">
        <v>139</v>
      </c>
      <c r="I44" s="131" t="s">
        <v>153</v>
      </c>
      <c r="J44" s="129" t="s">
        <v>163</v>
      </c>
      <c r="K44" s="52"/>
      <c r="L44" s="69"/>
      <c r="M44" s="70"/>
      <c r="N44" s="71"/>
      <c r="O44" s="71"/>
      <c r="P44" s="71"/>
      <c r="Q44" s="71"/>
      <c r="R44" s="113"/>
      <c r="S44" s="113"/>
      <c r="T44" s="113"/>
      <c r="U44" s="113"/>
    </row>
    <row r="45" spans="1:21" x14ac:dyDescent="0.25">
      <c r="A45" s="69" t="s">
        <v>59</v>
      </c>
      <c r="B45" s="69"/>
      <c r="C45" s="71">
        <v>74</v>
      </c>
      <c r="D45" s="71">
        <v>133.9</v>
      </c>
      <c r="E45" s="71">
        <v>322.5</v>
      </c>
      <c r="F45" s="113">
        <v>911</v>
      </c>
      <c r="G45" s="113">
        <v>832</v>
      </c>
      <c r="H45" s="120">
        <v>103.072</v>
      </c>
      <c r="I45" s="121">
        <v>438.20400000000001</v>
      </c>
      <c r="J45" s="121">
        <f>I50</f>
        <v>282.43899999999968</v>
      </c>
      <c r="K45" s="50"/>
      <c r="L45" s="79" t="s">
        <v>22</v>
      </c>
      <c r="M45" s="70"/>
      <c r="N45" s="71"/>
      <c r="O45" s="71"/>
      <c r="P45" s="71"/>
      <c r="Q45" s="71"/>
      <c r="R45" s="113"/>
      <c r="S45" s="113"/>
      <c r="T45" s="113"/>
      <c r="U45" s="113"/>
    </row>
    <row r="46" spans="1:21" x14ac:dyDescent="0.25">
      <c r="A46" s="80" t="s">
        <v>60</v>
      </c>
      <c r="B46" s="69"/>
      <c r="C46" s="71">
        <v>189.4</v>
      </c>
      <c r="D46" s="71">
        <v>309.89999999999998</v>
      </c>
      <c r="E46" s="71">
        <v>-59.9</v>
      </c>
      <c r="F46" s="113">
        <v>-780</v>
      </c>
      <c r="G46" s="113">
        <v>2861</v>
      </c>
      <c r="H46" s="113">
        <v>-304.68299999999999</v>
      </c>
      <c r="I46" s="121">
        <v>2620.4389999999999</v>
      </c>
      <c r="J46" s="113">
        <v>1089.9259999999999</v>
      </c>
      <c r="K46" s="50"/>
      <c r="L46" t="s">
        <v>160</v>
      </c>
      <c r="M46" s="70"/>
      <c r="N46" s="71">
        <v>0</v>
      </c>
      <c r="O46" s="71">
        <v>0</v>
      </c>
      <c r="P46" s="71">
        <v>0</v>
      </c>
      <c r="Q46" s="71">
        <v>0</v>
      </c>
      <c r="R46" s="113">
        <v>0</v>
      </c>
      <c r="S46" s="113">
        <v>10693.231</v>
      </c>
      <c r="T46" s="113">
        <v>26183.91</v>
      </c>
      <c r="U46" s="113">
        <v>28090.169000000002</v>
      </c>
    </row>
    <row r="47" spans="1:21" x14ac:dyDescent="0.25">
      <c r="A47" s="80" t="s">
        <v>61</v>
      </c>
      <c r="B47" s="69"/>
      <c r="C47" s="71">
        <v>-5.9</v>
      </c>
      <c r="D47" s="71">
        <v>85.2</v>
      </c>
      <c r="E47" s="71">
        <v>-160</v>
      </c>
      <c r="F47" s="113">
        <v>-178</v>
      </c>
      <c r="G47" s="113">
        <v>145</v>
      </c>
      <c r="H47" s="113">
        <v>180.721</v>
      </c>
      <c r="I47" s="121">
        <v>-162.411</v>
      </c>
      <c r="J47" s="113">
        <v>2510.9059999999999</v>
      </c>
      <c r="K47" s="50"/>
      <c r="L47" s="69" t="s">
        <v>23</v>
      </c>
      <c r="M47" s="70"/>
      <c r="N47" s="71">
        <v>2802.7</v>
      </c>
      <c r="O47" s="71">
        <v>9302.9</v>
      </c>
      <c r="P47" s="71">
        <v>578.70000000000005</v>
      </c>
      <c r="Q47" s="71">
        <f>176+1947</f>
        <v>2123</v>
      </c>
      <c r="R47" s="113">
        <f>123+1704</f>
        <v>1827</v>
      </c>
      <c r="S47" s="113">
        <v>1936.14</v>
      </c>
      <c r="T47" s="113">
        <v>2113.9650000000001</v>
      </c>
      <c r="U47" s="113">
        <f>230.406+2685.572</f>
        <v>2915.9780000000001</v>
      </c>
    </row>
    <row r="48" spans="1:21" x14ac:dyDescent="0.25">
      <c r="A48" s="80" t="s">
        <v>62</v>
      </c>
      <c r="B48" s="69"/>
      <c r="C48" s="71">
        <v>-123.6</v>
      </c>
      <c r="D48" s="71">
        <v>-205.2</v>
      </c>
      <c r="E48" s="71">
        <v>-70.900000000000006</v>
      </c>
      <c r="F48" s="113">
        <v>879</v>
      </c>
      <c r="G48" s="113">
        <v>-3323</v>
      </c>
      <c r="H48" s="113">
        <v>458.97500000000002</v>
      </c>
      <c r="I48" s="121">
        <v>-2613.7930000000001</v>
      </c>
      <c r="J48" s="113">
        <v>-35271.269999999997</v>
      </c>
      <c r="K48" s="50"/>
      <c r="L48" s="69" t="s">
        <v>30</v>
      </c>
      <c r="M48" s="70"/>
      <c r="N48" s="71">
        <v>40.799999999999997</v>
      </c>
      <c r="O48" s="71">
        <v>28.5</v>
      </c>
      <c r="P48" s="71">
        <v>49.3</v>
      </c>
      <c r="Q48" s="71">
        <v>2917</v>
      </c>
      <c r="R48" s="113">
        <v>532</v>
      </c>
      <c r="S48" s="113">
        <v>382.60199999999998</v>
      </c>
      <c r="T48" s="113">
        <v>346.99799999999999</v>
      </c>
      <c r="U48" s="113">
        <v>723.40300000000002</v>
      </c>
    </row>
    <row r="49" spans="1:23" x14ac:dyDescent="0.25">
      <c r="A49" s="100" t="s">
        <v>63</v>
      </c>
      <c r="B49" s="69"/>
      <c r="C49" s="101">
        <f>SUM(C46:C48)</f>
        <v>59.900000000000006</v>
      </c>
      <c r="D49" s="101">
        <f>SUM(D46:D48)</f>
        <v>189.89999999999998</v>
      </c>
      <c r="E49" s="101">
        <f>SUM(E46:E48)</f>
        <v>-290.8</v>
      </c>
      <c r="F49" s="101">
        <f t="shared" ref="F49:H49" si="22">SUM(F46:F48)</f>
        <v>-79</v>
      </c>
      <c r="G49" s="101">
        <f>SUM(G46:G48)</f>
        <v>-317</v>
      </c>
      <c r="H49" s="101">
        <f t="shared" si="22"/>
        <v>335.01300000000003</v>
      </c>
      <c r="I49" s="126">
        <f>SUM(I46:I48)</f>
        <v>-155.76500000000033</v>
      </c>
      <c r="J49" s="126">
        <f>SUM(J46:J48)</f>
        <v>-31670.437999999998</v>
      </c>
      <c r="K49" s="50"/>
      <c r="L49" s="69" t="s">
        <v>29</v>
      </c>
      <c r="M49" s="69"/>
      <c r="N49" s="71">
        <v>35.200000000000003</v>
      </c>
      <c r="O49" s="71">
        <v>54.5</v>
      </c>
      <c r="P49" s="71">
        <v>62.8</v>
      </c>
      <c r="Q49" s="71">
        <v>17</v>
      </c>
      <c r="R49" s="113">
        <v>22</v>
      </c>
      <c r="S49" s="113">
        <v>26.616</v>
      </c>
      <c r="T49" s="113">
        <v>30.971</v>
      </c>
      <c r="U49" s="113">
        <v>37.527000000000001</v>
      </c>
      <c r="V49" s="66"/>
    </row>
    <row r="50" spans="1:23" x14ac:dyDescent="0.25">
      <c r="A50" s="72" t="s">
        <v>64</v>
      </c>
      <c r="B50" s="73"/>
      <c r="C50" s="74">
        <f>C45+C49</f>
        <v>133.9</v>
      </c>
      <c r="D50" s="74">
        <f>D45+D49</f>
        <v>323.79999999999995</v>
      </c>
      <c r="E50" s="74">
        <f t="shared" ref="E50" si="23">E45+E49</f>
        <v>31.699999999999989</v>
      </c>
      <c r="F50" s="74">
        <f>F45+F49</f>
        <v>832</v>
      </c>
      <c r="G50" s="74">
        <f>G45+G49</f>
        <v>515</v>
      </c>
      <c r="H50" s="74">
        <f>H45+H49</f>
        <v>438.08500000000004</v>
      </c>
      <c r="I50" s="127">
        <f>I45+I49</f>
        <v>282.43899999999968</v>
      </c>
      <c r="J50" s="127">
        <f>J45+J49</f>
        <v>-31387.999</v>
      </c>
      <c r="K50" s="50"/>
      <c r="L50" s="69" t="s">
        <v>24</v>
      </c>
      <c r="M50" s="70"/>
      <c r="N50" s="71">
        <v>0</v>
      </c>
      <c r="O50" s="71">
        <v>0</v>
      </c>
      <c r="P50" s="71">
        <v>0</v>
      </c>
      <c r="Q50" s="71">
        <v>166</v>
      </c>
      <c r="R50" s="113">
        <v>34</v>
      </c>
      <c r="S50" s="113">
        <v>4.1159999999999997</v>
      </c>
      <c r="T50" s="113">
        <v>43.985999999999997</v>
      </c>
      <c r="U50" s="113">
        <v>236.55199999999999</v>
      </c>
    </row>
    <row r="51" spans="1:23" x14ac:dyDescent="0.25">
      <c r="A51" s="69"/>
      <c r="B51" s="69"/>
      <c r="C51" s="106">
        <f t="shared" ref="C51:E51" si="24">C46/C13</f>
        <v>7.8129189543723887E-3</v>
      </c>
      <c r="D51" s="106">
        <f t="shared" si="24"/>
        <v>7.2067253467902274E-3</v>
      </c>
      <c r="E51" s="106">
        <f t="shared" si="24"/>
        <v>-2.8330487672217674E-3</v>
      </c>
      <c r="F51" s="122"/>
      <c r="G51" s="122"/>
      <c r="H51" s="122"/>
      <c r="I51" s="123"/>
      <c r="J51" s="122"/>
      <c r="K51" s="50"/>
      <c r="L51" s="69" t="s">
        <v>31</v>
      </c>
      <c r="M51" s="70"/>
      <c r="N51" s="71">
        <v>42</v>
      </c>
      <c r="O51" s="71">
        <v>32.700000000000003</v>
      </c>
      <c r="P51" s="71">
        <v>47.6</v>
      </c>
      <c r="Q51" s="71">
        <v>2459</v>
      </c>
      <c r="R51" s="113">
        <v>3838</v>
      </c>
      <c r="S51" s="113">
        <v>6111.3770000000004</v>
      </c>
      <c r="T51" s="113">
        <v>8983.4809999999998</v>
      </c>
      <c r="U51" s="113">
        <v>11937.754999999999</v>
      </c>
    </row>
    <row r="52" spans="1:23" x14ac:dyDescent="0.25">
      <c r="F52"/>
      <c r="G52"/>
      <c r="H52"/>
      <c r="I52"/>
      <c r="J52" s="69"/>
      <c r="K52" s="50"/>
      <c r="L52" s="72" t="s">
        <v>22</v>
      </c>
      <c r="M52" s="73"/>
      <c r="N52" s="74">
        <f>SUM(N46:N51)</f>
        <v>2920.7</v>
      </c>
      <c r="O52" s="74">
        <f t="shared" ref="O52:U52" si="25">SUM(O46:O51)</f>
        <v>9418.6</v>
      </c>
      <c r="P52" s="74">
        <f t="shared" si="25"/>
        <v>738.4</v>
      </c>
      <c r="Q52" s="74">
        <f>SUM(Q46:Q51)+Q9</f>
        <v>9454</v>
      </c>
      <c r="R52" s="74">
        <f>SUM(R46:R51)+R9</f>
        <v>7277</v>
      </c>
      <c r="S52" s="74">
        <f t="shared" si="25"/>
        <v>19154.082000000002</v>
      </c>
      <c r="T52" s="74">
        <f>SUM(T46:T51)</f>
        <v>37703.311000000002</v>
      </c>
      <c r="U52" s="74">
        <f t="shared" si="25"/>
        <v>43941.383999999998</v>
      </c>
    </row>
    <row r="53" spans="1:23" x14ac:dyDescent="0.25">
      <c r="A53" s="98" t="s">
        <v>65</v>
      </c>
      <c r="B53" s="68"/>
      <c r="C53" s="68" t="s">
        <v>35</v>
      </c>
      <c r="D53" s="68" t="s">
        <v>34</v>
      </c>
      <c r="E53" s="68" t="s">
        <v>1</v>
      </c>
      <c r="F53" s="129" t="s">
        <v>2</v>
      </c>
      <c r="G53" s="129" t="s">
        <v>52</v>
      </c>
      <c r="H53" s="130" t="s">
        <v>139</v>
      </c>
      <c r="I53" s="131" t="s">
        <v>153</v>
      </c>
      <c r="J53" s="129" t="s">
        <v>163</v>
      </c>
      <c r="K53" s="50"/>
      <c r="L53" s="72" t="s">
        <v>25</v>
      </c>
      <c r="M53" s="73"/>
      <c r="N53" s="74">
        <f t="shared" ref="N53:U53" si="26">N41-N52</f>
        <v>108.20000000000027</v>
      </c>
      <c r="O53" s="74">
        <f t="shared" si="26"/>
        <v>215.09999999999854</v>
      </c>
      <c r="P53" s="74">
        <f t="shared" si="26"/>
        <v>263.40000000000009</v>
      </c>
      <c r="Q53" s="74">
        <f t="shared" si="26"/>
        <v>28036</v>
      </c>
      <c r="R53" s="74">
        <f>R41-R52</f>
        <v>29392</v>
      </c>
      <c r="S53" s="74">
        <f t="shared" si="26"/>
        <v>30470.912999999993</v>
      </c>
      <c r="T53" s="74">
        <f>T41-T52</f>
        <v>28226.955000000002</v>
      </c>
      <c r="U53" s="74">
        <f t="shared" si="26"/>
        <v>25010.008000000009</v>
      </c>
    </row>
    <row r="54" spans="1:23" x14ac:dyDescent="0.25">
      <c r="A54" s="69" t="s">
        <v>66</v>
      </c>
      <c r="B54" s="70"/>
      <c r="C54" s="71">
        <f>C46</f>
        <v>189.4</v>
      </c>
      <c r="D54" s="71">
        <f>D46</f>
        <v>309.89999999999998</v>
      </c>
      <c r="E54" s="71">
        <f t="shared" ref="E54:F54" si="27">E46</f>
        <v>-59.9</v>
      </c>
      <c r="F54" s="113">
        <f t="shared" si="27"/>
        <v>-780</v>
      </c>
      <c r="G54" s="113">
        <f>G46</f>
        <v>2861</v>
      </c>
      <c r="H54" s="113">
        <f>H46</f>
        <v>-304.68299999999999</v>
      </c>
      <c r="I54" s="121">
        <f>I46</f>
        <v>2620.4389999999999</v>
      </c>
      <c r="J54" s="121">
        <f>J46</f>
        <v>1089.9259999999999</v>
      </c>
      <c r="K54" s="50"/>
      <c r="L54" s="69"/>
      <c r="M54" s="70"/>
      <c r="N54" s="71"/>
      <c r="O54" s="71"/>
      <c r="P54" s="71"/>
      <c r="Q54" s="71"/>
      <c r="R54" s="113"/>
      <c r="S54" s="113"/>
      <c r="T54" s="113"/>
      <c r="U54" s="113"/>
    </row>
    <row r="55" spans="1:23" x14ac:dyDescent="0.25">
      <c r="A55" s="102" t="s">
        <v>67</v>
      </c>
      <c r="B55" s="99"/>
      <c r="C55" s="103">
        <f>-33.7</f>
        <v>-33.700000000000003</v>
      </c>
      <c r="D55" s="103">
        <f>-35.7</f>
        <v>-35.700000000000003</v>
      </c>
      <c r="E55" s="103">
        <f>-58.6</f>
        <v>-58.6</v>
      </c>
      <c r="F55" s="103">
        <f>-38.3</f>
        <v>-38.299999999999997</v>
      </c>
      <c r="G55" s="103">
        <f>-34.9</f>
        <v>-34.9</v>
      </c>
      <c r="H55" s="103">
        <f>-38.9</f>
        <v>-38.9</v>
      </c>
      <c r="I55" s="128">
        <v>-156.4</v>
      </c>
      <c r="J55" s="103">
        <v>83.3</v>
      </c>
      <c r="K55" s="50"/>
      <c r="L55" t="s">
        <v>161</v>
      </c>
      <c r="M55" s="70"/>
      <c r="N55" s="71">
        <v>0</v>
      </c>
      <c r="O55" s="71">
        <v>0</v>
      </c>
      <c r="P55" s="71">
        <v>0</v>
      </c>
      <c r="Q55" s="71">
        <v>30</v>
      </c>
      <c r="R55" s="113">
        <v>34</v>
      </c>
      <c r="S55" s="113">
        <v>19.966000000000001</v>
      </c>
      <c r="T55" s="113">
        <v>30.535</v>
      </c>
      <c r="U55" s="113">
        <v>13</v>
      </c>
    </row>
    <row r="56" spans="1:23" x14ac:dyDescent="0.25">
      <c r="A56" s="72" t="s">
        <v>68</v>
      </c>
      <c r="B56" s="73"/>
      <c r="C56" s="74">
        <f t="shared" ref="C56:F56" si="28">SUM(C54:C55)</f>
        <v>155.69999999999999</v>
      </c>
      <c r="D56" s="74">
        <f t="shared" si="28"/>
        <v>274.2</v>
      </c>
      <c r="E56" s="74">
        <f t="shared" si="28"/>
        <v>-118.5</v>
      </c>
      <c r="F56" s="74">
        <f t="shared" si="28"/>
        <v>-818.3</v>
      </c>
      <c r="G56" s="74">
        <f>SUM(G54:G55)</f>
        <v>2826.1</v>
      </c>
      <c r="H56" s="74">
        <f>SUM(H54:H55)</f>
        <v>-343.58299999999997</v>
      </c>
      <c r="I56" s="127">
        <f>SUM(I54:I55)</f>
        <v>2464.0389999999998</v>
      </c>
      <c r="J56" s="127">
        <f>SUM(J54:J55)</f>
        <v>1173.2259999999999</v>
      </c>
      <c r="K56" s="50"/>
      <c r="L56" s="69" t="s">
        <v>29</v>
      </c>
      <c r="M56" s="70"/>
      <c r="N56" s="71">
        <v>25.2</v>
      </c>
      <c r="O56" s="71">
        <v>29.4</v>
      </c>
      <c r="P56" s="71">
        <v>21.7</v>
      </c>
      <c r="Q56" s="71">
        <v>13</v>
      </c>
      <c r="R56" s="113">
        <v>13</v>
      </c>
      <c r="S56" s="113">
        <v>19.056999999999999</v>
      </c>
      <c r="T56" s="113">
        <v>21.195</v>
      </c>
      <c r="U56" s="113">
        <v>136</v>
      </c>
      <c r="V56" s="66"/>
    </row>
    <row r="57" spans="1:23" x14ac:dyDescent="0.25">
      <c r="A57" s="69"/>
      <c r="B57" s="69"/>
      <c r="C57" s="69"/>
      <c r="D57" s="69"/>
      <c r="E57" s="69"/>
      <c r="F57" s="69"/>
      <c r="G57" s="69"/>
      <c r="H57" s="69"/>
      <c r="I57" s="124"/>
      <c r="J57" s="69"/>
      <c r="K57" s="50"/>
      <c r="L57" s="69" t="s">
        <v>144</v>
      </c>
      <c r="M57" s="69"/>
      <c r="N57" s="82">
        <v>0</v>
      </c>
      <c r="O57" s="82">
        <v>0</v>
      </c>
      <c r="P57" s="82">
        <v>12.7</v>
      </c>
      <c r="Q57" s="82">
        <v>0</v>
      </c>
      <c r="R57" s="82">
        <v>3</v>
      </c>
      <c r="S57" s="82">
        <v>6.5430000000000001</v>
      </c>
      <c r="T57" s="82">
        <v>8.6720000000000006</v>
      </c>
      <c r="U57" s="82">
        <v>0</v>
      </c>
    </row>
    <row r="58" spans="1:23" x14ac:dyDescent="0.25">
      <c r="A58" s="98" t="s">
        <v>65</v>
      </c>
      <c r="B58" s="68"/>
      <c r="C58" s="68" t="s">
        <v>35</v>
      </c>
      <c r="D58" s="68" t="s">
        <v>34</v>
      </c>
      <c r="E58" s="68" t="s">
        <v>1</v>
      </c>
      <c r="F58" s="129" t="s">
        <v>2</v>
      </c>
      <c r="G58" s="129" t="s">
        <v>52</v>
      </c>
      <c r="H58" s="129" t="s">
        <v>139</v>
      </c>
      <c r="I58" s="131" t="s">
        <v>153</v>
      </c>
      <c r="J58" s="129" t="s">
        <v>163</v>
      </c>
      <c r="K58" s="50"/>
      <c r="L58" s="69" t="s">
        <v>28</v>
      </c>
      <c r="M58" s="70"/>
      <c r="N58" s="71">
        <v>3.1</v>
      </c>
      <c r="O58" s="71">
        <v>3.7</v>
      </c>
      <c r="P58" s="71">
        <v>4.5999999999999996</v>
      </c>
      <c r="Q58" s="71">
        <v>3</v>
      </c>
      <c r="R58" s="113">
        <v>3</v>
      </c>
      <c r="S58" s="113">
        <v>2.82</v>
      </c>
      <c r="T58" s="113">
        <v>89.86</v>
      </c>
      <c r="U58" s="113">
        <v>16</v>
      </c>
    </row>
    <row r="59" spans="1:23" x14ac:dyDescent="0.25">
      <c r="A59" s="69" t="s">
        <v>106</v>
      </c>
      <c r="B59" s="70"/>
      <c r="C59" s="70">
        <v>18.61</v>
      </c>
      <c r="D59" s="70">
        <v>18.61</v>
      </c>
      <c r="E59" s="70">
        <v>18.61</v>
      </c>
      <c r="F59" s="117">
        <f xml:space="preserve"> 146371879/10^6</f>
        <v>146.37187900000001</v>
      </c>
      <c r="G59" s="117">
        <f>146394490/10^6</f>
        <v>146.39448999999999</v>
      </c>
      <c r="H59" s="117">
        <f>146449995/10^6</f>
        <v>146.449995</v>
      </c>
      <c r="I59" s="125">
        <f>146478718/10^6</f>
        <v>146.47871799999999</v>
      </c>
      <c r="J59" s="125">
        <f>146485117/10^6</f>
        <v>146.485117</v>
      </c>
      <c r="K59" s="50"/>
      <c r="L59" s="81" t="s">
        <v>143</v>
      </c>
      <c r="M59" s="73"/>
      <c r="N59" s="74">
        <f>SUM(N55:N58)</f>
        <v>28.3</v>
      </c>
      <c r="O59" s="74">
        <f t="shared" ref="O59:U59" si="29">SUM(O55:O58)</f>
        <v>33.1</v>
      </c>
      <c r="P59" s="74">
        <f t="shared" si="29"/>
        <v>39</v>
      </c>
      <c r="Q59" s="74">
        <f>SUM(Q55:Q58)+Q8</f>
        <v>4787</v>
      </c>
      <c r="R59" s="74">
        <f>SUM(R55:R58)+R8</f>
        <v>5573</v>
      </c>
      <c r="S59" s="74">
        <f t="shared" si="29"/>
        <v>48.385999999999996</v>
      </c>
      <c r="T59" s="74">
        <f t="shared" si="29"/>
        <v>150.262</v>
      </c>
      <c r="U59" s="74">
        <f t="shared" si="29"/>
        <v>165</v>
      </c>
    </row>
    <row r="60" spans="1:23" x14ac:dyDescent="0.25">
      <c r="A60" s="69" t="s">
        <v>107</v>
      </c>
      <c r="B60" s="70"/>
      <c r="C60" s="71">
        <v>10</v>
      </c>
      <c r="D60" s="71">
        <v>10</v>
      </c>
      <c r="E60" s="71">
        <v>10</v>
      </c>
      <c r="F60" s="113">
        <v>1</v>
      </c>
      <c r="G60" s="113">
        <v>1</v>
      </c>
      <c r="H60" s="113">
        <v>1</v>
      </c>
      <c r="I60" s="121">
        <v>1</v>
      </c>
      <c r="J60" s="121">
        <v>1</v>
      </c>
      <c r="K60" s="50"/>
      <c r="L60" s="69"/>
      <c r="M60" s="76"/>
      <c r="N60" s="77"/>
      <c r="O60" s="77"/>
      <c r="P60" s="77"/>
      <c r="Q60" s="77"/>
      <c r="R60" s="116"/>
      <c r="S60" s="116"/>
      <c r="T60" s="116"/>
      <c r="U60" s="116"/>
      <c r="W60" s="112"/>
    </row>
    <row r="61" spans="1:23" x14ac:dyDescent="0.25">
      <c r="A61" s="102" t="s">
        <v>71</v>
      </c>
      <c r="B61" s="104"/>
      <c r="C61" s="103">
        <f t="shared" ref="C61:G61" si="30">C59*N64</f>
        <v>3177.6574999999998</v>
      </c>
      <c r="D61" s="103">
        <f t="shared" si="30"/>
        <v>6306.9289999999992</v>
      </c>
      <c r="E61" s="103">
        <f t="shared" si="30"/>
        <v>3580.5639999999999</v>
      </c>
      <c r="F61" s="103">
        <f t="shared" si="30"/>
        <v>7772.3467749000001</v>
      </c>
      <c r="G61" s="103">
        <f t="shared" si="30"/>
        <v>18811.691964999998</v>
      </c>
      <c r="H61" s="103">
        <f>H59*S64</f>
        <v>37476.5537205</v>
      </c>
      <c r="I61" s="103">
        <f>I59*T64</f>
        <v>48638.258311899997</v>
      </c>
      <c r="J61" s="103">
        <f>J59*U64</f>
        <v>57004.683280549994</v>
      </c>
      <c r="K61" s="50"/>
      <c r="L61" s="72" t="s">
        <v>27</v>
      </c>
      <c r="M61" s="73"/>
      <c r="N61" s="74">
        <f t="shared" ref="N61:P61" si="31">N6+N7+N10+N52+N59</f>
        <v>3837.3</v>
      </c>
      <c r="O61" s="74">
        <f t="shared" si="31"/>
        <v>10306.5</v>
      </c>
      <c r="P61" s="74">
        <f t="shared" si="31"/>
        <v>1647.2</v>
      </c>
      <c r="Q61" s="74">
        <f>Q6+Q7+Q52+Q59</f>
        <v>41728</v>
      </c>
      <c r="R61" s="74">
        <f>R6+R7+R52+R59</f>
        <v>40572</v>
      </c>
      <c r="S61" s="74">
        <f>S6+S7+S10+S52+S59</f>
        <v>54988.701999999997</v>
      </c>
      <c r="T61" s="74">
        <f>T6+T7+T10+T52+T59</f>
        <v>72586.296000000002</v>
      </c>
      <c r="U61" s="74">
        <f t="shared" ref="U61" si="32">U6+U7+U10+U52+U59</f>
        <v>79097.756999999998</v>
      </c>
      <c r="V61" s="112"/>
    </row>
    <row r="62" spans="1:23" x14ac:dyDescent="0.25">
      <c r="A62" s="102" t="s">
        <v>70</v>
      </c>
      <c r="B62" s="104"/>
      <c r="C62" s="103">
        <f t="shared" ref="C62:G62" si="33">N10</f>
        <v>224.5</v>
      </c>
      <c r="D62" s="103">
        <f t="shared" si="33"/>
        <v>32.9</v>
      </c>
      <c r="E62" s="103">
        <f t="shared" si="33"/>
        <v>0</v>
      </c>
      <c r="F62" s="103">
        <f t="shared" si="33"/>
        <v>6513</v>
      </c>
      <c r="G62" s="103">
        <f t="shared" si="33"/>
        <v>6544</v>
      </c>
      <c r="H62" s="103">
        <f>S10</f>
        <v>7882.1959999999999</v>
      </c>
      <c r="I62" s="103">
        <f>T10</f>
        <v>6854.1669999999995</v>
      </c>
      <c r="J62" s="103">
        <f>U10</f>
        <v>3749.4059999999999</v>
      </c>
      <c r="K62" s="50"/>
      <c r="L62" s="72" t="s">
        <v>26</v>
      </c>
      <c r="M62" s="73"/>
      <c r="N62" s="74">
        <f t="shared" ref="N62:R62" si="34">N30+N41+N43</f>
        <v>3817.9</v>
      </c>
      <c r="O62" s="74">
        <f t="shared" si="34"/>
        <v>10287.099999999999</v>
      </c>
      <c r="P62" s="74">
        <f t="shared" si="34"/>
        <v>1647.2</v>
      </c>
      <c r="Q62" s="74">
        <f t="shared" si="34"/>
        <v>41727.5</v>
      </c>
      <c r="R62" s="74">
        <f t="shared" si="34"/>
        <v>40571.699999999997</v>
      </c>
      <c r="S62" s="74">
        <f>S30+S41+S43</f>
        <v>54988.701999999997</v>
      </c>
      <c r="T62" s="74">
        <f t="shared" ref="T62" si="35">T30+T41+T43</f>
        <v>72586.296000000002</v>
      </c>
      <c r="U62" s="74">
        <f>U30+U41+U43</f>
        <v>79236.449000000008</v>
      </c>
    </row>
    <row r="63" spans="1:23" x14ac:dyDescent="0.25">
      <c r="A63" s="102" t="s">
        <v>152</v>
      </c>
      <c r="B63" s="104"/>
      <c r="C63" s="103">
        <f t="shared" ref="C63:G63" si="36">N36+N37</f>
        <v>1407.7</v>
      </c>
      <c r="D63" s="103">
        <f t="shared" si="36"/>
        <v>4332.5</v>
      </c>
      <c r="E63" s="103">
        <f t="shared" si="36"/>
        <v>288</v>
      </c>
      <c r="F63" s="103">
        <f t="shared" si="36"/>
        <v>4530</v>
      </c>
      <c r="G63" s="103">
        <f t="shared" si="36"/>
        <v>3868</v>
      </c>
      <c r="H63" s="103">
        <f>S36+S37</f>
        <v>3200.6289999999999</v>
      </c>
      <c r="I63" s="103">
        <f>T36+T37</f>
        <v>2384.3110000000001</v>
      </c>
      <c r="J63" s="103">
        <f>U36+U37</f>
        <v>3522.3220000000001</v>
      </c>
      <c r="K63" s="50"/>
      <c r="L63" s="4" t="s">
        <v>65</v>
      </c>
      <c r="M63" s="5"/>
      <c r="N63" s="5" t="s">
        <v>35</v>
      </c>
      <c r="O63" s="5" t="s">
        <v>34</v>
      </c>
      <c r="P63" s="5" t="s">
        <v>1</v>
      </c>
      <c r="Q63" s="5" t="s">
        <v>2</v>
      </c>
      <c r="R63" s="5" t="s">
        <v>52</v>
      </c>
      <c r="S63" s="5" t="s">
        <v>139</v>
      </c>
      <c r="T63" s="5" t="s">
        <v>153</v>
      </c>
      <c r="U63" s="68" t="s">
        <v>163</v>
      </c>
    </row>
    <row r="64" spans="1:23" x14ac:dyDescent="0.25">
      <c r="A64" s="72" t="s">
        <v>72</v>
      </c>
      <c r="B64" s="73"/>
      <c r="C64" s="74">
        <f>SUM(C61:C62)-C63</f>
        <v>1994.4574999999998</v>
      </c>
      <c r="D64" s="74">
        <f t="shared" ref="D64:F64" si="37">SUM(D61:D62)-D63</f>
        <v>2007.3289999999988</v>
      </c>
      <c r="E64" s="74">
        <f t="shared" si="37"/>
        <v>3292.5639999999999</v>
      </c>
      <c r="F64" s="74">
        <f t="shared" si="37"/>
        <v>9755.346774900001</v>
      </c>
      <c r="G64" s="74">
        <f t="shared" ref="G64" si="38">SUM(G61:G62)-G63</f>
        <v>21487.691964999998</v>
      </c>
      <c r="H64" s="74">
        <f>SUM(H61:H62)-H63</f>
        <v>42158.120720499996</v>
      </c>
      <c r="I64" s="127">
        <f>SUM(I61:I62)-I63</f>
        <v>53108.114311899997</v>
      </c>
      <c r="J64" s="127">
        <f>SUM(J61:J62)-J63</f>
        <v>57231.767280549997</v>
      </c>
      <c r="K64" s="50"/>
      <c r="L64" t="s">
        <v>149</v>
      </c>
      <c r="M64" s="1"/>
      <c r="N64" s="1">
        <v>170.75</v>
      </c>
      <c r="O64" s="1">
        <v>338.9</v>
      </c>
      <c r="P64" s="1">
        <v>192.4</v>
      </c>
      <c r="Q64" s="1">
        <v>53.1</v>
      </c>
      <c r="R64" s="1">
        <v>128.5</v>
      </c>
      <c r="S64" s="1">
        <v>255.9</v>
      </c>
      <c r="T64" s="1">
        <v>332.05</v>
      </c>
      <c r="U64" s="1">
        <v>389.15</v>
      </c>
    </row>
    <row r="65" spans="1:22" x14ac:dyDescent="0.25">
      <c r="K65" s="50"/>
      <c r="L65" s="6" t="s">
        <v>73</v>
      </c>
      <c r="M65" s="7"/>
      <c r="N65" s="7">
        <f t="shared" ref="N65:S65" si="39">C40</f>
        <v>3.04</v>
      </c>
      <c r="O65" s="7">
        <f t="shared" si="39"/>
        <v>8.68</v>
      </c>
      <c r="P65" s="7">
        <f t="shared" si="39"/>
        <v>4</v>
      </c>
      <c r="Q65" s="7">
        <f t="shared" si="39"/>
        <v>5.27</v>
      </c>
      <c r="R65" s="10">
        <f t="shared" si="39"/>
        <v>2.98</v>
      </c>
      <c r="S65" s="10">
        <f t="shared" si="39"/>
        <v>1.79</v>
      </c>
      <c r="T65" s="10">
        <v>5.1100000000000003</v>
      </c>
      <c r="U65" s="10">
        <v>4.99</v>
      </c>
    </row>
    <row r="66" spans="1:22" x14ac:dyDescent="0.25">
      <c r="K66" s="50"/>
      <c r="L66" s="6" t="s">
        <v>74</v>
      </c>
      <c r="M66" s="7"/>
      <c r="N66" s="7">
        <f t="shared" ref="N66:S66" si="40">N6/C59</f>
        <v>36.061257388500806</v>
      </c>
      <c r="O66" s="7">
        <f t="shared" si="40"/>
        <v>44.454594304137565</v>
      </c>
      <c r="P66" s="7">
        <f t="shared" si="40"/>
        <v>46.73831273508867</v>
      </c>
      <c r="Q66" s="7">
        <f t="shared" si="40"/>
        <v>187.78880333974533</v>
      </c>
      <c r="R66" s="7">
        <f t="shared" si="40"/>
        <v>189.36505055620606</v>
      </c>
      <c r="S66" s="7">
        <f t="shared" si="40"/>
        <v>190.53628509854167</v>
      </c>
      <c r="T66" s="7">
        <f>T6/I59</f>
        <v>190.32495901554793</v>
      </c>
      <c r="U66" s="7">
        <f>U6/J59</f>
        <v>213.27741438742885</v>
      </c>
    </row>
    <row r="67" spans="1:22" x14ac:dyDescent="0.25">
      <c r="K67" s="50"/>
      <c r="L67" t="s">
        <v>75</v>
      </c>
      <c r="M67" s="1"/>
      <c r="N67" s="1">
        <v>0.5</v>
      </c>
      <c r="O67" s="1">
        <v>1.5</v>
      </c>
      <c r="P67" s="1">
        <v>1.5</v>
      </c>
      <c r="Q67" s="1">
        <v>1.5</v>
      </c>
      <c r="R67" s="1">
        <v>0</v>
      </c>
      <c r="S67" s="1">
        <v>2</v>
      </c>
      <c r="T67" s="1">
        <v>2</v>
      </c>
      <c r="U67" s="1">
        <v>2</v>
      </c>
    </row>
    <row r="68" spans="1:22" x14ac:dyDescent="0.25">
      <c r="A68" s="63"/>
      <c r="K68" s="50"/>
      <c r="L68" s="6" t="s">
        <v>76</v>
      </c>
      <c r="M68" s="7"/>
      <c r="N68" s="7">
        <f t="shared" ref="N68:R68" si="41">N64/N65</f>
        <v>56.167763157894733</v>
      </c>
      <c r="O68" s="7">
        <f t="shared" si="41"/>
        <v>39.043778801843317</v>
      </c>
      <c r="P68" s="7">
        <f t="shared" si="41"/>
        <v>48.1</v>
      </c>
      <c r="Q68" s="7">
        <f>Q64/Q65</f>
        <v>10.075901328273245</v>
      </c>
      <c r="R68" s="7">
        <f t="shared" si="41"/>
        <v>43.120805369127517</v>
      </c>
      <c r="S68" s="7">
        <f>S64/S65</f>
        <v>142.9608938547486</v>
      </c>
      <c r="T68" s="7">
        <f>T64/T65</f>
        <v>64.980430528375734</v>
      </c>
      <c r="U68" s="7">
        <f>U64/U65</f>
        <v>77.985971943887762</v>
      </c>
    </row>
    <row r="69" spans="1:22" x14ac:dyDescent="0.25">
      <c r="K69" s="50"/>
      <c r="L69" s="6" t="s">
        <v>77</v>
      </c>
      <c r="M69" s="7"/>
      <c r="N69" s="7">
        <f t="shared" ref="N69:Q69" si="42">N64/N66</f>
        <v>4.7349985099091043</v>
      </c>
      <c r="O69" s="7">
        <f t="shared" si="42"/>
        <v>7.6235090051976293</v>
      </c>
      <c r="P69" s="7">
        <f t="shared" si="42"/>
        <v>4.1165371349735569</v>
      </c>
      <c r="Q69" s="7">
        <f t="shared" si="42"/>
        <v>0.28276446228762692</v>
      </c>
      <c r="R69" s="7">
        <f t="shared" ref="R69" si="43">R64/R66</f>
        <v>0.67858350642089316</v>
      </c>
      <c r="S69" s="7">
        <f>S64/S66</f>
        <v>1.3430512716654126</v>
      </c>
      <c r="T69" s="7">
        <f>T64/T66</f>
        <v>1.7446476894965435</v>
      </c>
      <c r="U69" s="7">
        <f>U64/U66</f>
        <v>1.8246188942120707</v>
      </c>
    </row>
    <row r="70" spans="1:22" x14ac:dyDescent="0.25">
      <c r="K70" s="50"/>
      <c r="L70" s="6" t="s">
        <v>78</v>
      </c>
      <c r="M70" s="7"/>
      <c r="N70" s="7">
        <f t="shared" ref="N70:S70" si="44">C64/C13</f>
        <v>8.2273151031891048E-2</v>
      </c>
      <c r="O70" s="7">
        <f t="shared" si="44"/>
        <v>4.6680441379951837E-2</v>
      </c>
      <c r="P70" s="7">
        <f t="shared" si="44"/>
        <v>0.15572611654755877</v>
      </c>
      <c r="Q70" s="7">
        <f t="shared" si="44"/>
        <v>5.8003184412651665</v>
      </c>
      <c r="R70" s="7">
        <f t="shared" si="44"/>
        <v>15.69365668976538</v>
      </c>
      <c r="S70" s="7">
        <f t="shared" si="44"/>
        <v>44.223026496710887</v>
      </c>
      <c r="T70" s="7">
        <f t="shared" ref="T70:U70" si="45">I64/I13</f>
        <v>82.753468666626105</v>
      </c>
      <c r="U70" s="7">
        <f t="shared" si="45"/>
        <v>48.797674768851287</v>
      </c>
    </row>
    <row r="71" spans="1:22" x14ac:dyDescent="0.25">
      <c r="K71" s="50"/>
      <c r="L71" s="6" t="s">
        <v>91</v>
      </c>
      <c r="M71" s="7"/>
      <c r="N71" s="7">
        <f>C4/SUM(N17:N21)</f>
        <v>76.488801452784514</v>
      </c>
      <c r="O71" s="7">
        <f>D4/SUM(O17:O21)</f>
        <v>144.97123050259964</v>
      </c>
      <c r="P71" s="7">
        <f>E4/SUM(P17:P21)</f>
        <v>89.857887874837033</v>
      </c>
      <c r="Q71" s="7">
        <f>F4/SUM(Q17:Q19)</f>
        <v>10.158205081669692</v>
      </c>
      <c r="R71" s="7">
        <f>G4/SUM(R17:R19)</f>
        <v>9.8851014492753624</v>
      </c>
      <c r="S71" s="7">
        <f>H4/SUM(S17:S19)</f>
        <v>3.9730276591938813</v>
      </c>
      <c r="T71" s="7">
        <f t="shared" ref="T71:U71" si="46">I4/SUM(T17:T19)</f>
        <v>1.4490138673837232</v>
      </c>
      <c r="U71" s="7">
        <f t="shared" si="46"/>
        <v>1.1153224472032961</v>
      </c>
    </row>
    <row r="72" spans="1:22" x14ac:dyDescent="0.25">
      <c r="K72" s="50"/>
      <c r="L72" s="6" t="s">
        <v>79</v>
      </c>
      <c r="M72" s="8"/>
      <c r="N72" s="8">
        <f t="shared" ref="N72:S72" si="47">C29/N6</f>
        <v>0</v>
      </c>
      <c r="O72" s="8">
        <f t="shared" si="47"/>
        <v>0</v>
      </c>
      <c r="P72" s="8">
        <f t="shared" si="47"/>
        <v>0</v>
      </c>
      <c r="Q72" s="8">
        <f t="shared" si="47"/>
        <v>0</v>
      </c>
      <c r="R72" s="8">
        <f t="shared" si="47"/>
        <v>0</v>
      </c>
      <c r="S72" s="8">
        <f t="shared" si="47"/>
        <v>0</v>
      </c>
      <c r="T72" s="8">
        <f t="shared" ref="T72:U72" si="48">I29/T6</f>
        <v>0</v>
      </c>
      <c r="U72" s="8">
        <f t="shared" si="48"/>
        <v>0</v>
      </c>
    </row>
    <row r="73" spans="1:22" x14ac:dyDescent="0.25">
      <c r="K73" s="50"/>
      <c r="L73" s="6" t="s">
        <v>80</v>
      </c>
      <c r="M73" s="8"/>
      <c r="N73" s="8">
        <f>(C21-C20+C19)/(N61-N51-N9)</f>
        <v>7.8281702696679292E-3</v>
      </c>
      <c r="O73" s="8">
        <f>(D21-D20+D19)/(O61-O51-O9)</f>
        <v>-2.2166020564598813E-3</v>
      </c>
      <c r="P73" s="8">
        <f>(E21-E20+E19)/(P61-P51-P9)</f>
        <v>2.4943735933983493E-2</v>
      </c>
      <c r="Q73" s="8">
        <f>(-F20+F19)/(Q61-Q51-Q9)</f>
        <v>2.1873109848787903E-2</v>
      </c>
      <c r="R73" s="8">
        <f>(G21-G20+G19)/(R61-R51-R9)</f>
        <v>2.5294987398487817E-2</v>
      </c>
      <c r="S73" s="8">
        <f>(H21-H20+H19)/(S61-S51-S9)</f>
        <v>1.6837052167142638E-2</v>
      </c>
      <c r="T73" s="8">
        <f t="shared" ref="T73:U73" si="49">(I21-I20+I19)/(T61-T51-T9)</f>
        <v>1.2942197305292249E-2</v>
      </c>
      <c r="U73" s="8">
        <f t="shared" si="49"/>
        <v>1.0353716415283232E-2</v>
      </c>
    </row>
    <row r="74" spans="1:22" x14ac:dyDescent="0.25">
      <c r="K74" s="50"/>
      <c r="L74" s="6" t="s">
        <v>81</v>
      </c>
      <c r="M74" s="7"/>
      <c r="N74" s="7">
        <f t="shared" ref="N74:T74" si="50">N10/N6</f>
        <v>0.33452540604976905</v>
      </c>
      <c r="O74" s="7">
        <f t="shared" si="50"/>
        <v>3.9767919738909703E-2</v>
      </c>
      <c r="P74" s="7">
        <f t="shared" si="50"/>
        <v>0</v>
      </c>
      <c r="Q74" s="7">
        <f t="shared" si="50"/>
        <v>0.23694837559573617</v>
      </c>
      <c r="R74" s="7">
        <f t="shared" si="50"/>
        <v>0.23605800447298175</v>
      </c>
      <c r="S74" s="7">
        <f t="shared" si="50"/>
        <v>0.28247510270735726</v>
      </c>
      <c r="T74" s="7">
        <f t="shared" si="50"/>
        <v>0.24585803511487464</v>
      </c>
      <c r="U74" s="7">
        <f t="shared" ref="U74" si="51">U10/U6</f>
        <v>0.12001184176399649</v>
      </c>
    </row>
    <row r="75" spans="1:22" x14ac:dyDescent="0.25">
      <c r="K75" s="50"/>
      <c r="L75" s="6" t="s">
        <v>82</v>
      </c>
      <c r="M75" s="7"/>
      <c r="N75" s="7">
        <f t="shared" ref="N75:S75" si="52">(N10-N36-N37)/N6</f>
        <v>-1.7630755476084041</v>
      </c>
      <c r="O75" s="7">
        <f t="shared" si="52"/>
        <v>-5.1971473467907643</v>
      </c>
      <c r="P75" s="7">
        <f t="shared" si="52"/>
        <v>-0.33111060013796273</v>
      </c>
      <c r="Q75" s="7">
        <f t="shared" si="52"/>
        <v>7.2143194964892493E-2</v>
      </c>
      <c r="R75" s="7">
        <f t="shared" si="52"/>
        <v>9.6529831902460145E-2</v>
      </c>
      <c r="S75" s="7">
        <f t="shared" si="52"/>
        <v>0.16777381825526466</v>
      </c>
      <c r="T75" s="7">
        <f>(T10-T36-T37)/T6</f>
        <v>0.16033312485768628</v>
      </c>
      <c r="U75" s="7">
        <f>(U10-U36-U37)/U6</f>
        <v>7.2685564260406539E-3</v>
      </c>
    </row>
    <row r="76" spans="1:22" x14ac:dyDescent="0.25">
      <c r="K76" s="50"/>
      <c r="L76" s="6" t="s">
        <v>83</v>
      </c>
      <c r="M76" s="9"/>
      <c r="N76" s="9">
        <f t="shared" ref="N76:R76" si="53">N67/N64</f>
        <v>2.9282576866764276E-3</v>
      </c>
      <c r="O76" s="9">
        <f t="shared" si="53"/>
        <v>4.426084390675716E-3</v>
      </c>
      <c r="P76" s="9">
        <f t="shared" si="53"/>
        <v>7.7962577962577958E-3</v>
      </c>
      <c r="Q76" s="9">
        <f t="shared" si="53"/>
        <v>2.8248587570621469E-2</v>
      </c>
      <c r="R76" s="9">
        <f t="shared" si="53"/>
        <v>0</v>
      </c>
      <c r="S76" s="9">
        <f>S67/S64</f>
        <v>7.8155529503712382E-3</v>
      </c>
      <c r="T76" s="9">
        <f t="shared" ref="T76:U76" si="54">T67/T64</f>
        <v>6.0231892787230836E-3</v>
      </c>
      <c r="U76" s="9">
        <f t="shared" si="54"/>
        <v>5.1394063985609664E-3</v>
      </c>
    </row>
    <row r="77" spans="1:22" x14ac:dyDescent="0.25">
      <c r="K77" s="50"/>
      <c r="L77" s="6" t="s">
        <v>84</v>
      </c>
      <c r="M77" s="7"/>
      <c r="N77" s="7">
        <f t="shared" ref="N77:S77" si="55">AVERAGE(M35:N35)/C4*365</f>
        <v>0</v>
      </c>
      <c r="O77" s="7">
        <f t="shared" si="55"/>
        <v>0</v>
      </c>
      <c r="P77" s="7">
        <f t="shared" si="55"/>
        <v>0.99695666052436838</v>
      </c>
      <c r="Q77" s="7">
        <f t="shared" si="55"/>
        <v>33.47307059226884</v>
      </c>
      <c r="R77" s="7">
        <f t="shared" si="55"/>
        <v>48.875583027402776</v>
      </c>
      <c r="S77" s="7">
        <f t="shared" si="55"/>
        <v>37.675610572788877</v>
      </c>
      <c r="T77" s="7">
        <f t="shared" ref="T77:U77" si="56">AVERAGE(S35:T35)/I4*365</f>
        <v>85.596459291173986</v>
      </c>
      <c r="U77" s="7">
        <f t="shared" si="56"/>
        <v>82.059973607002817</v>
      </c>
      <c r="V77" s="64"/>
    </row>
    <row r="78" spans="1:22" x14ac:dyDescent="0.25">
      <c r="K78" s="50"/>
      <c r="L78" s="6" t="s">
        <v>85</v>
      </c>
      <c r="M78" s="7"/>
      <c r="N78" s="7">
        <f t="shared" ref="N78:S78" si="57">AVERAGE(M46:N46)/(SUM(C8:C12))*365</f>
        <v>0</v>
      </c>
      <c r="O78" s="7">
        <f t="shared" si="57"/>
        <v>0</v>
      </c>
      <c r="P78" s="7">
        <f t="shared" si="57"/>
        <v>0</v>
      </c>
      <c r="Q78" s="7">
        <f t="shared" si="57"/>
        <v>0</v>
      </c>
      <c r="R78" s="7">
        <f t="shared" si="57"/>
        <v>0</v>
      </c>
      <c r="S78" s="7">
        <f t="shared" si="57"/>
        <v>467.15463372503172</v>
      </c>
      <c r="T78" s="7">
        <f t="shared" ref="T78:U78" si="58">AVERAGE(S46:T46)/(SUM(I8:I12))*365</f>
        <v>2256.3643427836914</v>
      </c>
      <c r="U78" s="7">
        <f t="shared" si="58"/>
        <v>2213.1005953351814</v>
      </c>
      <c r="V78" s="64"/>
    </row>
    <row r="79" spans="1:22" x14ac:dyDescent="0.25">
      <c r="K79" s="50"/>
      <c r="L79" s="6" t="s">
        <v>86</v>
      </c>
      <c r="M79" s="7"/>
      <c r="N79" s="7" t="e">
        <f t="shared" ref="N79:P79" si="59">AVERAGE(M32:N32)/(SUM(C8:C12))*365</f>
        <v>#DIV/0!</v>
      </c>
      <c r="O79" s="7" t="e">
        <f t="shared" si="59"/>
        <v>#DIV/0!</v>
      </c>
      <c r="P79" s="7" t="e">
        <f t="shared" si="59"/>
        <v>#DIV/0!</v>
      </c>
      <c r="Q79" s="132">
        <f t="shared" ref="Q79:S79" si="60">AVERAGE(P33:Q33)/SUM(F8:F9)*360</f>
        <v>1999.0172450289042</v>
      </c>
      <c r="R79" s="132">
        <f t="shared" si="60"/>
        <v>2631.1782051726241</v>
      </c>
      <c r="S79" s="132">
        <f t="shared" si="60"/>
        <v>4656.6435855440877</v>
      </c>
      <c r="T79" s="132">
        <f>AVERAGE(S33:T33)/SUM(I8:I9)*360</f>
        <v>13777.623106721096</v>
      </c>
      <c r="U79" s="132">
        <f>AVERAGE(T33:U33)/SUM(J8:J9)*360</f>
        <v>8945.4012578680504</v>
      </c>
      <c r="V79" s="64"/>
    </row>
    <row r="80" spans="1:22" x14ac:dyDescent="0.25">
      <c r="K80" s="50"/>
      <c r="L80" s="6" t="s">
        <v>87</v>
      </c>
      <c r="M80" s="7"/>
      <c r="N80" s="7" t="e">
        <f t="shared" ref="N80:P80" si="61">N77+N79-N78</f>
        <v>#DIV/0!</v>
      </c>
      <c r="O80" s="7" t="e">
        <f t="shared" si="61"/>
        <v>#DIV/0!</v>
      </c>
      <c r="P80" s="7" t="e">
        <f t="shared" si="61"/>
        <v>#DIV/0!</v>
      </c>
      <c r="Q80" s="132">
        <f t="shared" ref="Q80:S80" si="62">Q77-Q78+Q79</f>
        <v>2032.4903156211731</v>
      </c>
      <c r="R80" s="132">
        <f t="shared" si="62"/>
        <v>2680.0537882000267</v>
      </c>
      <c r="S80" s="132">
        <f t="shared" si="62"/>
        <v>4227.1645623918448</v>
      </c>
      <c r="T80" s="132">
        <f>T77-T78+T79</f>
        <v>11606.855223228578</v>
      </c>
      <c r="U80" s="132">
        <f>U77-U78+U79</f>
        <v>6814.3606361398724</v>
      </c>
      <c r="V80" s="64"/>
    </row>
    <row r="81" spans="11:22" x14ac:dyDescent="0.25">
      <c r="K81" s="50"/>
      <c r="L81" s="6" t="s">
        <v>88</v>
      </c>
      <c r="M81" s="7"/>
      <c r="N81" s="7">
        <f t="shared" ref="N81:P81" si="63">AVERAGE(M52:N52)/C4*365</f>
        <v>42.183432982878216</v>
      </c>
      <c r="O81" s="7">
        <f t="shared" si="63"/>
        <v>53.842566026367507</v>
      </c>
      <c r="P81" s="7">
        <f t="shared" si="63"/>
        <v>67.238305451168728</v>
      </c>
      <c r="Q81" s="7">
        <f t="shared" ref="Q81:S81" si="64">AVERAGE(P30:Q30)/F4*360</f>
        <v>157.02968517488566</v>
      </c>
      <c r="R81" s="7">
        <f t="shared" si="64"/>
        <v>238.69034354144429</v>
      </c>
      <c r="S81" s="7">
        <f t="shared" si="64"/>
        <v>325.08917984016392</v>
      </c>
      <c r="T81" s="7">
        <f>AVERAGE(S30:T30)/I4*360</f>
        <v>596.92905890844247</v>
      </c>
      <c r="U81" s="7">
        <f>AVERAGE(T30:U30)/J4*360</f>
        <v>539.86242995445843</v>
      </c>
      <c r="V81" s="64"/>
    </row>
    <row r="82" spans="11:22" hidden="1" x14ac:dyDescent="0.25">
      <c r="K82" s="50"/>
      <c r="L82" s="6" t="s">
        <v>89</v>
      </c>
      <c r="M82" s="8"/>
      <c r="N82" s="8">
        <f t="shared" ref="N82:U82" si="65">C19/N10</f>
        <v>0.12516703786191538</v>
      </c>
      <c r="O82" s="8">
        <f t="shared" si="65"/>
        <v>0.43161094224924013</v>
      </c>
      <c r="P82" s="8" t="e">
        <f t="shared" si="65"/>
        <v>#DIV/0!</v>
      </c>
      <c r="Q82" s="107">
        <f t="shared" si="65"/>
        <v>0.12485214187010595</v>
      </c>
      <c r="R82" s="107">
        <f t="shared" si="65"/>
        <v>0.12933374083129584</v>
      </c>
      <c r="S82" s="107">
        <f t="shared" si="65"/>
        <v>9.8462408191828776E-2</v>
      </c>
      <c r="T82" s="107">
        <f t="shared" si="65"/>
        <v>0.12531865651945745</v>
      </c>
      <c r="U82" s="107">
        <f t="shared" si="65"/>
        <v>0.18230087645883108</v>
      </c>
    </row>
    <row r="83" spans="11:22" x14ac:dyDescent="0.25">
      <c r="K83" s="50"/>
      <c r="L83" s="6" t="s">
        <v>90</v>
      </c>
      <c r="M83" s="7"/>
      <c r="N83" s="7">
        <f t="shared" ref="N83:P83" si="66">(C21+C19)/C19</f>
        <v>1</v>
      </c>
      <c r="O83" s="7">
        <f t="shared" si="66"/>
        <v>1</v>
      </c>
      <c r="P83" s="7">
        <f t="shared" si="66"/>
        <v>1</v>
      </c>
      <c r="Q83" s="132">
        <f t="shared" ref="Q83:S83" si="67">(G13-G18)/G19</f>
        <v>1.5562656552767142</v>
      </c>
      <c r="R83" s="132">
        <f t="shared" si="67"/>
        <v>1.134440149465276</v>
      </c>
      <c r="S83" s="132">
        <f t="shared" si="67"/>
        <v>0.63972385049275027</v>
      </c>
      <c r="T83" s="132">
        <f>(J13-J18)/J19</f>
        <v>1.5764074204119849</v>
      </c>
      <c r="U83" s="132">
        <f>(J13-J18)/J19</f>
        <v>1.5764074204119849</v>
      </c>
    </row>
    <row r="86" spans="11:22" hidden="1" x14ac:dyDescent="0.25">
      <c r="L86" s="62" t="s">
        <v>32</v>
      </c>
      <c r="M86" s="64"/>
      <c r="N86" s="64">
        <f t="shared" ref="N86:P86" si="68">N60-N61</f>
        <v>-3837.3</v>
      </c>
      <c r="O86" s="64">
        <f t="shared" si="68"/>
        <v>-10306.5</v>
      </c>
      <c r="P86" s="64">
        <f t="shared" si="68"/>
        <v>-1647.2</v>
      </c>
      <c r="Q86" s="64">
        <f>Q60-Q61</f>
        <v>-41728</v>
      </c>
      <c r="R86" s="65">
        <f>R60-R61</f>
        <v>-40572</v>
      </c>
      <c r="S86" s="65">
        <f t="shared" ref="S86:U86" si="69">S60-S61</f>
        <v>-54988.701999999997</v>
      </c>
      <c r="T86" s="65"/>
      <c r="U86" s="65">
        <f t="shared" si="69"/>
        <v>-79097.756999999998</v>
      </c>
    </row>
    <row r="87" spans="11:22" hidden="1" x14ac:dyDescent="0.25">
      <c r="L87" s="62" t="s">
        <v>33</v>
      </c>
      <c r="M87" s="64"/>
      <c r="N87" s="64">
        <f t="shared" ref="N87:S87" si="70">N12-N13</f>
        <v>0</v>
      </c>
      <c r="O87" s="64">
        <f t="shared" si="70"/>
        <v>0</v>
      </c>
      <c r="P87" s="64">
        <f t="shared" si="70"/>
        <v>0</v>
      </c>
      <c r="Q87" s="64">
        <f t="shared" si="70"/>
        <v>6513</v>
      </c>
      <c r="R87" s="64">
        <f t="shared" si="70"/>
        <v>6544</v>
      </c>
      <c r="S87" s="64">
        <f t="shared" si="70"/>
        <v>0</v>
      </c>
      <c r="T87" s="64"/>
      <c r="U87" s="64">
        <f t="shared" ref="U87" si="71">U12-U13</f>
        <v>0</v>
      </c>
    </row>
  </sheetData>
  <mergeCells count="3">
    <mergeCell ref="L2:U2"/>
    <mergeCell ref="A2:I2"/>
    <mergeCell ref="A1:U1"/>
  </mergeCells>
  <printOptions horizontalCentered="1" verticalCentered="1"/>
  <pageMargins left="0" right="0" top="0.19685039370078741" bottom="0" header="0" footer="0"/>
  <pageSetup paperSize="4" scale="48" orientation="landscape" horizontalDpi="1200" verticalDpi="1200" r:id="rId1"/>
  <ignoredErrors>
    <ignoredError sqref="Q72 Q74:S75 Q71:R71 Q76:R76 N77:S78 N79:P79" formulaRange="1"/>
    <ignoredError sqref="Q73"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Peer Analysis</vt:lpstr>
      <vt:lpstr>Consol</vt:lpstr>
      <vt:lpstr>'Peer Analysis'!Print_Area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Sahil Jain</cp:lastModifiedBy>
  <cp:lastPrinted>2023-01-09T10:48:40Z</cp:lastPrinted>
  <dcterms:created xsi:type="dcterms:W3CDTF">2021-01-27T07:46:46Z</dcterms:created>
  <dcterms:modified xsi:type="dcterms:W3CDTF">2024-06-18T11:52:37Z</dcterms:modified>
</cp:coreProperties>
</file>