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930"/>
  </bookViews>
  <sheets>
    <sheet name="Conso" sheetId="15" r:id="rId1"/>
    <sheet name="standalone" sheetId="10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5" l="1"/>
  <c r="M11" i="15"/>
  <c r="N11" i="15"/>
  <c r="O11" i="15"/>
  <c r="K11" i="15"/>
  <c r="O84" i="15" l="1"/>
  <c r="L85" i="15"/>
  <c r="M85" i="15"/>
  <c r="N85" i="15"/>
  <c r="O85" i="15"/>
  <c r="K85" i="15"/>
  <c r="M84" i="15"/>
  <c r="N84" i="15"/>
  <c r="L84" i="15"/>
  <c r="K84" i="15"/>
  <c r="E68" i="15"/>
  <c r="F68" i="15"/>
  <c r="G68" i="15"/>
  <c r="D68" i="15"/>
  <c r="O82" i="15"/>
  <c r="O81" i="15"/>
  <c r="N81" i="15"/>
  <c r="N80" i="15"/>
  <c r="O80" i="15"/>
  <c r="M80" i="15"/>
  <c r="M81" i="15" s="1"/>
  <c r="M79" i="15"/>
  <c r="N79" i="15"/>
  <c r="O79" i="15"/>
  <c r="L79" i="15"/>
  <c r="L81" i="15" s="1"/>
  <c r="M78" i="15"/>
  <c r="N78" i="15"/>
  <c r="O78" i="15"/>
  <c r="L78" i="15"/>
  <c r="K78" i="15"/>
  <c r="G62" i="15"/>
  <c r="F62" i="15"/>
  <c r="E62" i="15"/>
  <c r="D62" i="15"/>
  <c r="C62" i="15"/>
  <c r="G46" i="15"/>
  <c r="F46" i="15"/>
  <c r="E46" i="15"/>
  <c r="D46" i="15"/>
  <c r="C46" i="15"/>
  <c r="D32" i="15"/>
  <c r="C32" i="15"/>
  <c r="G21" i="15"/>
  <c r="F21" i="15"/>
  <c r="D19" i="15"/>
  <c r="C19" i="15"/>
  <c r="K79" i="15" s="1"/>
  <c r="K81" i="15" s="1"/>
  <c r="L68" i="15" l="1"/>
  <c r="M68" i="15"/>
  <c r="N68" i="15"/>
  <c r="O68" i="15"/>
  <c r="C65" i="15"/>
  <c r="D58" i="15" s="1"/>
  <c r="D65" i="15" s="1"/>
  <c r="E65" i="15"/>
  <c r="F58" i="15" s="1"/>
  <c r="E32" i="15"/>
  <c r="F32" i="15"/>
  <c r="G32" i="15"/>
  <c r="M42" i="15"/>
  <c r="L42" i="15"/>
  <c r="K42" i="15"/>
  <c r="M29" i="15"/>
  <c r="L29" i="15"/>
  <c r="K29" i="15"/>
  <c r="M14" i="15"/>
  <c r="L14" i="15"/>
  <c r="K14" i="15"/>
  <c r="N14" i="15"/>
  <c r="K6" i="15"/>
  <c r="L6" i="15"/>
  <c r="M6" i="15"/>
  <c r="O6" i="15"/>
  <c r="N6" i="15"/>
  <c r="K61" i="15" l="1"/>
  <c r="K54" i="15"/>
  <c r="L54" i="15"/>
  <c r="M82" i="15" s="1"/>
  <c r="M60" i="15"/>
  <c r="M12" i="15" s="1"/>
  <c r="K60" i="15"/>
  <c r="K12" i="15" s="1"/>
  <c r="L60" i="15"/>
  <c r="L12" i="15" s="1"/>
  <c r="L61" i="15"/>
  <c r="M61" i="15"/>
  <c r="M54" i="15"/>
  <c r="N82" i="15" s="1"/>
  <c r="D20" i="15"/>
  <c r="C20" i="15"/>
  <c r="G7" i="15"/>
  <c r="F7" i="15"/>
  <c r="E7" i="15"/>
  <c r="D7" i="15"/>
  <c r="C7" i="15"/>
  <c r="N83" i="15"/>
  <c r="O77" i="15"/>
  <c r="N77" i="15"/>
  <c r="M77" i="15"/>
  <c r="L77" i="15"/>
  <c r="N76" i="15"/>
  <c r="M76" i="15"/>
  <c r="L76" i="15"/>
  <c r="K76" i="15"/>
  <c r="N75" i="15"/>
  <c r="M75" i="15"/>
  <c r="L75" i="15"/>
  <c r="K75" i="15"/>
  <c r="L71" i="15"/>
  <c r="O71" i="15"/>
  <c r="M71" i="15"/>
  <c r="N71" i="15"/>
  <c r="L67" i="15"/>
  <c r="M67" i="15"/>
  <c r="M70" i="15" s="1"/>
  <c r="O67" i="15"/>
  <c r="O70" i="15" s="1"/>
  <c r="N67" i="15"/>
  <c r="N70" i="15" s="1"/>
  <c r="C69" i="15"/>
  <c r="D69" i="15"/>
  <c r="E69" i="15"/>
  <c r="F69" i="15"/>
  <c r="C70" i="15"/>
  <c r="D70" i="15"/>
  <c r="E70" i="15"/>
  <c r="F70" i="15"/>
  <c r="G70" i="15"/>
  <c r="F65" i="15"/>
  <c r="G58" i="15" s="1"/>
  <c r="G65" i="15" s="1"/>
  <c r="O42" i="15"/>
  <c r="N29" i="15"/>
  <c r="O29" i="15"/>
  <c r="N42" i="15"/>
  <c r="O14" i="15"/>
  <c r="G19" i="15"/>
  <c r="E19" i="15"/>
  <c r="E20" i="15" s="1"/>
  <c r="F19" i="15"/>
  <c r="F20" i="15" s="1"/>
  <c r="F27" i="15" s="1"/>
  <c r="L82" i="15" l="1"/>
  <c r="K82" i="15"/>
  <c r="G22" i="15"/>
  <c r="E21" i="15"/>
  <c r="C27" i="15"/>
  <c r="D21" i="15"/>
  <c r="F22" i="15"/>
  <c r="D27" i="15"/>
  <c r="C23" i="15"/>
  <c r="E27" i="15"/>
  <c r="E34" i="15" s="1"/>
  <c r="E41" i="15" s="1"/>
  <c r="E47" i="15" s="1"/>
  <c r="G20" i="15"/>
  <c r="F8" i="15"/>
  <c r="E8" i="15"/>
  <c r="F71" i="15"/>
  <c r="N72" i="15" s="1"/>
  <c r="D8" i="15"/>
  <c r="K74" i="15"/>
  <c r="L74" i="15"/>
  <c r="M74" i="15"/>
  <c r="G9" i="15"/>
  <c r="E71" i="15"/>
  <c r="M72" i="15" s="1"/>
  <c r="F9" i="15"/>
  <c r="D23" i="15"/>
  <c r="N74" i="15"/>
  <c r="G8" i="15"/>
  <c r="D71" i="15"/>
  <c r="L72" i="15" s="1"/>
  <c r="N54" i="15"/>
  <c r="O54" i="15"/>
  <c r="O60" i="15"/>
  <c r="O12" i="15" s="1"/>
  <c r="N60" i="15"/>
  <c r="N12" i="15" s="1"/>
  <c r="N61" i="15"/>
  <c r="E23" i="15"/>
  <c r="F23" i="15"/>
  <c r="D34" i="15" l="1"/>
  <c r="C34" i="15"/>
  <c r="G23" i="15"/>
  <c r="G27" i="15"/>
  <c r="G33" i="15" s="1"/>
  <c r="O74" i="15"/>
  <c r="E33" i="15"/>
  <c r="F34" i="15"/>
  <c r="F41" i="15" s="1"/>
  <c r="F47" i="15" s="1"/>
  <c r="F33" i="15"/>
  <c r="C41" i="15" l="1"/>
  <c r="C47" i="15" s="1"/>
  <c r="F36" i="15"/>
  <c r="K73" i="15"/>
  <c r="D41" i="15"/>
  <c r="D47" i="15" s="1"/>
  <c r="L73" i="15"/>
  <c r="G34" i="15"/>
  <c r="G41" i="15" s="1"/>
  <c r="G47" i="15" s="1"/>
  <c r="F35" i="15"/>
  <c r="N73" i="15"/>
  <c r="E35" i="15"/>
  <c r="M73" i="15"/>
  <c r="O73" i="15" l="1"/>
  <c r="G36" i="15"/>
  <c r="G35" i="15"/>
  <c r="P48" i="10" l="1"/>
  <c r="Q48" i="10"/>
  <c r="R48" i="10"/>
  <c r="F86" i="10"/>
  <c r="G86" i="10"/>
  <c r="H86" i="10"/>
  <c r="E86" i="10"/>
  <c r="G49" i="10"/>
  <c r="F49" i="10"/>
  <c r="E49" i="10"/>
  <c r="H49" i="10"/>
  <c r="G45" i="10"/>
  <c r="F45" i="10"/>
  <c r="E45" i="10"/>
  <c r="H45" i="10"/>
  <c r="G42" i="10"/>
  <c r="F42" i="10"/>
  <c r="E42" i="10"/>
  <c r="H42" i="10"/>
  <c r="I39" i="10"/>
  <c r="G28" i="10"/>
  <c r="F28" i="10"/>
  <c r="E28" i="10"/>
  <c r="H28" i="10"/>
  <c r="G39" i="10"/>
  <c r="F39" i="10"/>
  <c r="E39" i="10"/>
  <c r="H39" i="10"/>
  <c r="H52" i="10" l="1"/>
  <c r="E52" i="10"/>
  <c r="F52" i="10"/>
  <c r="G52" i="10"/>
  <c r="R10" i="10"/>
  <c r="R32" i="10"/>
  <c r="Q32" i="10"/>
  <c r="Q59" i="10" s="1"/>
  <c r="Q44" i="10"/>
  <c r="Q10" i="10"/>
  <c r="Q6" i="10"/>
  <c r="Q11" i="10" s="1"/>
  <c r="R44" i="10"/>
  <c r="R6" i="10"/>
  <c r="R11" i="10" s="1"/>
  <c r="Q60" i="10" l="1"/>
  <c r="R60" i="10"/>
  <c r="R52" i="10"/>
  <c r="P44" i="10" l="1"/>
  <c r="O44" i="10"/>
  <c r="P32" i="10"/>
  <c r="P59" i="10" s="1"/>
  <c r="F71" i="10" l="1"/>
  <c r="I14" i="10"/>
  <c r="I9" i="10" s="1"/>
  <c r="I4" i="10"/>
  <c r="R82" i="10"/>
  <c r="Q82" i="10"/>
  <c r="P82" i="10"/>
  <c r="O82" i="10"/>
  <c r="N82" i="10"/>
  <c r="N78" i="10"/>
  <c r="M78" i="10"/>
  <c r="L78" i="10"/>
  <c r="N77" i="10"/>
  <c r="M77" i="10"/>
  <c r="L77" i="10"/>
  <c r="R75" i="10"/>
  <c r="Q75" i="10"/>
  <c r="P75" i="10"/>
  <c r="O75" i="10"/>
  <c r="N75" i="10"/>
  <c r="M75" i="10"/>
  <c r="L75" i="10"/>
  <c r="H89" i="10"/>
  <c r="G89" i="10"/>
  <c r="F89" i="10"/>
  <c r="E89" i="10"/>
  <c r="D89" i="10"/>
  <c r="C89" i="10"/>
  <c r="B89" i="10"/>
  <c r="H87" i="10"/>
  <c r="G87" i="10"/>
  <c r="F87" i="10"/>
  <c r="E87" i="10"/>
  <c r="D87" i="10"/>
  <c r="C87" i="10"/>
  <c r="B87" i="10"/>
  <c r="C82" i="10"/>
  <c r="R65" i="10"/>
  <c r="R68" i="10" s="1"/>
  <c r="Q65" i="10"/>
  <c r="Q68" i="10" s="1"/>
  <c r="P65" i="10"/>
  <c r="P68" i="10" s="1"/>
  <c r="O65" i="10"/>
  <c r="O68" i="10" s="1"/>
  <c r="N65" i="10"/>
  <c r="N68" i="10" s="1"/>
  <c r="M65" i="10"/>
  <c r="M68" i="10" s="1"/>
  <c r="L65" i="10"/>
  <c r="L68" i="10" s="1"/>
  <c r="C80" i="10"/>
  <c r="B80" i="10"/>
  <c r="C78" i="10"/>
  <c r="B78" i="10"/>
  <c r="H77" i="10"/>
  <c r="G77" i="10"/>
  <c r="F77" i="10"/>
  <c r="E77" i="10"/>
  <c r="C77" i="10"/>
  <c r="B77" i="10"/>
  <c r="H71" i="10"/>
  <c r="H73" i="10" s="1"/>
  <c r="G71" i="10"/>
  <c r="G73" i="10" s="1"/>
  <c r="H62" i="10" s="1"/>
  <c r="F73" i="10"/>
  <c r="G62" i="10" s="1"/>
  <c r="E71" i="10"/>
  <c r="E73" i="10" s="1"/>
  <c r="D71" i="10"/>
  <c r="D73" i="10" s="1"/>
  <c r="C71" i="10"/>
  <c r="C73" i="10" s="1"/>
  <c r="B71" i="10"/>
  <c r="B73" i="10" s="1"/>
  <c r="N44" i="10"/>
  <c r="M44" i="10"/>
  <c r="L44" i="10"/>
  <c r="R59" i="10"/>
  <c r="R12" i="10" s="1"/>
  <c r="O32" i="10"/>
  <c r="O59" i="10" s="1"/>
  <c r="N32" i="10"/>
  <c r="N59" i="10" s="1"/>
  <c r="M32" i="10"/>
  <c r="L32" i="10"/>
  <c r="L59" i="10" s="1"/>
  <c r="R81" i="10"/>
  <c r="P10" i="10"/>
  <c r="O10" i="10"/>
  <c r="N10" i="10"/>
  <c r="N81" i="10" s="1"/>
  <c r="M10" i="10"/>
  <c r="L10" i="10"/>
  <c r="B88" i="10" s="1"/>
  <c r="H9" i="10"/>
  <c r="R77" i="10" s="1"/>
  <c r="G9" i="10"/>
  <c r="Q78" i="10" s="1"/>
  <c r="F9" i="10"/>
  <c r="P78" i="10" s="1"/>
  <c r="E9" i="10"/>
  <c r="O77" i="10" s="1"/>
  <c r="D9" i="10"/>
  <c r="C9" i="10"/>
  <c r="B9" i="10"/>
  <c r="R66" i="10"/>
  <c r="R69" i="10" s="1"/>
  <c r="P6" i="10"/>
  <c r="P11" i="10" s="1"/>
  <c r="O6" i="10"/>
  <c r="O11" i="10" s="1"/>
  <c r="N6" i="10"/>
  <c r="N66" i="10" s="1"/>
  <c r="N69" i="10" s="1"/>
  <c r="M6" i="10"/>
  <c r="M11" i="10" s="1"/>
  <c r="L6" i="10"/>
  <c r="L11" i="10" s="1"/>
  <c r="I6" i="10"/>
  <c r="H6" i="10"/>
  <c r="G6" i="10"/>
  <c r="F6" i="10"/>
  <c r="E6" i="10"/>
  <c r="O76" i="10" s="1"/>
  <c r="D6" i="10"/>
  <c r="C6" i="10"/>
  <c r="B6" i="10"/>
  <c r="I16" i="10" l="1"/>
  <c r="I19" i="10" s="1"/>
  <c r="O81" i="10"/>
  <c r="O60" i="10"/>
  <c r="F88" i="10"/>
  <c r="F90" i="10" s="1"/>
  <c r="P60" i="10"/>
  <c r="L12" i="10"/>
  <c r="B16" i="10"/>
  <c r="B24" i="10" s="1"/>
  <c r="B76" i="10" s="1"/>
  <c r="B81" i="10" s="1"/>
  <c r="B83" i="10" s="1"/>
  <c r="P12" i="10"/>
  <c r="O66" i="10"/>
  <c r="O69" i="10" s="1"/>
  <c r="L74" i="10"/>
  <c r="P77" i="10"/>
  <c r="F16" i="10"/>
  <c r="F19" i="10" s="1"/>
  <c r="E7" i="10"/>
  <c r="F8" i="10"/>
  <c r="M52" i="10"/>
  <c r="Q52" i="10"/>
  <c r="O12" i="10"/>
  <c r="N12" i="10"/>
  <c r="N52" i="10"/>
  <c r="P74" i="10"/>
  <c r="L81" i="10"/>
  <c r="B90" i="10"/>
  <c r="P81" i="10"/>
  <c r="L60" i="10"/>
  <c r="N60" i="10"/>
  <c r="R73" i="10"/>
  <c r="N11" i="10"/>
  <c r="M73" i="10"/>
  <c r="Q73" i="10"/>
  <c r="M60" i="10"/>
  <c r="N73" i="10"/>
  <c r="I24" i="10"/>
  <c r="M59" i="10"/>
  <c r="M12" i="10" s="1"/>
  <c r="C88" i="10"/>
  <c r="C90" i="10" s="1"/>
  <c r="F7" i="10"/>
  <c r="G8" i="10"/>
  <c r="C16" i="10"/>
  <c r="G16" i="10"/>
  <c r="O52" i="10"/>
  <c r="P66" i="10"/>
  <c r="P69" i="10" s="1"/>
  <c r="D88" i="10"/>
  <c r="D90" i="10" s="1"/>
  <c r="H88" i="10"/>
  <c r="H90" i="10" s="1"/>
  <c r="O73" i="10"/>
  <c r="M74" i="10"/>
  <c r="Q74" i="10"/>
  <c r="L76" i="10"/>
  <c r="L79" i="10" s="1"/>
  <c r="P76" i="10"/>
  <c r="Q77" i="10"/>
  <c r="R78" i="10"/>
  <c r="M81" i="10"/>
  <c r="Q81" i="10"/>
  <c r="Q12" i="10"/>
  <c r="G88" i="10"/>
  <c r="G90" i="10" s="1"/>
  <c r="C7" i="10"/>
  <c r="G7" i="10"/>
  <c r="H8" i="10"/>
  <c r="D16" i="10"/>
  <c r="H16" i="10"/>
  <c r="L52" i="10"/>
  <c r="L80" i="10" s="1"/>
  <c r="P52" i="10"/>
  <c r="Q66" i="10"/>
  <c r="Q69" i="10" s="1"/>
  <c r="E88" i="10"/>
  <c r="E90" i="10" s="1"/>
  <c r="L73" i="10"/>
  <c r="P73" i="10"/>
  <c r="N74" i="10"/>
  <c r="R74" i="10"/>
  <c r="M76" i="10"/>
  <c r="M79" i="10" s="1"/>
  <c r="Q76" i="10"/>
  <c r="O78" i="10"/>
  <c r="O79" i="10" s="1"/>
  <c r="D7" i="10"/>
  <c r="H7" i="10"/>
  <c r="E16" i="10"/>
  <c r="O74" i="10"/>
  <c r="N76" i="10"/>
  <c r="N79" i="10" s="1"/>
  <c r="R76" i="10"/>
  <c r="B30" i="10" l="1"/>
  <c r="B19" i="10"/>
  <c r="L72" i="10"/>
  <c r="P79" i="10"/>
  <c r="L70" i="10"/>
  <c r="L71" i="10"/>
  <c r="N80" i="10"/>
  <c r="O80" i="10"/>
  <c r="R70" i="10"/>
  <c r="F24" i="10"/>
  <c r="F18" i="10"/>
  <c r="P70" i="10"/>
  <c r="Q80" i="10"/>
  <c r="P72" i="10"/>
  <c r="R80" i="10"/>
  <c r="M70" i="10"/>
  <c r="N70" i="10"/>
  <c r="Q79" i="10"/>
  <c r="M80" i="10"/>
  <c r="C79" i="10"/>
  <c r="H24" i="10"/>
  <c r="H30" i="10" s="1"/>
  <c r="H40" i="10" s="1"/>
  <c r="H53" i="10" s="1"/>
  <c r="H19" i="10"/>
  <c r="R72" i="10"/>
  <c r="H17" i="10"/>
  <c r="H18" i="10"/>
  <c r="G18" i="10"/>
  <c r="G17" i="10"/>
  <c r="G24" i="10"/>
  <c r="G30" i="10" s="1"/>
  <c r="G40" i="10" s="1"/>
  <c r="G53" i="10" s="1"/>
  <c r="G19" i="10"/>
  <c r="Q72" i="10"/>
  <c r="O70" i="10"/>
  <c r="I29" i="10"/>
  <c r="I30" i="10"/>
  <c r="I40" i="10" s="1"/>
  <c r="D24" i="10"/>
  <c r="D19" i="10"/>
  <c r="N72" i="10"/>
  <c r="D17" i="10"/>
  <c r="Q70" i="10"/>
  <c r="C24" i="10"/>
  <c r="C19" i="10"/>
  <c r="C17" i="10"/>
  <c r="M72" i="10"/>
  <c r="R79" i="10"/>
  <c r="P80" i="10"/>
  <c r="O72" i="10"/>
  <c r="E17" i="10"/>
  <c r="E19" i="10"/>
  <c r="E24" i="10"/>
  <c r="E30" i="10" s="1"/>
  <c r="E40" i="10" s="1"/>
  <c r="E53" i="10" s="1"/>
  <c r="F17" i="10"/>
  <c r="F76" i="10" l="1"/>
  <c r="F81" i="10" s="1"/>
  <c r="F83" i="10" s="1"/>
  <c r="F30" i="10"/>
  <c r="F40" i="10" s="1"/>
  <c r="F53" i="10" s="1"/>
  <c r="F29" i="10"/>
  <c r="E29" i="10"/>
  <c r="E76" i="10"/>
  <c r="E81" i="10" s="1"/>
  <c r="E83" i="10" s="1"/>
  <c r="G29" i="10"/>
  <c r="G76" i="10"/>
  <c r="G81" i="10" s="1"/>
  <c r="G83" i="10" s="1"/>
  <c r="C76" i="10"/>
  <c r="C81" i="10" s="1"/>
  <c r="C83" i="10" s="1"/>
  <c r="C30" i="10"/>
  <c r="D30" i="10"/>
  <c r="D29" i="10"/>
  <c r="I31" i="10"/>
  <c r="H76" i="10"/>
  <c r="H81" i="10" s="1"/>
  <c r="H83" i="10" s="1"/>
  <c r="H29" i="10"/>
  <c r="F31" i="10" l="1"/>
  <c r="E31" i="10"/>
  <c r="D31" i="10"/>
  <c r="H32" i="10"/>
  <c r="H31" i="10"/>
  <c r="M71" i="10"/>
  <c r="G31" i="10"/>
  <c r="P71" i="10"/>
  <c r="N71" i="10" l="1"/>
  <c r="Q71" i="10"/>
  <c r="O71" i="10"/>
  <c r="R71" i="10"/>
  <c r="O61" i="15" l="1"/>
  <c r="O76" i="15"/>
  <c r="O83" i="15"/>
  <c r="O75" i="15"/>
  <c r="G69" i="15"/>
  <c r="G71" i="15" l="1"/>
  <c r="O72" i="15" s="1"/>
</calcChain>
</file>

<file path=xl/comments1.xml><?xml version="1.0" encoding="utf-8"?>
<comments xmlns="http://schemas.openxmlformats.org/spreadsheetml/2006/main">
  <authors>
    <author>Suyash</author>
  </authors>
  <commentList>
    <comment ref="P25" authorId="0" shapeId="0">
      <text>
        <r>
          <rPr>
            <b/>
            <sz val="9"/>
            <color indexed="81"/>
            <rFont val="Tahoma"/>
            <family val="2"/>
          </rPr>
          <t>Suyash:</t>
        </r>
        <r>
          <rPr>
            <sz val="9"/>
            <color indexed="81"/>
            <rFont val="Tahoma"/>
            <family val="2"/>
          </rPr>
          <t xml:space="preserve">
Please check</t>
        </r>
      </text>
    </comment>
    <comment ref="P30" authorId="0" shapeId="0">
      <text>
        <r>
          <rPr>
            <b/>
            <sz val="9"/>
            <color indexed="81"/>
            <rFont val="Tahoma"/>
            <family val="2"/>
          </rPr>
          <t>Suyash:</t>
        </r>
        <r>
          <rPr>
            <sz val="9"/>
            <color indexed="81"/>
            <rFont val="Tahoma"/>
            <family val="2"/>
          </rPr>
          <t xml:space="preserve">
Please Check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Suyash:</t>
        </r>
        <r>
          <rPr>
            <sz val="9"/>
            <color indexed="81"/>
            <rFont val="Tahoma"/>
            <family val="2"/>
          </rPr>
          <t xml:space="preserve">
Please check
</t>
        </r>
      </text>
    </comment>
    <comment ref="P38" authorId="0" shapeId="0">
      <text>
        <r>
          <rPr>
            <b/>
            <sz val="9"/>
            <color indexed="81"/>
            <rFont val="Tahoma"/>
            <family val="2"/>
          </rPr>
          <t>Suyash:</t>
        </r>
        <r>
          <rPr>
            <sz val="9"/>
            <color indexed="81"/>
            <rFont val="Tahoma"/>
            <family val="2"/>
          </rPr>
          <t xml:space="preserve">
Please Check
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Suyash:</t>
        </r>
        <r>
          <rPr>
            <sz val="9"/>
            <color indexed="81"/>
            <rFont val="Tahoma"/>
            <family val="2"/>
          </rPr>
          <t xml:space="preserve">
Please check this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</rPr>
          <t>Suyash:</t>
        </r>
        <r>
          <rPr>
            <sz val="9"/>
            <color indexed="81"/>
            <rFont val="Tahoma"/>
            <family val="2"/>
          </rPr>
          <t xml:space="preserve">
Please Check
</t>
        </r>
      </text>
    </comment>
    <comment ref="R43" authorId="0" shapeId="0">
      <text>
        <r>
          <rPr>
            <b/>
            <sz val="9"/>
            <color indexed="81"/>
            <rFont val="Tahoma"/>
            <family val="2"/>
          </rPr>
          <t>Suyash:</t>
        </r>
        <r>
          <rPr>
            <sz val="9"/>
            <color indexed="81"/>
            <rFont val="Tahoma"/>
            <family val="2"/>
          </rPr>
          <t xml:space="preserve">
Check the allocation
</t>
        </r>
      </text>
    </comment>
    <comment ref="O48" authorId="0" shapeId="0">
      <text>
        <r>
          <rPr>
            <b/>
            <sz val="9"/>
            <color indexed="81"/>
            <rFont val="Tahoma"/>
            <family val="2"/>
          </rPr>
          <t xml:space="preserve">Suyash:
Format Change
</t>
        </r>
      </text>
    </comment>
    <comment ref="R56" authorId="0" shapeId="0">
      <text>
        <r>
          <rPr>
            <b/>
            <sz val="9"/>
            <color indexed="81"/>
            <rFont val="Tahoma"/>
            <family val="2"/>
          </rPr>
          <t>Suyash:</t>
        </r>
        <r>
          <rPr>
            <sz val="9"/>
            <color indexed="81"/>
            <rFont val="Tahoma"/>
            <family val="2"/>
          </rPr>
          <t xml:space="preserve">
Please Check the allocation</t>
        </r>
      </text>
    </comment>
  </commentList>
</comments>
</file>

<file path=xl/sharedStrings.xml><?xml version="1.0" encoding="utf-8"?>
<sst xmlns="http://schemas.openxmlformats.org/spreadsheetml/2006/main" count="360" uniqueCount="236">
  <si>
    <t>Y/E, Mar (Rs. mn)</t>
  </si>
  <si>
    <t>Growth (%)</t>
  </si>
  <si>
    <t>Expenditure</t>
  </si>
  <si>
    <t>EBITDA</t>
  </si>
  <si>
    <t>EBITDA margin (%)</t>
  </si>
  <si>
    <t>Other Income</t>
  </si>
  <si>
    <t>PBT</t>
  </si>
  <si>
    <t>Effective tax rate (%)</t>
  </si>
  <si>
    <t>PAT</t>
  </si>
  <si>
    <t>EPS</t>
  </si>
  <si>
    <t>Cash Flow</t>
  </si>
  <si>
    <t>Cash and Cash Equivalents at Beginning of the year</t>
  </si>
  <si>
    <t>Cash Flow From Operating Activities</t>
  </si>
  <si>
    <t>Cash Flow From Financing Activities</t>
  </si>
  <si>
    <t>Net Inc./(Dec.) in Cash and Cash Equivalent</t>
  </si>
  <si>
    <t>Our Calculations</t>
  </si>
  <si>
    <t xml:space="preserve">Pre-Tax Profit </t>
  </si>
  <si>
    <t xml:space="preserve">Depreciation </t>
  </si>
  <si>
    <t xml:space="preserve">Other Adjustments </t>
  </si>
  <si>
    <t xml:space="preserve">Change in Working capital </t>
  </si>
  <si>
    <t xml:space="preserve">Taxes Paid </t>
  </si>
  <si>
    <t xml:space="preserve">Operating Cash Inflow </t>
  </si>
  <si>
    <t>Capital Expenditure</t>
  </si>
  <si>
    <t>FCF</t>
  </si>
  <si>
    <t xml:space="preserve"> </t>
  </si>
  <si>
    <t>FY14</t>
  </si>
  <si>
    <t>FY15</t>
  </si>
  <si>
    <t>FY16</t>
  </si>
  <si>
    <t>FY17</t>
  </si>
  <si>
    <t>Networth/Shareholders Fund/ Book Value</t>
  </si>
  <si>
    <t>Minority Int</t>
  </si>
  <si>
    <t>Long Term Debt</t>
  </si>
  <si>
    <t>Short Term Debt</t>
  </si>
  <si>
    <t>Loans</t>
  </si>
  <si>
    <t>Capital Employed</t>
  </si>
  <si>
    <t>CURRENT ASSETS, LOANS &amp; ADVANCES</t>
  </si>
  <si>
    <t>Inventories</t>
  </si>
  <si>
    <t>CURRENT LIABILITIES &amp; PROVISIONS</t>
  </si>
  <si>
    <t>NET CURRENT ASSETS</t>
  </si>
  <si>
    <t>Key ratios</t>
  </si>
  <si>
    <t xml:space="preserve">Y/E, Mar 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</si>
  <si>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</si>
  <si>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</si>
  <si>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</si>
  <si>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</si>
  <si>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</si>
  <si>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</si>
  <si>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</si>
  <si>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</si>
  <si>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</si>
  <si>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</si>
  <si>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</si>
  <si>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</si>
  <si>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</si>
  <si>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</si>
  <si>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</si>
  <si>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Working Capital Days</t>
  </si>
  <si>
    <t>Employee Benefit Expense</t>
  </si>
  <si>
    <t>Other Current Assets</t>
  </si>
  <si>
    <t>Other Expenses</t>
  </si>
  <si>
    <t>Cash and Cash Equivalents at End of the year</t>
  </si>
  <si>
    <t>No. of Shares</t>
  </si>
  <si>
    <t>Market Cap</t>
  </si>
  <si>
    <t>Cash</t>
  </si>
  <si>
    <t>EV</t>
  </si>
  <si>
    <t>Total Debt</t>
  </si>
  <si>
    <t>Cash Flow from Investing Activities</t>
  </si>
  <si>
    <t>PAT margin (%)</t>
  </si>
  <si>
    <t>Cash Conversion cycle</t>
  </si>
  <si>
    <t>FY18</t>
  </si>
  <si>
    <t>Interest Cost</t>
  </si>
  <si>
    <t>TOTAL ASSETS</t>
  </si>
  <si>
    <t>TOTAL LIABILITIES</t>
  </si>
  <si>
    <t>Net Income</t>
  </si>
  <si>
    <t>Balance Sheet</t>
  </si>
  <si>
    <t>Income Statement</t>
  </si>
  <si>
    <t>FY19</t>
  </si>
  <si>
    <t>Revenue from Operations</t>
  </si>
  <si>
    <t>Equity Share Capital</t>
  </si>
  <si>
    <t>Other Equity</t>
  </si>
  <si>
    <t>CAGR (%) - 3 Years</t>
  </si>
  <si>
    <t>Cost of materials cosnumed</t>
  </si>
  <si>
    <t>Purchases of Stock-in-trade</t>
  </si>
  <si>
    <t>Changes in inventory of FG WIP &amp; SIT</t>
  </si>
  <si>
    <t>Excise Duty on sales</t>
  </si>
  <si>
    <t>Property, Palnt and Equipment</t>
  </si>
  <si>
    <t>Capital WIP</t>
  </si>
  <si>
    <t>Non-Current Investments</t>
  </si>
  <si>
    <t>Financial Assets</t>
  </si>
  <si>
    <t>Depreciation and amortisation cost</t>
  </si>
  <si>
    <t>a) Investment</t>
  </si>
  <si>
    <t>Finance Cost</t>
  </si>
  <si>
    <t>Excp Item</t>
  </si>
  <si>
    <t>Long Term Loans and Advances</t>
  </si>
  <si>
    <t>Extraordinary Items</t>
  </si>
  <si>
    <t>Other Non-Current assets</t>
  </si>
  <si>
    <t>a) Current Investments</t>
  </si>
  <si>
    <t>b) Trade Receivables</t>
  </si>
  <si>
    <t>c) Cash &amp; Cash Equivalents</t>
  </si>
  <si>
    <t>d) Bank Bal other than above</t>
  </si>
  <si>
    <t>e) Loans</t>
  </si>
  <si>
    <t>f) Other Current Financial Assets</t>
  </si>
  <si>
    <t>Current Tax Assets (Net)</t>
  </si>
  <si>
    <t>Provisions</t>
  </si>
  <si>
    <t>Long Term Provisions</t>
  </si>
  <si>
    <t>Deferred Tax Liability (Net)</t>
  </si>
  <si>
    <t>Other Financial Liabilities</t>
  </si>
  <si>
    <t>Defferred tax assets</t>
  </si>
  <si>
    <t>FY20</t>
  </si>
  <si>
    <t>Fixed Assets Turnover Ratio</t>
  </si>
  <si>
    <t>Q1-FY21</t>
  </si>
  <si>
    <t>Lease Liability</t>
  </si>
  <si>
    <t>Other Non Current Liability</t>
  </si>
  <si>
    <t>Investment Property</t>
  </si>
  <si>
    <t>Investment Property Under Development</t>
  </si>
  <si>
    <t>Intangible Assets</t>
  </si>
  <si>
    <t>Intangible Assets Under Development</t>
  </si>
  <si>
    <t>b) Loans</t>
  </si>
  <si>
    <t>c) Other Financial Assets</t>
  </si>
  <si>
    <t>Advanced Tax (Net of Provisons)</t>
  </si>
  <si>
    <t>Assets classified as held for sale</t>
  </si>
  <si>
    <t>Financial Liabilities</t>
  </si>
  <si>
    <t>(i) Borrowings</t>
  </si>
  <si>
    <t>(ii) Lease liabilities</t>
  </si>
  <si>
    <t>(iii) Trade Payables</t>
  </si>
  <si>
    <t>(iv) Other financial liabilities</t>
  </si>
  <si>
    <t>Other current liabilities</t>
  </si>
  <si>
    <t>Current Tax</t>
  </si>
  <si>
    <t>MAT Credit recognised</t>
  </si>
  <si>
    <t>Deferred Tax</t>
  </si>
  <si>
    <t>Discontinued Operations</t>
  </si>
  <si>
    <t>(a) Profit before tax from discontinued operations</t>
  </si>
  <si>
    <t>(b) Gain on demerger of Cement business division</t>
  </si>
  <si>
    <t>(c) Tax (Expense) / Income of discontinued operations</t>
  </si>
  <si>
    <t>Profit after tax from discontinued operations</t>
  </si>
  <si>
    <t>Profit for the year</t>
  </si>
  <si>
    <t>Other comprehensive income</t>
  </si>
  <si>
    <t>(i) Items that will be re-classified to profit or loss - continuing operations</t>
  </si>
  <si>
    <t>(a) Net movement in cash flow hedge reserve</t>
  </si>
  <si>
    <t>(b) Income tax on (a)</t>
  </si>
  <si>
    <t>(ii) Items that will not be re-classified to profit or loss - continuing operations</t>
  </si>
  <si>
    <t>(a) Re-measurement gain on defined benefit plans</t>
  </si>
  <si>
    <t>(b) Net gain / (loss) on Fair value through Other Comprehensive Income (OCI) - Equity Instruments</t>
  </si>
  <si>
    <t>(c) Income tax on (a) &amp; (b)</t>
  </si>
  <si>
    <t>(iii) Items that will not be re-classified to profit or loss - discontinued operations</t>
  </si>
  <si>
    <t>Total other comprehensive income for the year (net of tax)</t>
  </si>
  <si>
    <t>Total comprehensive income for the year</t>
  </si>
  <si>
    <t>(a) Basic &amp; Diluted Earnings Per Share - Continuing operations</t>
  </si>
  <si>
    <t>(b) Basic &amp; Diluted Earnings Per Share - Discontinued operations</t>
  </si>
  <si>
    <t>Y/E, Mar (Rs. Cr)</t>
  </si>
  <si>
    <t>(Loss) on measurement to net realisable value</t>
  </si>
  <si>
    <t>(c) Basic &amp; Diluted Earnings Per Share – (Continuing &amp; Discontinued operations</t>
  </si>
  <si>
    <t>Acquisition of property, plant and equipment by means of a finance lease</t>
  </si>
  <si>
    <t>Century Textile and Industries. (Standalone)</t>
  </si>
  <si>
    <t>-</t>
  </si>
  <si>
    <t>Liabilities directly associated with assets held for sale</t>
  </si>
  <si>
    <t>Total Tax Expense</t>
  </si>
  <si>
    <t>NON- CURRENT ASSETS</t>
  </si>
  <si>
    <t>EPS (Rs) (from Continuing Operations)</t>
  </si>
  <si>
    <t>FY21</t>
  </si>
  <si>
    <t>Y/E, Mar (Rs. Cr.)</t>
  </si>
  <si>
    <t>FY22</t>
  </si>
  <si>
    <t>FY23</t>
  </si>
  <si>
    <t>Interest coverage ratio</t>
  </si>
  <si>
    <t>FY24</t>
  </si>
  <si>
    <t>Expenses</t>
  </si>
  <si>
    <t>(a) Purchase of stock in trade</t>
  </si>
  <si>
    <t>(b) Change in inventories of stock in trade</t>
  </si>
  <si>
    <t>(c) Content, event and web server</t>
  </si>
  <si>
    <t>(d) Advertising and business promotion</t>
  </si>
  <si>
    <t>(e) Commission</t>
  </si>
  <si>
    <t>(f) Employee benefit expenses</t>
  </si>
  <si>
    <t>Total expenses (II)</t>
  </si>
  <si>
    <t>Share of net profit/(loss) of associates and joint venture accounted for using the equity method</t>
  </si>
  <si>
    <t>Tax (credit)/expense</t>
  </si>
  <si>
    <t>(a) Current tax</t>
  </si>
  <si>
    <t>(b) Taxes for earlier period</t>
  </si>
  <si>
    <t>(c) Deferred tax (credit)/expense</t>
  </si>
  <si>
    <t>Total tax (credit)/expenses (VI)</t>
  </si>
  <si>
    <t>Discontinued operation</t>
  </si>
  <si>
    <t>Profit/(loss) from discontinued operations</t>
  </si>
  <si>
    <t>Tax expense of discontinued operations</t>
  </si>
  <si>
    <t>(a) Items that will not be reclassified to profit and loss (net of taxes)</t>
  </si>
  <si>
    <t>(b) Item that will be reclassified to profit and loss (net of taxes)</t>
  </si>
  <si>
    <t>(c) Exchange differences upon translation of foreign operations (net of taxes)</t>
  </si>
  <si>
    <t>Earnings per share for continuing operations (of face value ₹4 each) (not annualised)</t>
  </si>
  <si>
    <t>(a) Basic (in ₹)</t>
  </si>
  <si>
    <t>(b) Diluted (in ₹)</t>
  </si>
  <si>
    <t>Earnings per share for discontinued operations (of face value ₹4 each) (not annualised)</t>
  </si>
  <si>
    <t>Particulars</t>
  </si>
  <si>
    <t>Non-controlling interest</t>
  </si>
  <si>
    <t xml:space="preserve">FY22 </t>
  </si>
  <si>
    <t>Nazara Technologies Ltd. (Consolidated)</t>
  </si>
  <si>
    <t xml:space="preserve">FY21 </t>
  </si>
  <si>
    <t>(g) Impairment losses</t>
  </si>
  <si>
    <t>(h) Other expenses</t>
  </si>
  <si>
    <t>Finance costs</t>
  </si>
  <si>
    <t>Depreciation and amortisation</t>
  </si>
  <si>
    <t>Total comprehensive income for the period/year</t>
  </si>
  <si>
    <t>Y/E, Mar (Rs. Mn)</t>
  </si>
  <si>
    <t xml:space="preserve"> Revenue from operations</t>
  </si>
  <si>
    <t>Other income</t>
  </si>
  <si>
    <t xml:space="preserve">Total income </t>
  </si>
  <si>
    <t>Property and equipment</t>
  </si>
  <si>
    <t>Right-of-use assets</t>
  </si>
  <si>
    <t>Goodwill</t>
  </si>
  <si>
    <t>Other intangible assets</t>
  </si>
  <si>
    <t>Intangible assets under development</t>
  </si>
  <si>
    <t>Financial assets</t>
  </si>
  <si>
    <t>Investment accounted using the equity method</t>
  </si>
  <si>
    <t>Investments</t>
  </si>
  <si>
    <t>Other financial assets</t>
  </si>
  <si>
    <t>Deferred tax assets (net)</t>
  </si>
  <si>
    <t>Other non-current assets (#)</t>
  </si>
  <si>
    <t>Income tax assets (net)</t>
  </si>
  <si>
    <t>Trade receivables</t>
  </si>
  <si>
    <t>Cash and cash equivalents</t>
  </si>
  <si>
    <t>Other bank balances</t>
  </si>
  <si>
    <t>Other current assets</t>
  </si>
  <si>
    <t>Assets held for sale</t>
  </si>
  <si>
    <t>Equity Share capital</t>
  </si>
  <si>
    <t>Other equity</t>
  </si>
  <si>
    <t>Equity attributable to equity holder of the company</t>
  </si>
  <si>
    <t>Lease liabilities</t>
  </si>
  <si>
    <t>Deferred tax liabilities (net)</t>
  </si>
  <si>
    <t>Other financial liabilities</t>
  </si>
  <si>
    <t>Current tax liabilities (net)</t>
  </si>
  <si>
    <t>Liabilities associated with assets held for sale</t>
  </si>
  <si>
    <t>Trade payables due to</t>
  </si>
  <si>
    <t>total outstanding dues of micro enterprises and small enterprises</t>
  </si>
  <si>
    <t>total outstanding dues of creditors other than micro enterprises and small enterprises</t>
  </si>
  <si>
    <t>Long Term Borrowings</t>
  </si>
  <si>
    <t>Short Term Borrowings</t>
  </si>
  <si>
    <t>Decrease in cash on account of deconsolidation of subs- brandscale</t>
  </si>
  <si>
    <t>Effects of exchange rate changes of cash and cash equivalents</t>
  </si>
  <si>
    <t>Other Financial Liabilties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</si>
</sst>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0.0%"/>
    <numFmt numFmtId="167" formatCode="_ * #,##0_ ;_ * \-#,##0_ ;_ * &quot;-&quot;??_ ;_ @_ "/>
    <numFmt numFmtId="168" formatCode="_ * #,##0.0_ ;_ * \-#,##0.0_ ;_ * &quot;-&quot;??_ ;_ @_ "/>
  </numFmts>
  <fonts count="25"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9"/>
      <color theme="0"/>
      <name val="Arial"/>
      <family val="2"/>
    </font>
    <font>
      <sz val="10"/>
      <color rgb="FF000000"/>
      <name val="MyFirstFont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D0D0D"/>
      <name val="Calibri"/>
      <family val="2"/>
      <scheme val="minor"/>
    </font>
    <font>
      <b/>
      <sz val="11"/>
      <color rgb="FF0D0D0D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</cellStyleXfs>
  <cellXfs count="219">
    <xf numFmtId="0" fontId="0" fillId="0" borderId="0" xfId="0"/>
    <xf numFmtId="165" fontId="4" fillId="0" borderId="1" xfId="0" applyNumberFormat="1" applyFont="1" applyBorder="1"/>
    <xf numFmtId="0" fontId="4" fillId="0" borderId="0" xfId="0" applyFont="1"/>
    <xf numFmtId="165" fontId="4" fillId="0" borderId="0" xfId="0" applyNumberFormat="1" applyFont="1"/>
    <xf numFmtId="0" fontId="5" fillId="0" borderId="1" xfId="0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0" fontId="4" fillId="0" borderId="1" xfId="0" applyFont="1" applyBorder="1"/>
    <xf numFmtId="10" fontId="4" fillId="4" borderId="1" xfId="1" applyNumberFormat="1" applyFont="1" applyFill="1" applyBorder="1"/>
    <xf numFmtId="43" fontId="4" fillId="0" borderId="1" xfId="2" applyFont="1" applyFill="1" applyBorder="1"/>
    <xf numFmtId="168" fontId="5" fillId="0" borderId="1" xfId="2" applyNumberFormat="1" applyFont="1" applyFill="1" applyBorder="1"/>
    <xf numFmtId="168" fontId="5" fillId="4" borderId="1" xfId="2" applyNumberFormat="1" applyFont="1" applyFill="1" applyBorder="1"/>
    <xf numFmtId="168" fontId="4" fillId="0" borderId="1" xfId="2" applyNumberFormat="1" applyFont="1" applyBorder="1"/>
    <xf numFmtId="10" fontId="6" fillId="4" borderId="1" xfId="0" applyNumberFormat="1" applyFont="1" applyFill="1" applyBorder="1"/>
    <xf numFmtId="43" fontId="5" fillId="0" borderId="1" xfId="2" applyFont="1" applyFill="1" applyBorder="1"/>
    <xf numFmtId="168" fontId="4" fillId="4" borderId="1" xfId="2" applyNumberFormat="1" applyFont="1" applyFill="1" applyBorder="1"/>
    <xf numFmtId="167" fontId="4" fillId="0" borderId="1" xfId="2" applyNumberFormat="1" applyFont="1" applyFill="1" applyBorder="1"/>
    <xf numFmtId="1" fontId="4" fillId="4" borderId="1" xfId="0" applyNumberFormat="1" applyFont="1" applyFill="1" applyBorder="1"/>
    <xf numFmtId="0" fontId="5" fillId="0" borderId="1" xfId="0" applyFont="1" applyBorder="1" applyAlignment="1">
      <alignment horizontal="center"/>
    </xf>
    <xf numFmtId="168" fontId="5" fillId="4" borderId="3" xfId="2" applyNumberFormat="1" applyFont="1" applyFill="1" applyBorder="1"/>
    <xf numFmtId="0" fontId="5" fillId="0" borderId="0" xfId="0" applyFont="1"/>
    <xf numFmtId="0" fontId="5" fillId="0" borderId="1" xfId="0" applyFont="1" applyBorder="1"/>
    <xf numFmtId="168" fontId="5" fillId="0" borderId="1" xfId="2" applyNumberFormat="1" applyFont="1" applyBorder="1"/>
    <xf numFmtId="10" fontId="4" fillId="0" borderId="0" xfId="1" applyNumberFormat="1" applyFont="1"/>
    <xf numFmtId="168" fontId="4" fillId="0" borderId="3" xfId="2" applyNumberFormat="1" applyFont="1" applyBorder="1"/>
    <xf numFmtId="168" fontId="4" fillId="0" borderId="1" xfId="2" applyNumberFormat="1" applyFont="1" applyFill="1" applyBorder="1"/>
    <xf numFmtId="0" fontId="5" fillId="4" borderId="1" xfId="0" applyFont="1" applyFill="1" applyBorder="1"/>
    <xf numFmtId="0" fontId="6" fillId="4" borderId="1" xfId="0" applyFont="1" applyFill="1" applyBorder="1"/>
    <xf numFmtId="168" fontId="4" fillId="0" borderId="0" xfId="2" applyNumberFormat="1" applyFont="1"/>
    <xf numFmtId="168" fontId="4" fillId="0" borderId="2" xfId="2" applyNumberFormat="1" applyFont="1" applyBorder="1"/>
    <xf numFmtId="10" fontId="5" fillId="4" borderId="1" xfId="0" applyNumberFormat="1" applyFont="1" applyFill="1" applyBorder="1"/>
    <xf numFmtId="43" fontId="4" fillId="0" borderId="0" xfId="0" applyNumberFormat="1" applyFont="1"/>
    <xf numFmtId="10" fontId="5" fillId="4" borderId="1" xfId="1" applyNumberFormat="1" applyFont="1" applyFill="1" applyBorder="1"/>
    <xf numFmtId="165" fontId="5" fillId="4" borderId="1" xfId="0" applyNumberFormat="1" applyFont="1" applyFill="1" applyBorder="1"/>
    <xf numFmtId="10" fontId="4" fillId="4" borderId="1" xfId="0" applyNumberFormat="1" applyFont="1" applyFill="1" applyBorder="1"/>
    <xf numFmtId="0" fontId="9" fillId="0" borderId="0" xfId="0" applyFont="1"/>
    <xf numFmtId="0" fontId="5" fillId="3" borderId="1" xfId="0" applyFont="1" applyFill="1" applyBorder="1"/>
    <xf numFmtId="168" fontId="2" fillId="4" borderId="1" xfId="2" applyNumberFormat="1" applyFont="1" applyFill="1" applyBorder="1"/>
    <xf numFmtId="165" fontId="5" fillId="0" borderId="1" xfId="0" applyNumberFormat="1" applyFont="1" applyBorder="1"/>
    <xf numFmtId="43" fontId="5" fillId="0" borderId="1" xfId="2" applyFont="1" applyBorder="1"/>
    <xf numFmtId="43" fontId="5" fillId="4" borderId="1" xfId="2" applyFont="1" applyFill="1" applyBorder="1"/>
    <xf numFmtId="165" fontId="4" fillId="4" borderId="1" xfId="0" applyNumberFormat="1" applyFont="1" applyFill="1" applyBorder="1"/>
    <xf numFmtId="43" fontId="4" fillId="4" borderId="1" xfId="2" applyFont="1" applyFill="1" applyBorder="1"/>
    <xf numFmtId="168" fontId="1" fillId="4" borderId="1" xfId="2" applyNumberFormat="1" applyFont="1" applyFill="1" applyBorder="1"/>
    <xf numFmtId="166" fontId="4" fillId="0" borderId="1" xfId="0" applyNumberFormat="1" applyFont="1" applyBorder="1"/>
    <xf numFmtId="3" fontId="10" fillId="0" borderId="1" xfId="0" applyNumberFormat="1" applyFont="1" applyBorder="1"/>
    <xf numFmtId="2" fontId="4" fillId="4" borderId="1" xfId="0" applyNumberFormat="1" applyFont="1" applyFill="1" applyBorder="1"/>
    <xf numFmtId="164" fontId="4" fillId="0" borderId="0" xfId="0" applyNumberFormat="1" applyFont="1"/>
    <xf numFmtId="43" fontId="4" fillId="0" borderId="1" xfId="2" applyFont="1" applyBorder="1"/>
    <xf numFmtId="0" fontId="11" fillId="0" borderId="1" xfId="0" applyFont="1" applyBorder="1" applyAlignment="1">
      <alignment horizontal="right"/>
    </xf>
    <xf numFmtId="0" fontId="8" fillId="0" borderId="0" xfId="0" applyFont="1" applyAlignment="1">
      <alignment horizontal="center"/>
    </xf>
    <xf numFmtId="168" fontId="5" fillId="0" borderId="0" xfId="2" applyNumberFormat="1" applyFont="1" applyFill="1" applyBorder="1"/>
    <xf numFmtId="168" fontId="5" fillId="4" borderId="0" xfId="2" applyNumberFormat="1" applyFont="1" applyFill="1" applyBorder="1"/>
    <xf numFmtId="0" fontId="5" fillId="0" borderId="0" xfId="0" applyFont="1" applyAlignment="1">
      <alignment horizontal="center"/>
    </xf>
    <xf numFmtId="168" fontId="4" fillId="0" borderId="0" xfId="2" applyNumberFormat="1" applyFont="1" applyBorder="1"/>
    <xf numFmtId="168" fontId="5" fillId="0" borderId="0" xfId="2" applyNumberFormat="1" applyFont="1" applyBorder="1"/>
    <xf numFmtId="168" fontId="4" fillId="4" borderId="0" xfId="2" applyNumberFormat="1" applyFont="1" applyFill="1" applyBorder="1"/>
    <xf numFmtId="3" fontId="10" fillId="0" borderId="0" xfId="0" applyNumberFormat="1" applyFont="1"/>
    <xf numFmtId="0" fontId="13" fillId="0" borderId="1" xfId="0" applyFont="1" applyBorder="1"/>
    <xf numFmtId="0" fontId="0" fillId="0" borderId="1" xfId="0" applyFont="1" applyBorder="1"/>
    <xf numFmtId="43" fontId="0" fillId="0" borderId="1" xfId="2" applyFont="1" applyBorder="1"/>
    <xf numFmtId="43" fontId="0" fillId="0" borderId="1" xfId="2" applyNumberFormat="1" applyFont="1" applyBorder="1"/>
    <xf numFmtId="167" fontId="0" fillId="0" borderId="1" xfId="2" applyNumberFormat="1" applyFont="1" applyBorder="1"/>
    <xf numFmtId="167" fontId="11" fillId="0" borderId="1" xfId="2" applyNumberFormat="1" applyFont="1" applyBorder="1"/>
    <xf numFmtId="167" fontId="0" fillId="0" borderId="11" xfId="2" applyNumberFormat="1" applyFont="1" applyBorder="1"/>
    <xf numFmtId="167" fontId="0" fillId="0" borderId="1" xfId="2" applyNumberFormat="1" applyFont="1" applyBorder="1" applyAlignment="1">
      <alignment horizontal="left" indent="4"/>
    </xf>
    <xf numFmtId="167" fontId="11" fillId="4" borderId="1" xfId="2" applyNumberFormat="1" applyFont="1" applyFill="1" applyBorder="1"/>
    <xf numFmtId="167" fontId="11" fillId="4" borderId="11" xfId="2" applyNumberFormat="1" applyFont="1" applyFill="1" applyBorder="1"/>
    <xf numFmtId="167" fontId="11" fillId="4" borderId="13" xfId="2" applyNumberFormat="1" applyFont="1" applyFill="1" applyBorder="1"/>
    <xf numFmtId="167" fontId="11" fillId="4" borderId="14" xfId="2" applyNumberFormat="1" applyFont="1" applyFill="1" applyBorder="1"/>
    <xf numFmtId="167" fontId="0" fillId="0" borderId="8" xfId="2" applyNumberFormat="1" applyFont="1" applyBorder="1"/>
    <xf numFmtId="167" fontId="0" fillId="0" borderId="9" xfId="2" applyNumberFormat="1" applyFont="1" applyBorder="1"/>
    <xf numFmtId="167" fontId="0" fillId="0" borderId="11" xfId="2" applyNumberFormat="1" applyFont="1" applyBorder="1" applyAlignment="1">
      <alignment horizontal="left" indent="4"/>
    </xf>
    <xf numFmtId="0" fontId="11" fillId="0" borderId="1" xfId="0" applyFont="1" applyBorder="1" applyAlignment="1">
      <alignment horizontal="center"/>
    </xf>
    <xf numFmtId="0" fontId="0" fillId="0" borderId="0" xfId="0" applyFont="1"/>
    <xf numFmtId="0" fontId="0" fillId="0" borderId="10" xfId="0" applyFont="1" applyBorder="1"/>
    <xf numFmtId="3" fontId="0" fillId="0" borderId="0" xfId="0" applyNumberFormat="1" applyFont="1"/>
    <xf numFmtId="1" fontId="0" fillId="0" borderId="0" xfId="0" applyNumberFormat="1" applyFont="1"/>
    <xf numFmtId="4" fontId="0" fillId="0" borderId="0" xfId="0" applyNumberFormat="1" applyFont="1"/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8" fillId="0" borderId="10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9" fillId="5" borderId="10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167" fontId="19" fillId="5" borderId="1" xfId="2" applyNumberFormat="1" applyFont="1" applyFill="1" applyBorder="1" applyAlignment="1">
      <alignment vertical="center" wrapText="1"/>
    </xf>
    <xf numFmtId="167" fontId="19" fillId="5" borderId="11" xfId="2" applyNumberFormat="1" applyFont="1" applyFill="1" applyBorder="1" applyAlignment="1">
      <alignment vertical="center" wrapText="1"/>
    </xf>
    <xf numFmtId="167" fontId="11" fillId="0" borderId="1" xfId="2" applyNumberFormat="1" applyFont="1" applyBorder="1" applyAlignment="1">
      <alignment vertical="center" wrapText="1"/>
    </xf>
    <xf numFmtId="167" fontId="11" fillId="0" borderId="11" xfId="2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7" fontId="0" fillId="0" borderId="1" xfId="2" applyNumberFormat="1" applyFont="1" applyBorder="1" applyAlignment="1">
      <alignment vertical="center" wrapText="1"/>
    </xf>
    <xf numFmtId="167" fontId="0" fillId="0" borderId="11" xfId="2" applyNumberFormat="1" applyFont="1" applyBorder="1" applyAlignment="1">
      <alignment vertical="center" wrapText="1"/>
    </xf>
    <xf numFmtId="0" fontId="18" fillId="4" borderId="10" xfId="0" applyFont="1" applyFill="1" applyBorder="1"/>
    <xf numFmtId="0" fontId="18" fillId="4" borderId="1" xfId="0" applyFont="1" applyFill="1" applyBorder="1"/>
    <xf numFmtId="167" fontId="20" fillId="4" borderId="1" xfId="2" applyNumberFormat="1" applyFont="1" applyFill="1" applyBorder="1" applyAlignment="1">
      <alignment vertical="center" wrapText="1"/>
    </xf>
    <xf numFmtId="167" fontId="20" fillId="4" borderId="11" xfId="2" applyNumberFormat="1" applyFont="1" applyFill="1" applyBorder="1" applyAlignment="1">
      <alignment vertical="center" wrapText="1"/>
    </xf>
    <xf numFmtId="167" fontId="11" fillId="0" borderId="11" xfId="2" applyNumberFormat="1" applyFont="1" applyBorder="1"/>
    <xf numFmtId="0" fontId="20" fillId="5" borderId="10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21" fillId="4" borderId="10" xfId="0" applyFont="1" applyFill="1" applyBorder="1"/>
    <xf numFmtId="0" fontId="21" fillId="4" borderId="1" xfId="0" applyFont="1" applyFill="1" applyBorder="1"/>
    <xf numFmtId="10" fontId="21" fillId="4" borderId="1" xfId="0" applyNumberFormat="1" applyFont="1" applyFill="1" applyBorder="1"/>
    <xf numFmtId="10" fontId="21" fillId="4" borderId="11" xfId="0" applyNumberFormat="1" applyFont="1" applyFill="1" applyBorder="1"/>
    <xf numFmtId="0" fontId="0" fillId="4" borderId="1" xfId="0" applyFont="1" applyFill="1" applyBorder="1"/>
    <xf numFmtId="0" fontId="19" fillId="5" borderId="10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167" fontId="18" fillId="4" borderId="1" xfId="2" applyNumberFormat="1" applyFont="1" applyFill="1" applyBorder="1"/>
    <xf numFmtId="167" fontId="18" fillId="4" borderId="11" xfId="2" applyNumberFormat="1" applyFont="1" applyFill="1" applyBorder="1"/>
    <xf numFmtId="0" fontId="11" fillId="4" borderId="10" xfId="0" applyFont="1" applyFill="1" applyBorder="1" applyAlignment="1">
      <alignment vertical="center" wrapText="1"/>
    </xf>
    <xf numFmtId="167" fontId="0" fillId="4" borderId="1" xfId="2" applyNumberFormat="1" applyFont="1" applyFill="1" applyBorder="1"/>
    <xf numFmtId="167" fontId="0" fillId="4" borderId="11" xfId="2" applyNumberFormat="1" applyFont="1" applyFill="1" applyBorder="1"/>
    <xf numFmtId="167" fontId="11" fillId="4" borderId="1" xfId="2" applyNumberFormat="1" applyFont="1" applyFill="1" applyBorder="1" applyAlignment="1">
      <alignment vertical="center" wrapText="1"/>
    </xf>
    <xf numFmtId="167" fontId="11" fillId="4" borderId="11" xfId="2" applyNumberFormat="1" applyFont="1" applyFill="1" applyBorder="1" applyAlignment="1">
      <alignment vertical="center" wrapText="1"/>
    </xf>
    <xf numFmtId="10" fontId="22" fillId="4" borderId="1" xfId="0" applyNumberFormat="1" applyFont="1" applyFill="1" applyBorder="1"/>
    <xf numFmtId="10" fontId="22" fillId="4" borderId="11" xfId="0" applyNumberFormat="1" applyFont="1" applyFill="1" applyBorder="1"/>
    <xf numFmtId="0" fontId="19" fillId="5" borderId="10" xfId="0" applyFont="1" applyFill="1" applyBorder="1" applyAlignment="1">
      <alignment horizontal="left" vertical="center" wrapText="1" indent="3"/>
    </xf>
    <xf numFmtId="0" fontId="19" fillId="5" borderId="1" xfId="0" applyFont="1" applyFill="1" applyBorder="1" applyAlignment="1">
      <alignment horizontal="left" vertical="center" wrapText="1" indent="3"/>
    </xf>
    <xf numFmtId="10" fontId="18" fillId="4" borderId="1" xfId="0" applyNumberFormat="1" applyFont="1" applyFill="1" applyBorder="1"/>
    <xf numFmtId="10" fontId="18" fillId="4" borderId="11" xfId="0" applyNumberFormat="1" applyFont="1" applyFill="1" applyBorder="1"/>
    <xf numFmtId="1" fontId="0" fillId="0" borderId="1" xfId="0" applyNumberFormat="1" applyFont="1" applyBorder="1" applyAlignment="1">
      <alignment vertical="center" wrapText="1"/>
    </xf>
    <xf numFmtId="1" fontId="0" fillId="0" borderId="11" xfId="0" applyNumberFormat="1" applyFont="1" applyBorder="1" applyAlignment="1">
      <alignment vertical="center" wrapText="1"/>
    </xf>
    <xf numFmtId="167" fontId="0" fillId="4" borderId="1" xfId="2" applyNumberFormat="1" applyFont="1" applyFill="1" applyBorder="1" applyAlignment="1">
      <alignment vertical="center" wrapText="1"/>
    </xf>
    <xf numFmtId="167" fontId="0" fillId="4" borderId="11" xfId="2" applyNumberFormat="1" applyFont="1" applyFill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/>
    <xf numFmtId="10" fontId="22" fillId="4" borderId="1" xfId="1" applyNumberFormat="1" applyFont="1" applyFill="1" applyBorder="1" applyAlignment="1">
      <alignment vertical="center" wrapText="1"/>
    </xf>
    <xf numFmtId="10" fontId="22" fillId="4" borderId="11" xfId="1" applyNumberFormat="1" applyFont="1" applyFill="1" applyBorder="1" applyAlignment="1">
      <alignment vertical="center" wrapText="1"/>
    </xf>
    <xf numFmtId="166" fontId="22" fillId="4" borderId="1" xfId="1" applyNumberFormat="1" applyFont="1" applyFill="1" applyBorder="1"/>
    <xf numFmtId="166" fontId="22" fillId="4" borderId="11" xfId="1" applyNumberFormat="1" applyFont="1" applyFill="1" applyBorder="1"/>
    <xf numFmtId="167" fontId="0" fillId="0" borderId="1" xfId="2" applyNumberFormat="1" applyFont="1" applyBorder="1" applyAlignment="1">
      <alignment horizontal="left" vertical="center" wrapText="1" indent="6"/>
    </xf>
    <xf numFmtId="167" fontId="0" fillId="0" borderId="11" xfId="2" applyNumberFormat="1" applyFont="1" applyBorder="1" applyAlignment="1">
      <alignment horizontal="left" vertical="center" wrapText="1" indent="6"/>
    </xf>
    <xf numFmtId="167" fontId="0" fillId="4" borderId="1" xfId="2" applyNumberFormat="1" applyFont="1" applyFill="1" applyBorder="1" applyAlignment="1">
      <alignment horizontal="left" vertical="center" wrapText="1" indent="6"/>
    </xf>
    <xf numFmtId="0" fontId="19" fillId="5" borderId="10" xfId="0" applyFont="1" applyFill="1" applyBorder="1" applyAlignment="1">
      <alignment horizontal="left" vertical="center" wrapText="1" indent="2"/>
    </xf>
    <xf numFmtId="0" fontId="19" fillId="5" borderId="1" xfId="0" applyFont="1" applyFill="1" applyBorder="1" applyAlignment="1">
      <alignment horizontal="left" vertical="center" wrapText="1" indent="2"/>
    </xf>
    <xf numFmtId="43" fontId="0" fillId="0" borderId="1" xfId="2" applyNumberFormat="1" applyFont="1" applyBorder="1" applyAlignment="1">
      <alignment vertical="center" wrapText="1"/>
    </xf>
    <xf numFmtId="43" fontId="0" fillId="0" borderId="11" xfId="2" applyNumberFormat="1" applyFont="1" applyBorder="1" applyAlignment="1">
      <alignment vertical="center" wrapText="1"/>
    </xf>
    <xf numFmtId="167" fontId="13" fillId="0" borderId="1" xfId="2" applyNumberFormat="1" applyFont="1" applyBorder="1"/>
    <xf numFmtId="43" fontId="0" fillId="0" borderId="1" xfId="2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/>
    <xf numFmtId="165" fontId="0" fillId="0" borderId="13" xfId="0" applyNumberFormat="1" applyFont="1" applyBorder="1"/>
    <xf numFmtId="165" fontId="0" fillId="0" borderId="14" xfId="0" applyNumberFormat="1" applyFont="1" applyBorder="1"/>
    <xf numFmtId="0" fontId="18" fillId="0" borderId="0" xfId="0" applyFont="1"/>
    <xf numFmtId="0" fontId="13" fillId="0" borderId="0" xfId="0" applyFont="1"/>
    <xf numFmtId="0" fontId="18" fillId="0" borderId="7" xfId="0" applyFont="1" applyBorder="1"/>
    <xf numFmtId="0" fontId="18" fillId="0" borderId="8" xfId="0" applyFont="1" applyBorder="1" applyAlignment="1">
      <alignment horizontal="center"/>
    </xf>
    <xf numFmtId="43" fontId="18" fillId="0" borderId="8" xfId="0" applyNumberFormat="1" applyFont="1" applyBorder="1" applyAlignment="1">
      <alignment horizontal="center"/>
    </xf>
    <xf numFmtId="43" fontId="18" fillId="0" borderId="9" xfId="0" applyNumberFormat="1" applyFont="1" applyBorder="1" applyAlignment="1">
      <alignment horizontal="center"/>
    </xf>
    <xf numFmtId="167" fontId="13" fillId="0" borderId="11" xfId="2" applyNumberFormat="1" applyFont="1" applyBorder="1"/>
    <xf numFmtId="167" fontId="13" fillId="0" borderId="11" xfId="2" applyNumberFormat="1" applyFont="1" applyFill="1" applyBorder="1"/>
    <xf numFmtId="0" fontId="13" fillId="0" borderId="10" xfId="0" applyFont="1" applyBorder="1"/>
    <xf numFmtId="167" fontId="13" fillId="0" borderId="1" xfId="2" applyNumberFormat="1" applyFont="1" applyFill="1" applyBorder="1"/>
    <xf numFmtId="0" fontId="18" fillId="4" borderId="12" xfId="0" applyFont="1" applyFill="1" applyBorder="1"/>
    <xf numFmtId="0" fontId="18" fillId="4" borderId="13" xfId="0" applyFont="1" applyFill="1" applyBorder="1"/>
    <xf numFmtId="165" fontId="13" fillId="0" borderId="0" xfId="0" applyNumberFormat="1" applyFont="1"/>
    <xf numFmtId="0" fontId="18" fillId="0" borderId="12" xfId="0" applyFont="1" applyBorder="1"/>
    <xf numFmtId="167" fontId="18" fillId="4" borderId="13" xfId="2" applyNumberFormat="1" applyFont="1" applyFill="1" applyBorder="1"/>
    <xf numFmtId="167" fontId="18" fillId="4" borderId="14" xfId="2" applyNumberFormat="1" applyFont="1" applyFill="1" applyBorder="1"/>
    <xf numFmtId="0" fontId="18" fillId="0" borderId="8" xfId="0" applyFont="1" applyBorder="1"/>
    <xf numFmtId="0" fontId="18" fillId="0" borderId="9" xfId="0" applyFont="1" applyBorder="1" applyAlignment="1">
      <alignment horizontal="center"/>
    </xf>
    <xf numFmtId="165" fontId="18" fillId="0" borderId="10" xfId="0" applyNumberFormat="1" applyFont="1" applyBorder="1"/>
    <xf numFmtId="165" fontId="18" fillId="0" borderId="1" xfId="0" applyNumberFormat="1" applyFont="1" applyBorder="1"/>
    <xf numFmtId="43" fontId="18" fillId="0" borderId="1" xfId="2" applyFont="1" applyBorder="1" applyAlignment="1">
      <alignment horizontal="center"/>
    </xf>
    <xf numFmtId="43" fontId="18" fillId="0" borderId="1" xfId="2" applyFont="1" applyBorder="1"/>
    <xf numFmtId="43" fontId="23" fillId="0" borderId="1" xfId="2" applyFont="1" applyBorder="1"/>
    <xf numFmtId="43" fontId="18" fillId="0" borderId="11" xfId="2" applyFont="1" applyBorder="1"/>
    <xf numFmtId="0" fontId="13" fillId="0" borderId="7" xfId="0" applyFont="1" applyBorder="1"/>
    <xf numFmtId="167" fontId="18" fillId="0" borderId="8" xfId="2" applyNumberFormat="1" applyFont="1" applyBorder="1" applyAlignment="1">
      <alignment horizontal="center"/>
    </xf>
    <xf numFmtId="167" fontId="24" fillId="0" borderId="8" xfId="2" applyNumberFormat="1" applyFont="1" applyBorder="1"/>
    <xf numFmtId="165" fontId="18" fillId="4" borderId="1" xfId="0" applyNumberFormat="1" applyFont="1" applyFill="1" applyBorder="1"/>
    <xf numFmtId="43" fontId="18" fillId="4" borderId="1" xfId="2" applyFont="1" applyFill="1" applyBorder="1" applyAlignment="1">
      <alignment horizontal="center"/>
    </xf>
    <xf numFmtId="43" fontId="18" fillId="4" borderId="1" xfId="2" applyFont="1" applyFill="1" applyBorder="1"/>
    <xf numFmtId="43" fontId="18" fillId="4" borderId="11" xfId="2" applyFont="1" applyFill="1" applyBorder="1"/>
    <xf numFmtId="167" fontId="13" fillId="4" borderId="1" xfId="2" applyNumberFormat="1" applyFont="1" applyFill="1" applyBorder="1"/>
    <xf numFmtId="167" fontId="13" fillId="4" borderId="11" xfId="2" applyNumberFormat="1" applyFont="1" applyFill="1" applyBorder="1"/>
    <xf numFmtId="165" fontId="13" fillId="4" borderId="1" xfId="0" applyNumberFormat="1" applyFont="1" applyFill="1" applyBorder="1"/>
    <xf numFmtId="43" fontId="13" fillId="4" borderId="1" xfId="2" applyFont="1" applyFill="1" applyBorder="1"/>
    <xf numFmtId="43" fontId="13" fillId="4" borderId="11" xfId="2" applyFont="1" applyFill="1" applyBorder="1"/>
    <xf numFmtId="165" fontId="13" fillId="0" borderId="10" xfId="0" applyNumberFormat="1" applyFont="1" applyBorder="1"/>
    <xf numFmtId="165" fontId="13" fillId="0" borderId="1" xfId="0" applyNumberFormat="1" applyFont="1" applyBorder="1"/>
    <xf numFmtId="43" fontId="13" fillId="0" borderId="1" xfId="2" applyFont="1" applyFill="1" applyBorder="1"/>
    <xf numFmtId="43" fontId="13" fillId="0" borderId="11" xfId="2" applyFont="1" applyFill="1" applyBorder="1"/>
    <xf numFmtId="43" fontId="13" fillId="4" borderId="1" xfId="2" applyFont="1" applyFill="1" applyBorder="1" applyAlignment="1">
      <alignment horizontal="right"/>
    </xf>
    <xf numFmtId="43" fontId="13" fillId="4" borderId="11" xfId="2" applyFont="1" applyFill="1" applyBorder="1" applyAlignment="1">
      <alignment horizontal="right"/>
    </xf>
    <xf numFmtId="0" fontId="13" fillId="0" borderId="12" xfId="0" applyFont="1" applyBorder="1"/>
    <xf numFmtId="167" fontId="18" fillId="4" borderId="13" xfId="2" applyNumberFormat="1" applyFont="1" applyFill="1" applyBorder="1" applyAlignment="1">
      <alignment horizontal="center"/>
    </xf>
    <xf numFmtId="166" fontId="13" fillId="0" borderId="10" xfId="0" applyNumberFormat="1" applyFont="1" applyBorder="1"/>
    <xf numFmtId="166" fontId="13" fillId="0" borderId="1" xfId="0" applyNumberFormat="1" applyFont="1" applyBorder="1"/>
    <xf numFmtId="10" fontId="13" fillId="4" borderId="1" xfId="0" applyNumberFormat="1" applyFont="1" applyFill="1" applyBorder="1"/>
    <xf numFmtId="10" fontId="13" fillId="4" borderId="11" xfId="0" applyNumberFormat="1" applyFont="1" applyFill="1" applyBorder="1"/>
    <xf numFmtId="2" fontId="13" fillId="4" borderId="1" xfId="0" applyNumberFormat="1" applyFont="1" applyFill="1" applyBorder="1"/>
    <xf numFmtId="2" fontId="13" fillId="4" borderId="11" xfId="0" applyNumberFormat="1" applyFont="1" applyFill="1" applyBorder="1"/>
    <xf numFmtId="10" fontId="13" fillId="4" borderId="1" xfId="1" applyNumberFormat="1" applyFont="1" applyFill="1" applyBorder="1"/>
    <xf numFmtId="10" fontId="13" fillId="4" borderId="11" xfId="1" applyNumberFormat="1" applyFont="1" applyFill="1" applyBorder="1"/>
    <xf numFmtId="0" fontId="13" fillId="0" borderId="13" xfId="0" applyFont="1" applyBorder="1"/>
    <xf numFmtId="43" fontId="13" fillId="4" borderId="13" xfId="2" applyFont="1" applyFill="1" applyBorder="1"/>
    <xf numFmtId="43" fontId="13" fillId="4" borderId="14" xfId="2" applyFont="1" applyFill="1" applyBorder="1"/>
    <xf numFmtId="167" fontId="0" fillId="0" borderId="1" xfId="2" applyNumberFormat="1" applyFont="1" applyFill="1" applyBorder="1" applyAlignment="1">
      <alignment vertical="center" wrapText="1"/>
    </xf>
    <xf numFmtId="167" fontId="0" fillId="0" borderId="11" xfId="2" applyNumberFormat="1" applyFont="1" applyFill="1" applyBorder="1" applyAlignment="1">
      <alignment vertical="center" wrapText="1"/>
    </xf>
    <xf numFmtId="167" fontId="18" fillId="4" borderId="1" xfId="2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18" fillId="0" borderId="10" xfId="0" applyNumberFormat="1" applyFont="1" applyFill="1" applyBorder="1"/>
    <xf numFmtId="165" fontId="13" fillId="0" borderId="10" xfId="0" applyNumberFormat="1" applyFont="1" applyFill="1" applyBorder="1"/>
  </cellXfs>
  <cellStyles count="4">
    <cellStyle name="Comma" xfId="2" builtinId="3"/>
    <cellStyle name="Normal" xfId="0" builtinId="0"/>
    <cellStyle name="Percent" xfId="1" builtinId="5"/>
    <cellStyle name="Style 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7F7F7F"/>
      <rgbColor rgb="00BFBFBF"/>
      <rgbColor rgb="00FFF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5"/>
  <sheetViews>
    <sheetView tabSelected="1" topLeftCell="G86" zoomScale="85" zoomScaleNormal="85" workbookViewId="0">
      <selection activeCell="O79" sqref="O79"/>
    </sheetView>
  </sheetViews>
  <sheetFormatPr defaultColWidth="9.1796875" defaultRowHeight="15" customHeight="1"/>
  <cols>
    <col min="1" max="1" width="9.1796875" style="73"/>
    <col min="2" max="2" width="87.7265625" style="73" bestFit="1" customWidth="1"/>
    <col min="3" max="7" width="15.7265625" style="73" customWidth="1"/>
    <col min="8" max="8" width="9.1796875" style="73"/>
    <col min="9" max="9" width="79" style="73" customWidth="1"/>
    <col min="10" max="10" width="11.1796875" style="73" hidden="1" customWidth="1"/>
    <col min="11" max="15" width="15.7265625" style="73" customWidth="1"/>
    <col min="16" max="16" width="9.1796875" style="73"/>
    <col min="17" max="17" width="44.26953125" style="73" bestFit="1" customWidth="1"/>
    <col min="18" max="16384" width="9.1796875" style="73"/>
  </cols>
  <sheetData>
    <row r="1" spans="2:15" ht="15" customHeight="1" thickBot="1">
      <c r="B1" s="210" t="s">
        <v>192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2:15" ht="15" customHeight="1">
      <c r="B2" s="207" t="s">
        <v>75</v>
      </c>
      <c r="C2" s="208"/>
      <c r="D2" s="208"/>
      <c r="E2" s="208"/>
      <c r="F2" s="208"/>
      <c r="G2" s="209"/>
      <c r="I2" s="207" t="s">
        <v>74</v>
      </c>
      <c r="J2" s="208"/>
      <c r="K2" s="208"/>
      <c r="L2" s="208"/>
      <c r="M2" s="208"/>
      <c r="N2" s="208"/>
      <c r="O2" s="209"/>
    </row>
    <row r="3" spans="2:15" ht="15" customHeight="1">
      <c r="B3" s="78" t="s">
        <v>189</v>
      </c>
      <c r="C3" s="79" t="s">
        <v>108</v>
      </c>
      <c r="D3" s="79" t="s">
        <v>193</v>
      </c>
      <c r="E3" s="79" t="s">
        <v>191</v>
      </c>
      <c r="F3" s="79" t="s">
        <v>162</v>
      </c>
      <c r="G3" s="80" t="s">
        <v>164</v>
      </c>
      <c r="I3" s="81" t="s">
        <v>199</v>
      </c>
      <c r="J3" s="82"/>
      <c r="K3" s="72" t="s">
        <v>108</v>
      </c>
      <c r="L3" s="72" t="s">
        <v>159</v>
      </c>
      <c r="M3" s="83" t="s">
        <v>161</v>
      </c>
      <c r="N3" s="83" t="s">
        <v>162</v>
      </c>
      <c r="O3" s="84" t="s">
        <v>164</v>
      </c>
    </row>
    <row r="4" spans="2:15" ht="15" customHeight="1">
      <c r="B4" s="85" t="s">
        <v>199</v>
      </c>
      <c r="C4" s="86"/>
      <c r="D4" s="58"/>
      <c r="E4" s="87"/>
      <c r="F4" s="87"/>
      <c r="G4" s="88"/>
      <c r="I4" s="89" t="s">
        <v>220</v>
      </c>
      <c r="J4" s="90"/>
      <c r="K4" s="61">
        <v>111.99</v>
      </c>
      <c r="L4" s="61">
        <v>121.81</v>
      </c>
      <c r="M4" s="61">
        <v>130</v>
      </c>
      <c r="N4" s="91">
        <v>264.7</v>
      </c>
      <c r="O4" s="92">
        <v>306.2</v>
      </c>
    </row>
    <row r="5" spans="2:15" ht="15" customHeight="1">
      <c r="B5" s="85" t="s">
        <v>200</v>
      </c>
      <c r="C5" s="93">
        <v>2475.09</v>
      </c>
      <c r="D5" s="62">
        <v>4542.07</v>
      </c>
      <c r="E5" s="93">
        <v>6217</v>
      </c>
      <c r="F5" s="93">
        <v>10910.2</v>
      </c>
      <c r="G5" s="94">
        <v>11382.8</v>
      </c>
      <c r="I5" s="89" t="s">
        <v>221</v>
      </c>
      <c r="J5" s="90"/>
      <c r="K5" s="61">
        <v>4898.68</v>
      </c>
      <c r="L5" s="61">
        <v>6459.95</v>
      </c>
      <c r="M5" s="61">
        <v>10283</v>
      </c>
      <c r="N5" s="91">
        <v>10784.2</v>
      </c>
      <c r="O5" s="92">
        <v>19679.8</v>
      </c>
    </row>
    <row r="6" spans="2:15" ht="15" customHeight="1">
      <c r="B6" s="95" t="s">
        <v>201</v>
      </c>
      <c r="C6" s="96">
        <v>154.56</v>
      </c>
      <c r="D6" s="61">
        <v>143.27000000000001</v>
      </c>
      <c r="E6" s="96">
        <v>241</v>
      </c>
      <c r="F6" s="96">
        <v>494.8</v>
      </c>
      <c r="G6" s="97">
        <v>796.3</v>
      </c>
      <c r="I6" s="98" t="s">
        <v>29</v>
      </c>
      <c r="J6" s="99"/>
      <c r="K6" s="100">
        <f>SUM(K4:K5)</f>
        <v>5010.67</v>
      </c>
      <c r="L6" s="100">
        <f>SUM(L4:L5)</f>
        <v>6581.76</v>
      </c>
      <c r="M6" s="100">
        <f>SUM(M4:M5)</f>
        <v>10413</v>
      </c>
      <c r="N6" s="100">
        <f>SUM(N4:N5)</f>
        <v>11048.900000000001</v>
      </c>
      <c r="O6" s="101">
        <f>SUM(O4:O5)</f>
        <v>19986</v>
      </c>
    </row>
    <row r="7" spans="2:15" ht="15" customHeight="1">
      <c r="B7" s="85" t="s">
        <v>202</v>
      </c>
      <c r="C7" s="62">
        <f>SUM(C5:C6)</f>
        <v>2629.65</v>
      </c>
      <c r="D7" s="62">
        <f>SUM(D5:D6)</f>
        <v>4685.34</v>
      </c>
      <c r="E7" s="62">
        <f>SUM(E5:E6)</f>
        <v>6458</v>
      </c>
      <c r="F7" s="62">
        <f>SUM(F5:F6)</f>
        <v>11405</v>
      </c>
      <c r="G7" s="102">
        <f>SUM(G5:G6)</f>
        <v>12179.099999999999</v>
      </c>
      <c r="I7" s="103" t="s">
        <v>222</v>
      </c>
      <c r="J7" s="104"/>
      <c r="K7" s="62"/>
      <c r="L7" s="62"/>
      <c r="M7" s="62"/>
      <c r="N7" s="61"/>
      <c r="O7" s="63"/>
    </row>
    <row r="8" spans="2:15" ht="15" customHeight="1">
      <c r="B8" s="105" t="s">
        <v>1</v>
      </c>
      <c r="C8" s="106"/>
      <c r="D8" s="107">
        <f>(D7/C7-1)</f>
        <v>0.78173521191033024</v>
      </c>
      <c r="E8" s="107">
        <f>(E7/D7-1)</f>
        <v>0.37834180657113459</v>
      </c>
      <c r="F8" s="107">
        <f>(F7/E7-1)</f>
        <v>0.76602663363270351</v>
      </c>
      <c r="G8" s="108">
        <f>(G7/F7-1)</f>
        <v>6.7873739587899884E-2</v>
      </c>
      <c r="I8" s="89" t="s">
        <v>190</v>
      </c>
      <c r="J8" s="90"/>
      <c r="K8" s="61">
        <v>689.55</v>
      </c>
      <c r="L8" s="61">
        <v>1208.02</v>
      </c>
      <c r="M8" s="61">
        <v>1570</v>
      </c>
      <c r="N8" s="91">
        <v>2117.4</v>
      </c>
      <c r="O8" s="92">
        <v>3359.5</v>
      </c>
    </row>
    <row r="9" spans="2:15" ht="15" customHeight="1">
      <c r="B9" s="105" t="s">
        <v>80</v>
      </c>
      <c r="C9" s="106"/>
      <c r="D9" s="109"/>
      <c r="E9" s="107"/>
      <c r="F9" s="107">
        <f>+((F7/C7)^(1/3)-1)</f>
        <v>0.63079403256669009</v>
      </c>
      <c r="G9" s="108">
        <f>+((G7/D7)^(1/3)-1)</f>
        <v>0.37496410814441639</v>
      </c>
      <c r="I9" s="110" t="s">
        <v>231</v>
      </c>
      <c r="J9" s="111"/>
      <c r="K9" s="61">
        <v>0</v>
      </c>
      <c r="L9" s="61">
        <v>0</v>
      </c>
      <c r="M9" s="61">
        <v>0</v>
      </c>
      <c r="N9" s="64">
        <v>0</v>
      </c>
      <c r="O9" s="71">
        <v>0</v>
      </c>
    </row>
    <row r="10" spans="2:15" ht="15" customHeight="1">
      <c r="B10" s="85" t="s">
        <v>165</v>
      </c>
      <c r="C10" s="86"/>
      <c r="D10" s="58"/>
      <c r="E10" s="87"/>
      <c r="F10" s="87"/>
      <c r="G10" s="88"/>
      <c r="I10" s="110" t="s">
        <v>232</v>
      </c>
      <c r="J10" s="111"/>
      <c r="K10" s="61">
        <v>0</v>
      </c>
      <c r="L10" s="61">
        <v>0</v>
      </c>
      <c r="M10" s="61">
        <v>0</v>
      </c>
      <c r="N10" s="91">
        <v>304.2</v>
      </c>
      <c r="O10" s="92">
        <v>92.8</v>
      </c>
    </row>
    <row r="11" spans="2:15" ht="15" customHeight="1">
      <c r="B11" s="95" t="s">
        <v>166</v>
      </c>
      <c r="C11" s="96">
        <v>0</v>
      </c>
      <c r="D11" s="61">
        <v>0</v>
      </c>
      <c r="E11" s="96">
        <v>12</v>
      </c>
      <c r="F11" s="96">
        <v>724.7</v>
      </c>
      <c r="G11" s="97">
        <v>919.3</v>
      </c>
      <c r="I11" s="98" t="s">
        <v>33</v>
      </c>
      <c r="J11" s="99"/>
      <c r="K11" s="112">
        <f>SUM(K9:K10)</f>
        <v>0</v>
      </c>
      <c r="L11" s="112">
        <f t="shared" ref="L11:O11" si="0">SUM(L9:L10)</f>
        <v>0</v>
      </c>
      <c r="M11" s="112">
        <f t="shared" si="0"/>
        <v>0</v>
      </c>
      <c r="N11" s="112">
        <f t="shared" si="0"/>
        <v>304.2</v>
      </c>
      <c r="O11" s="112">
        <f t="shared" si="0"/>
        <v>92.8</v>
      </c>
    </row>
    <row r="12" spans="2:15" ht="15" customHeight="1">
      <c r="B12" s="95" t="s">
        <v>167</v>
      </c>
      <c r="C12" s="96">
        <v>0</v>
      </c>
      <c r="D12" s="61">
        <v>0</v>
      </c>
      <c r="E12" s="96">
        <v>-12</v>
      </c>
      <c r="F12" s="96">
        <v>-182.6</v>
      </c>
      <c r="G12" s="97">
        <v>-116.5</v>
      </c>
      <c r="I12" s="98" t="s">
        <v>34</v>
      </c>
      <c r="J12" s="99"/>
      <c r="K12" s="65">
        <f>K60-K42-K10</f>
        <v>6059.33</v>
      </c>
      <c r="L12" s="65">
        <f t="shared" ref="L12:O12" si="1">L60-L42-L10</f>
        <v>8091.3700000000008</v>
      </c>
      <c r="M12" s="65">
        <f t="shared" si="1"/>
        <v>12367</v>
      </c>
      <c r="N12" s="65">
        <f t="shared" si="1"/>
        <v>13674.499999999998</v>
      </c>
      <c r="O12" s="66">
        <f t="shared" si="1"/>
        <v>23796.699999999997</v>
      </c>
    </row>
    <row r="13" spans="2:15" ht="15" customHeight="1">
      <c r="B13" s="95" t="s">
        <v>168</v>
      </c>
      <c r="C13" s="96">
        <v>506.92</v>
      </c>
      <c r="D13" s="61">
        <v>524.41</v>
      </c>
      <c r="E13" s="96">
        <v>1396</v>
      </c>
      <c r="F13" s="96">
        <v>3879</v>
      </c>
      <c r="G13" s="97">
        <v>3900.1</v>
      </c>
      <c r="I13" s="74"/>
      <c r="J13" s="58"/>
      <c r="K13" s="61"/>
      <c r="L13" s="61"/>
      <c r="M13" s="61"/>
      <c r="N13" s="61"/>
      <c r="O13" s="63"/>
    </row>
    <row r="14" spans="2:15" ht="15" customHeight="1">
      <c r="B14" s="95" t="s">
        <v>169</v>
      </c>
      <c r="C14" s="96">
        <v>1329.26</v>
      </c>
      <c r="D14" s="61">
        <v>2264.64</v>
      </c>
      <c r="E14" s="96">
        <v>2017</v>
      </c>
      <c r="F14" s="96">
        <v>2398.5</v>
      </c>
      <c r="G14" s="97">
        <v>1775.2</v>
      </c>
      <c r="I14" s="98" t="s">
        <v>157</v>
      </c>
      <c r="J14" s="99"/>
      <c r="K14" s="65">
        <f>SUM(K15:K27)</f>
        <v>3747</v>
      </c>
      <c r="L14" s="65">
        <f>SUM(L15:L27)</f>
        <v>3414.6200000000003</v>
      </c>
      <c r="M14" s="65">
        <f>SUM(M15:M27)</f>
        <v>4944</v>
      </c>
      <c r="N14" s="65">
        <f>SUM(N15:N27)</f>
        <v>7043.4</v>
      </c>
      <c r="O14" s="66">
        <f>SUM(O15:O27)</f>
        <v>8637.7999999999993</v>
      </c>
    </row>
    <row r="15" spans="2:15" ht="15" customHeight="1">
      <c r="B15" s="95" t="s">
        <v>170</v>
      </c>
      <c r="C15" s="96">
        <v>71.34</v>
      </c>
      <c r="D15" s="61">
        <v>501.11</v>
      </c>
      <c r="E15" s="96">
        <v>504</v>
      </c>
      <c r="F15" s="96">
        <v>626.6</v>
      </c>
      <c r="G15" s="97">
        <v>686.4</v>
      </c>
      <c r="I15" s="89" t="s">
        <v>203</v>
      </c>
      <c r="J15" s="90"/>
      <c r="K15" s="61">
        <v>22.7</v>
      </c>
      <c r="L15" s="61">
        <v>17.239999999999998</v>
      </c>
      <c r="M15" s="61">
        <v>36</v>
      </c>
      <c r="N15" s="91">
        <v>71</v>
      </c>
      <c r="O15" s="92">
        <v>63.7</v>
      </c>
    </row>
    <row r="16" spans="2:15" ht="15" customHeight="1">
      <c r="B16" s="95" t="s">
        <v>171</v>
      </c>
      <c r="C16" s="96">
        <v>318.83999999999997</v>
      </c>
      <c r="D16" s="61">
        <v>486.91</v>
      </c>
      <c r="E16" s="96">
        <v>881</v>
      </c>
      <c r="F16" s="96">
        <v>1490.1</v>
      </c>
      <c r="G16" s="97">
        <v>1860</v>
      </c>
      <c r="I16" s="89" t="s">
        <v>204</v>
      </c>
      <c r="J16" s="90"/>
      <c r="K16" s="61">
        <v>86.06</v>
      </c>
      <c r="L16" s="61">
        <v>21.4</v>
      </c>
      <c r="M16" s="61">
        <v>41</v>
      </c>
      <c r="N16" s="91">
        <v>77.3</v>
      </c>
      <c r="O16" s="92">
        <v>167.5</v>
      </c>
    </row>
    <row r="17" spans="2:15" ht="15" customHeight="1">
      <c r="B17" s="95" t="s">
        <v>194</v>
      </c>
      <c r="C17" s="96">
        <v>0</v>
      </c>
      <c r="D17" s="61">
        <v>40.98</v>
      </c>
      <c r="E17" s="96">
        <v>87</v>
      </c>
      <c r="F17" s="96">
        <v>85.9</v>
      </c>
      <c r="G17" s="97">
        <v>283</v>
      </c>
      <c r="H17" s="75"/>
      <c r="I17" s="89" t="s">
        <v>205</v>
      </c>
      <c r="J17" s="90"/>
      <c r="K17" s="61">
        <v>1687.71</v>
      </c>
      <c r="L17" s="61">
        <v>1684.46</v>
      </c>
      <c r="M17" s="61">
        <v>2632</v>
      </c>
      <c r="N17" s="91">
        <v>3406.6</v>
      </c>
      <c r="O17" s="92">
        <v>3941.8</v>
      </c>
    </row>
    <row r="18" spans="2:15" ht="15" customHeight="1">
      <c r="B18" s="95" t="s">
        <v>195</v>
      </c>
      <c r="C18" s="96">
        <v>305.35000000000002</v>
      </c>
      <c r="D18" s="61">
        <v>318</v>
      </c>
      <c r="E18" s="96">
        <v>473</v>
      </c>
      <c r="F18" s="96">
        <v>876.1</v>
      </c>
      <c r="G18" s="97">
        <v>1079.2</v>
      </c>
      <c r="H18" s="76"/>
      <c r="I18" s="89" t="s">
        <v>206</v>
      </c>
      <c r="J18" s="90"/>
      <c r="K18" s="61">
        <v>1471.18</v>
      </c>
      <c r="L18" s="61">
        <v>1239.3699999999999</v>
      </c>
      <c r="M18" s="61">
        <v>1531</v>
      </c>
      <c r="N18" s="91">
        <v>2273.9</v>
      </c>
      <c r="O18" s="92">
        <v>1908.1</v>
      </c>
    </row>
    <row r="19" spans="2:15" ht="15" customHeight="1">
      <c r="B19" s="114" t="s">
        <v>172</v>
      </c>
      <c r="C19" s="115">
        <f>SUM(C11:C18)</f>
        <v>2531.71</v>
      </c>
      <c r="D19" s="115">
        <f>SUM(D11:D18)</f>
        <v>4136.0499999999993</v>
      </c>
      <c r="E19" s="115">
        <f>SUM(E11:E18)</f>
        <v>5358</v>
      </c>
      <c r="F19" s="115">
        <f>SUM(F11:F18)</f>
        <v>9898.3000000000011</v>
      </c>
      <c r="G19" s="116">
        <f>SUM(G11:G18)</f>
        <v>10386.700000000001</v>
      </c>
      <c r="H19" s="77"/>
      <c r="I19" s="89" t="s">
        <v>207</v>
      </c>
      <c r="J19" s="90"/>
      <c r="K19" s="61">
        <v>63.2</v>
      </c>
      <c r="L19" s="61">
        <v>23.52</v>
      </c>
      <c r="M19" s="61">
        <v>11</v>
      </c>
      <c r="N19" s="91">
        <v>1.9</v>
      </c>
      <c r="O19" s="63">
        <v>0</v>
      </c>
    </row>
    <row r="20" spans="2:15" ht="15" customHeight="1">
      <c r="B20" s="114" t="s">
        <v>3</v>
      </c>
      <c r="C20" s="117">
        <f>C5-C19</f>
        <v>-56.619999999999891</v>
      </c>
      <c r="D20" s="117">
        <f>D5-D19</f>
        <v>406.02000000000044</v>
      </c>
      <c r="E20" s="117">
        <f>E5-E19</f>
        <v>859</v>
      </c>
      <c r="F20" s="117">
        <f>F5-F19</f>
        <v>1011.8999999999996</v>
      </c>
      <c r="G20" s="118">
        <f>G5-G19</f>
        <v>996.09999999999854</v>
      </c>
      <c r="H20" s="77"/>
      <c r="I20" s="89" t="s">
        <v>208</v>
      </c>
      <c r="J20" s="90"/>
      <c r="K20" s="61"/>
      <c r="L20" s="61"/>
      <c r="M20" s="61"/>
      <c r="N20" s="61"/>
      <c r="O20" s="71"/>
    </row>
    <row r="21" spans="2:15" ht="15" customHeight="1">
      <c r="B21" s="105" t="s">
        <v>1</v>
      </c>
      <c r="C21" s="106"/>
      <c r="D21" s="119">
        <f>(D20/C20-1)</f>
        <v>-8.1709643235606002</v>
      </c>
      <c r="E21" s="119">
        <f>(E20/D20-1)</f>
        <v>1.1156593271267403</v>
      </c>
      <c r="F21" s="119">
        <f>(F20/E20-1)</f>
        <v>0.17799767171129188</v>
      </c>
      <c r="G21" s="120">
        <f>(G20/F20-1)</f>
        <v>-1.5614191125606358E-2</v>
      </c>
      <c r="I21" s="121" t="s">
        <v>209</v>
      </c>
      <c r="J21" s="122"/>
      <c r="K21" s="61">
        <v>80.510000000000005</v>
      </c>
      <c r="L21" s="61">
        <v>41.5</v>
      </c>
      <c r="M21" s="61">
        <v>0</v>
      </c>
      <c r="N21" s="64">
        <v>0</v>
      </c>
      <c r="O21" s="92">
        <v>171.9</v>
      </c>
    </row>
    <row r="22" spans="2:15" ht="15" customHeight="1">
      <c r="B22" s="105" t="s">
        <v>80</v>
      </c>
      <c r="C22" s="106"/>
      <c r="D22" s="109"/>
      <c r="E22" s="119"/>
      <c r="F22" s="119">
        <f>+((F20/C20)^(1/3)-1)</f>
        <v>-3.6145035967821659</v>
      </c>
      <c r="G22" s="120">
        <f>+((G20/D20)^(1/3)-1)</f>
        <v>0.34870977274118875</v>
      </c>
      <c r="I22" s="121" t="s">
        <v>210</v>
      </c>
      <c r="J22" s="122"/>
      <c r="K22" s="61">
        <v>135.94999999999999</v>
      </c>
      <c r="L22" s="61">
        <v>80.34</v>
      </c>
      <c r="M22" s="61">
        <v>325</v>
      </c>
      <c r="N22" s="91">
        <v>651.70000000000005</v>
      </c>
      <c r="O22" s="92">
        <v>1974.8</v>
      </c>
    </row>
    <row r="23" spans="2:15" ht="15" customHeight="1">
      <c r="B23" s="98" t="s">
        <v>4</v>
      </c>
      <c r="C23" s="123">
        <f>(C20/C5)</f>
        <v>-2.287593582455583E-2</v>
      </c>
      <c r="D23" s="123">
        <f>(D20/D5)</f>
        <v>8.9390960509195247E-2</v>
      </c>
      <c r="E23" s="123">
        <f>(E20/E5)</f>
        <v>0.13816953514556859</v>
      </c>
      <c r="F23" s="123">
        <f>(F20/F5)</f>
        <v>9.274807061282099E-2</v>
      </c>
      <c r="G23" s="124">
        <f>(G20/G5)</f>
        <v>8.7509224443897693E-2</v>
      </c>
      <c r="I23" s="121" t="s">
        <v>33</v>
      </c>
      <c r="J23" s="122"/>
      <c r="K23" s="61">
        <v>14</v>
      </c>
      <c r="L23" s="61">
        <v>0.04</v>
      </c>
      <c r="M23" s="61">
        <v>0</v>
      </c>
      <c r="N23" s="91">
        <v>0.5</v>
      </c>
      <c r="O23" s="92">
        <v>0.3</v>
      </c>
    </row>
    <row r="24" spans="2:15" ht="15" customHeight="1">
      <c r="B24" s="95" t="s">
        <v>196</v>
      </c>
      <c r="C24" s="61">
        <v>12.37</v>
      </c>
      <c r="D24" s="61">
        <v>4</v>
      </c>
      <c r="E24" s="96">
        <v>6</v>
      </c>
      <c r="F24" s="96">
        <v>47.2</v>
      </c>
      <c r="G24" s="97">
        <v>68</v>
      </c>
      <c r="I24" s="121" t="s">
        <v>211</v>
      </c>
      <c r="J24" s="122"/>
      <c r="K24" s="61">
        <v>68.400000000000006</v>
      </c>
      <c r="L24" s="61">
        <v>45.62</v>
      </c>
      <c r="M24" s="61">
        <v>72</v>
      </c>
      <c r="N24" s="91">
        <v>354.8</v>
      </c>
      <c r="O24" s="92">
        <v>268.60000000000002</v>
      </c>
    </row>
    <row r="25" spans="2:15" ht="15" customHeight="1">
      <c r="B25" s="95" t="s">
        <v>197</v>
      </c>
      <c r="C25" s="61">
        <v>263.24</v>
      </c>
      <c r="D25" s="61">
        <v>354.82</v>
      </c>
      <c r="E25" s="96">
        <v>390</v>
      </c>
      <c r="F25" s="96">
        <v>571.5</v>
      </c>
      <c r="G25" s="97">
        <v>669.9</v>
      </c>
      <c r="I25" s="89" t="s">
        <v>212</v>
      </c>
      <c r="J25" s="90"/>
      <c r="K25" s="61">
        <v>27.58</v>
      </c>
      <c r="L25" s="61">
        <v>46.41</v>
      </c>
      <c r="M25" s="61">
        <v>59</v>
      </c>
      <c r="N25" s="91">
        <v>37.4</v>
      </c>
      <c r="O25" s="92">
        <v>83.5</v>
      </c>
    </row>
    <row r="26" spans="2:15" ht="15" customHeight="1">
      <c r="B26" s="95" t="s">
        <v>173</v>
      </c>
      <c r="C26" s="96">
        <v>-18.12</v>
      </c>
      <c r="D26" s="61">
        <v>-24</v>
      </c>
      <c r="E26" s="96">
        <v>-5</v>
      </c>
      <c r="F26" s="96">
        <v>0</v>
      </c>
      <c r="G26" s="97">
        <v>-20.100000000000001</v>
      </c>
      <c r="H26" s="77"/>
      <c r="I26" s="89" t="s">
        <v>213</v>
      </c>
      <c r="J26" s="90"/>
      <c r="K26" s="61">
        <v>3.09</v>
      </c>
      <c r="L26" s="61">
        <v>3.15</v>
      </c>
      <c r="M26" s="61">
        <v>3</v>
      </c>
      <c r="N26" s="91">
        <v>0</v>
      </c>
      <c r="O26" s="71">
        <v>0</v>
      </c>
    </row>
    <row r="27" spans="2:15" ht="15" customHeight="1">
      <c r="B27" s="114" t="s">
        <v>6</v>
      </c>
      <c r="C27" s="117">
        <f>C20-C24-C25+C6+C26</f>
        <v>-195.78999999999991</v>
      </c>
      <c r="D27" s="117">
        <f>D20-D24-D25+D6+D26</f>
        <v>166.47000000000045</v>
      </c>
      <c r="E27" s="117">
        <f>E20-E24-E25+E6+E26</f>
        <v>699</v>
      </c>
      <c r="F27" s="117">
        <f>F20-F24-F25+F6</f>
        <v>887.99999999999955</v>
      </c>
      <c r="G27" s="118">
        <f>G20-G24-G25+G6+G26</f>
        <v>1034.3999999999987</v>
      </c>
      <c r="I27" s="89" t="s">
        <v>214</v>
      </c>
      <c r="J27" s="90"/>
      <c r="K27" s="61">
        <v>86.62</v>
      </c>
      <c r="L27" s="61">
        <v>211.57</v>
      </c>
      <c r="M27" s="61">
        <v>234</v>
      </c>
      <c r="N27" s="91">
        <v>168.3</v>
      </c>
      <c r="O27" s="92">
        <v>57.6</v>
      </c>
    </row>
    <row r="28" spans="2:15" ht="15" customHeight="1">
      <c r="B28" s="85" t="s">
        <v>174</v>
      </c>
      <c r="C28" s="86"/>
      <c r="D28" s="58"/>
      <c r="E28" s="125"/>
      <c r="F28" s="125"/>
      <c r="G28" s="126"/>
      <c r="I28" s="74"/>
      <c r="J28" s="58"/>
      <c r="K28" s="61"/>
      <c r="L28" s="61"/>
      <c r="M28" s="61"/>
      <c r="N28" s="61"/>
      <c r="O28" s="63"/>
    </row>
    <row r="29" spans="2:15" ht="15" customHeight="1">
      <c r="B29" s="95" t="s">
        <v>175</v>
      </c>
      <c r="C29" s="96">
        <v>62.13</v>
      </c>
      <c r="D29" s="61">
        <v>104.34</v>
      </c>
      <c r="E29" s="96">
        <v>272</v>
      </c>
      <c r="F29" s="96">
        <v>317.10000000000002</v>
      </c>
      <c r="G29" s="97">
        <v>407.7</v>
      </c>
      <c r="I29" s="98" t="s">
        <v>35</v>
      </c>
      <c r="J29" s="99"/>
      <c r="K29" s="65">
        <f>SUM(K30:K38)</f>
        <v>3796.87</v>
      </c>
      <c r="L29" s="65">
        <f>SUM(L30:L38)</f>
        <v>6812.42</v>
      </c>
      <c r="M29" s="65">
        <f>SUM(M30:M38)</f>
        <v>9154</v>
      </c>
      <c r="N29" s="65">
        <f>SUM(N30:N38)</f>
        <v>9974.4</v>
      </c>
      <c r="O29" s="66">
        <f>SUM(O30:O38)</f>
        <v>18968.199999999997</v>
      </c>
    </row>
    <row r="30" spans="2:15" ht="15" customHeight="1">
      <c r="B30" s="95" t="s">
        <v>176</v>
      </c>
      <c r="C30" s="96">
        <v>0</v>
      </c>
      <c r="D30" s="61">
        <v>-2.15</v>
      </c>
      <c r="E30" s="96">
        <v>0</v>
      </c>
      <c r="F30" s="96">
        <v>-4</v>
      </c>
      <c r="G30" s="97">
        <v>-5.4</v>
      </c>
      <c r="I30" s="89" t="s">
        <v>36</v>
      </c>
      <c r="J30" s="90"/>
      <c r="K30" s="61">
        <v>0</v>
      </c>
      <c r="L30" s="61">
        <v>0</v>
      </c>
      <c r="M30" s="61">
        <v>13</v>
      </c>
      <c r="N30" s="91">
        <v>245.5</v>
      </c>
      <c r="O30" s="92">
        <v>21.1</v>
      </c>
    </row>
    <row r="31" spans="2:15" ht="15" customHeight="1">
      <c r="B31" s="95" t="s">
        <v>177</v>
      </c>
      <c r="C31" s="96">
        <v>9.84</v>
      </c>
      <c r="D31" s="61">
        <v>-71.52</v>
      </c>
      <c r="E31" s="96">
        <v>-80</v>
      </c>
      <c r="F31" s="96">
        <v>-58.9</v>
      </c>
      <c r="G31" s="97">
        <v>-262.5</v>
      </c>
      <c r="I31" s="89" t="s">
        <v>208</v>
      </c>
      <c r="J31" s="90"/>
      <c r="K31" s="61"/>
      <c r="L31" s="61"/>
      <c r="M31" s="61"/>
      <c r="N31" s="61"/>
      <c r="O31" s="63"/>
    </row>
    <row r="32" spans="2:15" ht="15" customHeight="1">
      <c r="B32" s="95" t="s">
        <v>178</v>
      </c>
      <c r="C32" s="204">
        <f>SUM(C29:C31)</f>
        <v>71.97</v>
      </c>
      <c r="D32" s="204">
        <f>SUM(D29:D31)</f>
        <v>30.67</v>
      </c>
      <c r="E32" s="204">
        <f>SUM(E29:E31)</f>
        <v>192</v>
      </c>
      <c r="F32" s="204">
        <f>SUM(F29:F31)</f>
        <v>254.20000000000002</v>
      </c>
      <c r="G32" s="205">
        <f>SUM(G29:G31)</f>
        <v>139.80000000000001</v>
      </c>
      <c r="I32" s="121" t="s">
        <v>210</v>
      </c>
      <c r="J32" s="122"/>
      <c r="K32" s="61">
        <v>366.54</v>
      </c>
      <c r="L32" s="61">
        <v>1060.3699999999999</v>
      </c>
      <c r="M32" s="61">
        <v>4093</v>
      </c>
      <c r="N32" s="91">
        <v>2667.8</v>
      </c>
      <c r="O32" s="92">
        <v>2241.6999999999998</v>
      </c>
    </row>
    <row r="33" spans="2:15" ht="15" customHeight="1">
      <c r="B33" s="105" t="s">
        <v>7</v>
      </c>
      <c r="C33" s="129"/>
      <c r="D33" s="130"/>
      <c r="E33" s="131">
        <f>E32/E27</f>
        <v>0.27467811158798283</v>
      </c>
      <c r="F33" s="131">
        <f t="shared" ref="F33:G33" si="2">F32/F27</f>
        <v>0.28626126126126145</v>
      </c>
      <c r="G33" s="132">
        <f t="shared" si="2"/>
        <v>0.13515081206496538</v>
      </c>
      <c r="I33" s="121" t="s">
        <v>215</v>
      </c>
      <c r="J33" s="122">
        <v>456.02</v>
      </c>
      <c r="K33" s="61">
        <v>681.08</v>
      </c>
      <c r="L33" s="61">
        <v>685.6</v>
      </c>
      <c r="M33" s="61">
        <v>847</v>
      </c>
      <c r="N33" s="91">
        <v>1860.5</v>
      </c>
      <c r="O33" s="92">
        <v>2749.3</v>
      </c>
    </row>
    <row r="34" spans="2:15" ht="15" customHeight="1">
      <c r="B34" s="98" t="s">
        <v>8</v>
      </c>
      <c r="C34" s="117">
        <f>C27-C32</f>
        <v>-267.75999999999988</v>
      </c>
      <c r="D34" s="117">
        <f>D27-D32</f>
        <v>135.80000000000047</v>
      </c>
      <c r="E34" s="117">
        <f>E27-E32</f>
        <v>507</v>
      </c>
      <c r="F34" s="117">
        <f>F27-F32</f>
        <v>633.7999999999995</v>
      </c>
      <c r="G34" s="118">
        <f>G27-G32</f>
        <v>894.59999999999877</v>
      </c>
      <c r="I34" s="121" t="s">
        <v>216</v>
      </c>
      <c r="J34" s="122"/>
      <c r="K34" s="61">
        <v>720.88</v>
      </c>
      <c r="L34" s="61">
        <v>1399.66</v>
      </c>
      <c r="M34" s="61">
        <v>2081</v>
      </c>
      <c r="N34" s="91">
        <v>1421.2</v>
      </c>
      <c r="O34" s="92">
        <v>5670.2</v>
      </c>
    </row>
    <row r="35" spans="2:15" ht="15" customHeight="1">
      <c r="B35" s="98" t="s">
        <v>67</v>
      </c>
      <c r="C35" s="129"/>
      <c r="D35" s="130"/>
      <c r="E35" s="133">
        <f>E34/E5</f>
        <v>8.1550587099887412E-2</v>
      </c>
      <c r="F35" s="133">
        <f>F34/F5</f>
        <v>5.8092427269894178E-2</v>
      </c>
      <c r="G35" s="134">
        <f>G34/G5</f>
        <v>7.8592262009347338E-2</v>
      </c>
      <c r="I35" s="121" t="s">
        <v>217</v>
      </c>
      <c r="J35" s="122"/>
      <c r="K35" s="61">
        <v>1146.1600000000001</v>
      </c>
      <c r="L35" s="61">
        <v>2323.86</v>
      </c>
      <c r="M35" s="61">
        <v>1147</v>
      </c>
      <c r="N35" s="91">
        <v>1871.2</v>
      </c>
      <c r="O35" s="92">
        <v>6426.9</v>
      </c>
    </row>
    <row r="36" spans="2:15" ht="15" customHeight="1">
      <c r="B36" s="105" t="s">
        <v>80</v>
      </c>
      <c r="C36" s="109"/>
      <c r="D36" s="109"/>
      <c r="E36" s="109"/>
      <c r="F36" s="107">
        <f>+((F34/C34)^(1/3)-1)</f>
        <v>-2.3327095561787647</v>
      </c>
      <c r="G36" s="108">
        <f>+((G34/D34)^(1/3)-1)</f>
        <v>0.87460472767430342</v>
      </c>
      <c r="I36" s="121" t="s">
        <v>33</v>
      </c>
      <c r="J36" s="122"/>
      <c r="K36" s="61">
        <v>21.61</v>
      </c>
      <c r="L36" s="61">
        <v>29</v>
      </c>
      <c r="M36" s="61">
        <v>6</v>
      </c>
      <c r="N36" s="91">
        <v>17.399999999999999</v>
      </c>
      <c r="O36" s="92">
        <v>315.60000000000002</v>
      </c>
    </row>
    <row r="37" spans="2:15" ht="15" customHeight="1">
      <c r="B37" s="85" t="s">
        <v>179</v>
      </c>
      <c r="C37" s="93"/>
      <c r="D37" s="61"/>
      <c r="E37" s="96"/>
      <c r="F37" s="96"/>
      <c r="G37" s="97"/>
      <c r="I37" s="121" t="s">
        <v>211</v>
      </c>
      <c r="J37" s="122"/>
      <c r="K37" s="61">
        <v>635.79</v>
      </c>
      <c r="L37" s="61">
        <v>1006.66</v>
      </c>
      <c r="M37" s="61">
        <v>698</v>
      </c>
      <c r="N37" s="91">
        <v>1201.4000000000001</v>
      </c>
      <c r="O37" s="92">
        <v>704.2</v>
      </c>
    </row>
    <row r="38" spans="2:15" ht="15" customHeight="1">
      <c r="B38" s="95" t="s">
        <v>180</v>
      </c>
      <c r="C38" s="96">
        <v>0</v>
      </c>
      <c r="D38" s="61">
        <v>0</v>
      </c>
      <c r="E38" s="135">
        <v>0</v>
      </c>
      <c r="F38" s="96">
        <v>-20</v>
      </c>
      <c r="G38" s="97">
        <v>-147.1</v>
      </c>
      <c r="I38" s="89" t="s">
        <v>218</v>
      </c>
      <c r="J38" s="90"/>
      <c r="K38" s="61">
        <v>224.81</v>
      </c>
      <c r="L38" s="61">
        <v>307.27</v>
      </c>
      <c r="M38" s="61">
        <v>269</v>
      </c>
      <c r="N38" s="91">
        <v>689.4</v>
      </c>
      <c r="O38" s="92">
        <v>839.2</v>
      </c>
    </row>
    <row r="39" spans="2:15" ht="15" customHeight="1">
      <c r="B39" s="95" t="s">
        <v>181</v>
      </c>
      <c r="C39" s="96">
        <v>0</v>
      </c>
      <c r="D39" s="61">
        <v>0</v>
      </c>
      <c r="E39" s="135">
        <v>0</v>
      </c>
      <c r="F39" s="135">
        <v>0</v>
      </c>
      <c r="G39" s="136">
        <v>0</v>
      </c>
      <c r="I39" s="89"/>
      <c r="J39" s="90"/>
      <c r="K39" s="61"/>
      <c r="L39" s="61"/>
      <c r="M39" s="61"/>
      <c r="N39" s="91"/>
      <c r="O39" s="92"/>
    </row>
    <row r="40" spans="2:15" ht="15" customHeight="1">
      <c r="B40" s="98" t="s">
        <v>134</v>
      </c>
      <c r="C40" s="127">
        <v>0</v>
      </c>
      <c r="D40" s="115">
        <v>0</v>
      </c>
      <c r="E40" s="137">
        <v>0</v>
      </c>
      <c r="F40" s="127">
        <v>-20</v>
      </c>
      <c r="G40" s="128">
        <v>-147.1</v>
      </c>
      <c r="I40" s="89" t="s">
        <v>219</v>
      </c>
      <c r="J40" s="90"/>
      <c r="K40" s="61">
        <v>0</v>
      </c>
      <c r="L40" s="61">
        <v>0</v>
      </c>
      <c r="M40" s="61">
        <v>0</v>
      </c>
      <c r="N40" s="64">
        <v>0</v>
      </c>
      <c r="O40" s="92">
        <v>11.8</v>
      </c>
    </row>
    <row r="41" spans="2:15" ht="15" customHeight="1">
      <c r="B41" s="98" t="s">
        <v>135</v>
      </c>
      <c r="C41" s="117">
        <f>SUM(C40+C34)</f>
        <v>-267.75999999999988</v>
      </c>
      <c r="D41" s="117">
        <f>SUM(D40+D34)</f>
        <v>135.80000000000047</v>
      </c>
      <c r="E41" s="117">
        <f>SUM(E40+E34)</f>
        <v>507</v>
      </c>
      <c r="F41" s="117">
        <f>SUM(F40+F34)</f>
        <v>613.7999999999995</v>
      </c>
      <c r="G41" s="118">
        <f>SUM(G40+G34)</f>
        <v>747.49999999999875</v>
      </c>
      <c r="I41" s="74"/>
      <c r="J41" s="58"/>
      <c r="K41" s="61"/>
      <c r="L41" s="61"/>
      <c r="M41" s="61"/>
      <c r="N41" s="61"/>
      <c r="O41" s="63"/>
    </row>
    <row r="42" spans="2:15" ht="15" customHeight="1">
      <c r="B42" s="85" t="s">
        <v>136</v>
      </c>
      <c r="C42" s="93"/>
      <c r="D42" s="61"/>
      <c r="E42" s="96"/>
      <c r="F42" s="96"/>
      <c r="G42" s="97"/>
      <c r="I42" s="98" t="s">
        <v>37</v>
      </c>
      <c r="J42" s="99"/>
      <c r="K42" s="65">
        <f>SUM(K43:K50)</f>
        <v>1484.5400000000002</v>
      </c>
      <c r="L42" s="65">
        <f>SUM(L43:L50)</f>
        <v>2135.67</v>
      </c>
      <c r="M42" s="65">
        <f>SUM(M43:M50)</f>
        <v>1731</v>
      </c>
      <c r="N42" s="65">
        <f>SUM(N43:N50)</f>
        <v>3039.1</v>
      </c>
      <c r="O42" s="66">
        <f>SUM(O43:O50)</f>
        <v>3728.3</v>
      </c>
    </row>
    <row r="43" spans="2:15" ht="15" customHeight="1">
      <c r="B43" s="95" t="s">
        <v>182</v>
      </c>
      <c r="C43" s="96">
        <v>0.73</v>
      </c>
      <c r="D43" s="61">
        <v>-0.34</v>
      </c>
      <c r="E43" s="96">
        <v>-1</v>
      </c>
      <c r="F43" s="96">
        <v>3.8</v>
      </c>
      <c r="G43" s="97">
        <v>1.5</v>
      </c>
      <c r="I43" s="110" t="s">
        <v>228</v>
      </c>
      <c r="J43" s="111"/>
      <c r="K43" s="61"/>
      <c r="L43" s="61"/>
      <c r="M43" s="61"/>
      <c r="N43" s="61"/>
      <c r="O43" s="63"/>
    </row>
    <row r="44" spans="2:15" ht="15" customHeight="1">
      <c r="B44" s="95" t="s">
        <v>183</v>
      </c>
      <c r="C44" s="96">
        <v>14.38</v>
      </c>
      <c r="D44" s="61">
        <v>-6.11</v>
      </c>
      <c r="E44" s="96">
        <v>-1</v>
      </c>
      <c r="F44" s="96">
        <v>-4.3</v>
      </c>
      <c r="G44" s="97">
        <v>-0.5</v>
      </c>
      <c r="I44" s="138" t="s">
        <v>229</v>
      </c>
      <c r="J44" s="139"/>
      <c r="K44" s="61">
        <v>0.98</v>
      </c>
      <c r="L44" s="61">
        <v>2.25</v>
      </c>
      <c r="M44" s="61">
        <v>3</v>
      </c>
      <c r="N44" s="91">
        <v>82.7</v>
      </c>
      <c r="O44" s="92">
        <v>21.2</v>
      </c>
    </row>
    <row r="45" spans="2:15" ht="15" customHeight="1">
      <c r="B45" s="95" t="s">
        <v>184</v>
      </c>
      <c r="C45" s="96">
        <v>147.78</v>
      </c>
      <c r="D45" s="61">
        <v>-40.090000000000003</v>
      </c>
      <c r="E45" s="96">
        <v>72</v>
      </c>
      <c r="F45" s="96">
        <v>187.3</v>
      </c>
      <c r="G45" s="97">
        <v>25.1</v>
      </c>
      <c r="I45" s="138" t="s">
        <v>230</v>
      </c>
      <c r="J45" s="139">
        <v>370.2</v>
      </c>
      <c r="K45" s="61">
        <v>691.74</v>
      </c>
      <c r="L45" s="61">
        <v>637.9</v>
      </c>
      <c r="M45" s="61">
        <v>496</v>
      </c>
      <c r="N45" s="91">
        <v>1899.5</v>
      </c>
      <c r="O45" s="92">
        <v>2379.5</v>
      </c>
    </row>
    <row r="46" spans="2:15" ht="15" customHeight="1">
      <c r="B46" s="95" t="s">
        <v>136</v>
      </c>
      <c r="C46" s="96">
        <f>SUM(C43:C45)</f>
        <v>162.89000000000001</v>
      </c>
      <c r="D46" s="96">
        <f>SUM(D43:D45)</f>
        <v>-46.540000000000006</v>
      </c>
      <c r="E46" s="96">
        <f>SUM(E43:E45)</f>
        <v>70</v>
      </c>
      <c r="F46" s="96">
        <f>SUM(F43:F45)</f>
        <v>186.8</v>
      </c>
      <c r="G46" s="97">
        <f>SUM(G43:G45)</f>
        <v>26.1</v>
      </c>
      <c r="I46" s="89" t="s">
        <v>223</v>
      </c>
      <c r="J46" s="90"/>
      <c r="K46" s="61">
        <v>60.26</v>
      </c>
      <c r="L46" s="61">
        <v>10.59</v>
      </c>
      <c r="M46" s="61">
        <v>33</v>
      </c>
      <c r="N46" s="91">
        <v>25.7</v>
      </c>
      <c r="O46" s="92">
        <v>57.3</v>
      </c>
    </row>
    <row r="47" spans="2:15" ht="15" customHeight="1">
      <c r="B47" s="114" t="s">
        <v>198</v>
      </c>
      <c r="C47" s="117">
        <f>SUM(C46+C41)</f>
        <v>-104.86999999999986</v>
      </c>
      <c r="D47" s="117">
        <f>SUM(D46+D41)</f>
        <v>89.26000000000046</v>
      </c>
      <c r="E47" s="117">
        <f>SUM(E46+E41)</f>
        <v>577</v>
      </c>
      <c r="F47" s="117">
        <f>SUM(F46+F41)</f>
        <v>800.59999999999945</v>
      </c>
      <c r="G47" s="118">
        <f>SUM(G46+G41)</f>
        <v>773.59999999999877</v>
      </c>
      <c r="I47" s="89" t="s">
        <v>225</v>
      </c>
      <c r="J47" s="90"/>
      <c r="K47" s="61">
        <v>393.9</v>
      </c>
      <c r="L47" s="61">
        <v>1086.55</v>
      </c>
      <c r="M47" s="61">
        <v>663</v>
      </c>
      <c r="N47" s="91">
        <v>170.7</v>
      </c>
      <c r="O47" s="92">
        <v>103.5</v>
      </c>
    </row>
    <row r="48" spans="2:15" ht="15" customHeight="1">
      <c r="B48" s="85" t="s">
        <v>185</v>
      </c>
      <c r="C48" s="93"/>
      <c r="D48" s="61"/>
      <c r="E48" s="96"/>
      <c r="F48" s="96"/>
      <c r="G48" s="97"/>
      <c r="I48" s="89" t="s">
        <v>126</v>
      </c>
      <c r="J48" s="90"/>
      <c r="K48" s="61">
        <v>306.94</v>
      </c>
      <c r="L48" s="61">
        <v>297.16000000000003</v>
      </c>
      <c r="M48" s="61">
        <v>404</v>
      </c>
      <c r="N48" s="91">
        <v>737.2</v>
      </c>
      <c r="O48" s="92">
        <v>1057.9000000000001</v>
      </c>
    </row>
    <row r="49" spans="2:21" ht="15" customHeight="1">
      <c r="B49" s="95" t="s">
        <v>186</v>
      </c>
      <c r="C49" s="140">
        <v>-0.77</v>
      </c>
      <c r="D49" s="60">
        <v>3.2</v>
      </c>
      <c r="E49" s="140">
        <v>9.09</v>
      </c>
      <c r="F49" s="140">
        <v>6.29</v>
      </c>
      <c r="G49" s="141">
        <v>10.28</v>
      </c>
      <c r="I49" s="89" t="s">
        <v>103</v>
      </c>
      <c r="J49" s="90"/>
      <c r="K49" s="61">
        <v>10.49</v>
      </c>
      <c r="L49" s="61">
        <v>13.47</v>
      </c>
      <c r="M49" s="142">
        <v>16</v>
      </c>
      <c r="N49" s="91">
        <v>21.7</v>
      </c>
      <c r="O49" s="92">
        <v>32.1</v>
      </c>
    </row>
    <row r="50" spans="2:21" ht="15" customHeight="1">
      <c r="B50" s="95" t="s">
        <v>187</v>
      </c>
      <c r="C50" s="140">
        <v>-0.77</v>
      </c>
      <c r="D50" s="60">
        <v>3.08</v>
      </c>
      <c r="E50" s="140">
        <v>9.09</v>
      </c>
      <c r="F50" s="140">
        <v>6.27</v>
      </c>
      <c r="G50" s="141">
        <v>10.28</v>
      </c>
      <c r="I50" s="89" t="s">
        <v>226</v>
      </c>
      <c r="J50" s="90"/>
      <c r="K50" s="61">
        <v>20.23</v>
      </c>
      <c r="L50" s="61">
        <v>87.75</v>
      </c>
      <c r="M50" s="61">
        <v>116</v>
      </c>
      <c r="N50" s="91">
        <v>101.6</v>
      </c>
      <c r="O50" s="92">
        <v>76.8</v>
      </c>
    </row>
    <row r="51" spans="2:21" ht="15" customHeight="1">
      <c r="B51" s="85" t="s">
        <v>188</v>
      </c>
      <c r="C51" s="93"/>
      <c r="D51" s="61"/>
      <c r="E51" s="96"/>
      <c r="F51" s="96"/>
      <c r="G51" s="97"/>
      <c r="I51" s="74"/>
      <c r="J51" s="58"/>
      <c r="K51" s="61"/>
      <c r="L51" s="61"/>
      <c r="M51" s="61"/>
      <c r="N51" s="61"/>
      <c r="O51" s="63"/>
    </row>
    <row r="52" spans="2:21" ht="15" customHeight="1">
      <c r="B52" s="95" t="s">
        <v>186</v>
      </c>
      <c r="C52" s="143">
        <v>0</v>
      </c>
      <c r="D52" s="59">
        <v>0</v>
      </c>
      <c r="E52" s="143">
        <v>0</v>
      </c>
      <c r="F52" s="140">
        <v>-0.31</v>
      </c>
      <c r="G52" s="141">
        <v>-2.12</v>
      </c>
      <c r="I52" s="89" t="s">
        <v>227</v>
      </c>
      <c r="J52" s="90"/>
      <c r="K52" s="61"/>
      <c r="L52" s="61"/>
      <c r="M52" s="61"/>
      <c r="N52" s="64" t="s">
        <v>154</v>
      </c>
      <c r="O52" s="92">
        <v>0.8</v>
      </c>
    </row>
    <row r="53" spans="2:21" ht="15" customHeight="1">
      <c r="B53" s="95" t="s">
        <v>187</v>
      </c>
      <c r="C53" s="143">
        <v>0</v>
      </c>
      <c r="D53" s="59">
        <v>0</v>
      </c>
      <c r="E53" s="143">
        <v>0</v>
      </c>
      <c r="F53" s="140">
        <v>-0.31</v>
      </c>
      <c r="G53" s="141">
        <v>-2.12</v>
      </c>
      <c r="I53" s="74"/>
      <c r="J53" s="58"/>
      <c r="K53" s="61"/>
      <c r="L53" s="61"/>
      <c r="M53" s="61"/>
      <c r="N53" s="61"/>
      <c r="O53" s="63"/>
    </row>
    <row r="54" spans="2:21" ht="15" customHeight="1" thickBot="1">
      <c r="B54" s="144"/>
      <c r="C54" s="145"/>
      <c r="D54" s="146"/>
      <c r="E54" s="147"/>
      <c r="F54" s="147"/>
      <c r="G54" s="148"/>
      <c r="I54" s="98" t="s">
        <v>38</v>
      </c>
      <c r="J54" s="99"/>
      <c r="K54" s="112">
        <f>(K29-K42-K10)</f>
        <v>2312.33</v>
      </c>
      <c r="L54" s="112">
        <f>(L29-L42-L10)</f>
        <v>4676.75</v>
      </c>
      <c r="M54" s="112">
        <f>(M29-M42-M10)</f>
        <v>7423</v>
      </c>
      <c r="N54" s="112">
        <f>(N29-N42-N10)</f>
        <v>6631.0999999999995</v>
      </c>
      <c r="O54" s="113">
        <f>(O29-O42-O10)</f>
        <v>15147.099999999999</v>
      </c>
    </row>
    <row r="55" spans="2:21" ht="15" customHeight="1">
      <c r="I55" s="74"/>
      <c r="J55" s="58"/>
      <c r="K55" s="61"/>
      <c r="L55" s="61"/>
      <c r="M55" s="61"/>
      <c r="N55" s="61"/>
      <c r="O55" s="63"/>
    </row>
    <row r="56" spans="2:21" ht="15" customHeight="1" thickBot="1">
      <c r="B56" s="149" t="s">
        <v>10</v>
      </c>
      <c r="C56" s="150"/>
      <c r="D56" s="150"/>
      <c r="E56" s="150"/>
      <c r="F56" s="150"/>
      <c r="G56" s="150"/>
      <c r="H56" s="150"/>
      <c r="I56" s="110" t="s">
        <v>223</v>
      </c>
      <c r="J56" s="111"/>
      <c r="K56" s="61">
        <v>20.100000000000001</v>
      </c>
      <c r="L56" s="61">
        <v>2.46</v>
      </c>
      <c r="M56" s="61">
        <v>10</v>
      </c>
      <c r="N56" s="91">
        <v>51.5</v>
      </c>
      <c r="O56" s="92">
        <v>126.9</v>
      </c>
    </row>
    <row r="57" spans="2:21" ht="15" customHeight="1">
      <c r="B57" s="151" t="s">
        <v>160</v>
      </c>
      <c r="C57" s="152" t="s">
        <v>108</v>
      </c>
      <c r="D57" s="152" t="s">
        <v>159</v>
      </c>
      <c r="E57" s="152" t="s">
        <v>161</v>
      </c>
      <c r="F57" s="153" t="s">
        <v>162</v>
      </c>
      <c r="G57" s="154" t="s">
        <v>164</v>
      </c>
      <c r="I57" s="89" t="s">
        <v>103</v>
      </c>
      <c r="J57" s="90"/>
      <c r="K57" s="61">
        <v>27.28</v>
      </c>
      <c r="L57" s="61">
        <v>35.049999999999997</v>
      </c>
      <c r="M57" s="61">
        <v>51</v>
      </c>
      <c r="N57" s="91">
        <v>52.5</v>
      </c>
      <c r="O57" s="92">
        <v>53.2</v>
      </c>
    </row>
    <row r="58" spans="2:21" ht="15" customHeight="1">
      <c r="B58" s="81" t="s">
        <v>11</v>
      </c>
      <c r="C58" s="142">
        <v>532.61</v>
      </c>
      <c r="D58" s="142">
        <f>C65</f>
        <v>720.88</v>
      </c>
      <c r="E58" s="142">
        <v>1400</v>
      </c>
      <c r="F58" s="142">
        <f>E65</f>
        <v>2081</v>
      </c>
      <c r="G58" s="155">
        <f>F65</f>
        <v>1421.43</v>
      </c>
      <c r="I58" s="89" t="s">
        <v>224</v>
      </c>
      <c r="J58" s="90"/>
      <c r="K58" s="61">
        <v>311.73</v>
      </c>
      <c r="L58" s="61">
        <v>259.92</v>
      </c>
      <c r="M58" s="61">
        <v>323</v>
      </c>
      <c r="N58" s="91">
        <v>404.2</v>
      </c>
      <c r="O58" s="92">
        <v>270.3</v>
      </c>
    </row>
    <row r="59" spans="2:21" ht="15" customHeight="1">
      <c r="B59" s="81" t="s">
        <v>12</v>
      </c>
      <c r="C59" s="142">
        <v>-22.07</v>
      </c>
      <c r="D59" s="142">
        <v>679</v>
      </c>
      <c r="E59" s="142">
        <v>621</v>
      </c>
      <c r="F59" s="61">
        <v>80.900000000000006</v>
      </c>
      <c r="G59" s="156">
        <v>907.9</v>
      </c>
      <c r="I59" s="74" t="s">
        <v>235</v>
      </c>
      <c r="J59" s="58"/>
      <c r="K59" s="61"/>
      <c r="L59" s="61">
        <v>4.16</v>
      </c>
      <c r="M59" s="61"/>
      <c r="N59" s="61"/>
      <c r="O59" s="63"/>
    </row>
    <row r="60" spans="2:21" ht="15" customHeight="1">
      <c r="B60" s="157" t="s">
        <v>66</v>
      </c>
      <c r="C60" s="142">
        <v>88.95</v>
      </c>
      <c r="D60" s="142">
        <v>-2680</v>
      </c>
      <c r="E60" s="142">
        <v>-3336</v>
      </c>
      <c r="F60" s="61">
        <v>-952.4</v>
      </c>
      <c r="G60" s="156">
        <v>-6030</v>
      </c>
      <c r="I60" s="98" t="s">
        <v>71</v>
      </c>
      <c r="J60" s="99"/>
      <c r="K60" s="65">
        <f>K14+K29</f>
        <v>7543.87</v>
      </c>
      <c r="L60" s="65">
        <f>L14+L29</f>
        <v>10227.040000000001</v>
      </c>
      <c r="M60" s="112">
        <f>M14+M29</f>
        <v>14098</v>
      </c>
      <c r="N60" s="112">
        <f>N14+N29</f>
        <v>17017.8</v>
      </c>
      <c r="O60" s="113">
        <f>O14+O29+O40</f>
        <v>27617.799999999996</v>
      </c>
    </row>
    <row r="61" spans="2:21" ht="15" customHeight="1" thickBot="1">
      <c r="B61" s="157" t="s">
        <v>13</v>
      </c>
      <c r="C61" s="142">
        <v>33.659999999999997</v>
      </c>
      <c r="D61" s="142">
        <v>2170</v>
      </c>
      <c r="E61" s="142">
        <v>3348</v>
      </c>
      <c r="F61" s="158">
        <v>145.19999999999999</v>
      </c>
      <c r="G61" s="156">
        <v>9462.7000000000007</v>
      </c>
      <c r="I61" s="159" t="s">
        <v>72</v>
      </c>
      <c r="J61" s="160"/>
      <c r="K61" s="67">
        <f>+K6+K8+K11+K42+(SUM(K56:K58))</f>
        <v>7543.87</v>
      </c>
      <c r="L61" s="67">
        <f>+L6+L8+L11+L42+(SUM(L56:L59))</f>
        <v>10227.040000000001</v>
      </c>
      <c r="M61" s="67">
        <f>+M6+M8+M11+M42+(SUM(M56:M58))</f>
        <v>14098</v>
      </c>
      <c r="N61" s="67">
        <f>+N6+N8+N11+N42+(SUM(N56:N58))</f>
        <v>17017.800000000003</v>
      </c>
      <c r="O61" s="68">
        <f>O52+O6+O8+O11+O42+(SUM(O56:O58))</f>
        <v>27617.8</v>
      </c>
    </row>
    <row r="62" spans="2:21" ht="15" customHeight="1">
      <c r="B62" s="81" t="s">
        <v>14</v>
      </c>
      <c r="C62" s="158">
        <f>SUM(C59:C61)</f>
        <v>100.53999999999999</v>
      </c>
      <c r="D62" s="158">
        <f>SUM(D59:D61)</f>
        <v>169</v>
      </c>
      <c r="E62" s="158">
        <f>SUM(E59:E61)</f>
        <v>633</v>
      </c>
      <c r="F62" s="158">
        <f>SUM(F59:F61)</f>
        <v>-726.3</v>
      </c>
      <c r="G62" s="156">
        <f>SUM(G59:G61)</f>
        <v>4340.6000000000004</v>
      </c>
    </row>
    <row r="63" spans="2:21" ht="15" customHeight="1">
      <c r="B63" s="157" t="s">
        <v>233</v>
      </c>
      <c r="C63" s="142">
        <v>0</v>
      </c>
      <c r="D63" s="142">
        <v>0</v>
      </c>
      <c r="E63" s="142">
        <v>0</v>
      </c>
      <c r="F63" s="61">
        <v>3.33</v>
      </c>
      <c r="G63" s="156">
        <v>-124.3</v>
      </c>
    </row>
    <row r="64" spans="2:21" ht="15" customHeight="1" thickBot="1">
      <c r="B64" s="74" t="s">
        <v>234</v>
      </c>
      <c r="C64" s="61">
        <v>87.73</v>
      </c>
      <c r="D64" s="61">
        <v>-26.23</v>
      </c>
      <c r="E64" s="61">
        <v>48</v>
      </c>
      <c r="F64" s="61">
        <v>63.4</v>
      </c>
      <c r="G64" s="63">
        <v>33.200000000000003</v>
      </c>
      <c r="I64" s="149" t="s">
        <v>39</v>
      </c>
      <c r="J64" s="149"/>
      <c r="K64" s="150"/>
      <c r="L64" s="150"/>
      <c r="M64" s="150"/>
      <c r="N64" s="150"/>
      <c r="O64" s="161"/>
      <c r="P64" s="150"/>
      <c r="Q64" s="150"/>
      <c r="R64" s="150"/>
      <c r="S64" s="150"/>
      <c r="T64" s="150"/>
      <c r="U64" s="150"/>
    </row>
    <row r="65" spans="2:15" ht="15" customHeight="1" thickBot="1">
      <c r="B65" s="162" t="s">
        <v>60</v>
      </c>
      <c r="C65" s="163">
        <f>C58+(SUM(C62:C64))</f>
        <v>720.88</v>
      </c>
      <c r="D65" s="163">
        <f>D58+(SUM(D62:D64))</f>
        <v>863.65</v>
      </c>
      <c r="E65" s="163">
        <f>E58+(SUM(E62:E64))</f>
        <v>2081</v>
      </c>
      <c r="F65" s="163">
        <f>F58+(SUM(F62:F64))</f>
        <v>1421.43</v>
      </c>
      <c r="G65" s="164">
        <f>G58+(SUM(G62:G64))</f>
        <v>5670.93</v>
      </c>
      <c r="I65" s="151" t="s">
        <v>40</v>
      </c>
      <c r="J65" s="165"/>
      <c r="K65" s="152" t="s">
        <v>108</v>
      </c>
      <c r="L65" s="152" t="s">
        <v>159</v>
      </c>
      <c r="M65" s="152" t="s">
        <v>161</v>
      </c>
      <c r="N65" s="152" t="s">
        <v>162</v>
      </c>
      <c r="O65" s="166" t="s">
        <v>164</v>
      </c>
    </row>
    <row r="66" spans="2:15" ht="15" customHeight="1" thickBot="1">
      <c r="I66" s="167" t="s">
        <v>41</v>
      </c>
      <c r="J66" s="168"/>
      <c r="K66" s="169">
        <v>0</v>
      </c>
      <c r="L66" s="170">
        <v>1464.95</v>
      </c>
      <c r="M66" s="171">
        <v>1637.85</v>
      </c>
      <c r="N66" s="170">
        <v>516.5</v>
      </c>
      <c r="O66" s="172">
        <v>670.35</v>
      </c>
    </row>
    <row r="67" spans="2:15" ht="15" customHeight="1">
      <c r="B67" s="173" t="s">
        <v>61</v>
      </c>
      <c r="C67" s="174" t="s">
        <v>154</v>
      </c>
      <c r="D67" s="69">
        <v>30452836</v>
      </c>
      <c r="E67" s="175">
        <v>32621227</v>
      </c>
      <c r="F67" s="175">
        <v>66174092</v>
      </c>
      <c r="G67" s="70">
        <v>76541640</v>
      </c>
      <c r="I67" s="217" t="s">
        <v>158</v>
      </c>
      <c r="J67" s="176"/>
      <c r="K67" s="177">
        <v>0</v>
      </c>
      <c r="L67" s="178">
        <f>D49</f>
        <v>3.2</v>
      </c>
      <c r="M67" s="178">
        <f>E49</f>
        <v>9.09</v>
      </c>
      <c r="N67" s="178">
        <f>F49</f>
        <v>6.29</v>
      </c>
      <c r="O67" s="179">
        <f>G49</f>
        <v>10.28</v>
      </c>
    </row>
    <row r="68" spans="2:15" ht="15" customHeight="1">
      <c r="B68" s="157" t="s">
        <v>62</v>
      </c>
      <c r="C68" s="206" t="s">
        <v>154</v>
      </c>
      <c r="D68" s="180">
        <f>D67*L66/10^6</f>
        <v>44611.882098200003</v>
      </c>
      <c r="E68" s="180">
        <f t="shared" ref="E68:G68" si="3">E67*M66/10^6</f>
        <v>53428.676641949998</v>
      </c>
      <c r="F68" s="180">
        <f t="shared" si="3"/>
        <v>34178.918517999999</v>
      </c>
      <c r="G68" s="181">
        <f t="shared" si="3"/>
        <v>51309.688373999998</v>
      </c>
      <c r="I68" s="218" t="s">
        <v>43</v>
      </c>
      <c r="J68" s="182"/>
      <c r="K68" s="177">
        <v>0</v>
      </c>
      <c r="L68" s="183">
        <f>L6/(D67/10^6)</f>
        <v>216.12962418344222</v>
      </c>
      <c r="M68" s="183">
        <f>M6/(E67/10^6)</f>
        <v>319.209329557101</v>
      </c>
      <c r="N68" s="183">
        <f>N6/(F67/10^6)</f>
        <v>166.96715687462702</v>
      </c>
      <c r="O68" s="184">
        <f>O6/(G67/10^6)</f>
        <v>261.11277469361772</v>
      </c>
    </row>
    <row r="69" spans="2:15" ht="15" customHeight="1">
      <c r="B69" s="157" t="s">
        <v>65</v>
      </c>
      <c r="C69" s="180">
        <f>K11</f>
        <v>0</v>
      </c>
      <c r="D69" s="180">
        <f>L11</f>
        <v>0</v>
      </c>
      <c r="E69" s="180">
        <f>M11</f>
        <v>0</v>
      </c>
      <c r="F69" s="180">
        <f>N11</f>
        <v>304.2</v>
      </c>
      <c r="G69" s="181">
        <f>O11</f>
        <v>92.8</v>
      </c>
      <c r="I69" s="185" t="s">
        <v>44</v>
      </c>
      <c r="J69" s="186"/>
      <c r="K69" s="187"/>
      <c r="L69" s="187"/>
      <c r="M69" s="187"/>
      <c r="N69" s="187"/>
      <c r="O69" s="188"/>
    </row>
    <row r="70" spans="2:15" ht="15" customHeight="1">
      <c r="B70" s="157" t="s">
        <v>63</v>
      </c>
      <c r="C70" s="180">
        <f>K34+K35</f>
        <v>1867.04</v>
      </c>
      <c r="D70" s="180">
        <f>L34+L35</f>
        <v>3723.5200000000004</v>
      </c>
      <c r="E70" s="180">
        <f>M34+M35</f>
        <v>3228</v>
      </c>
      <c r="F70" s="180">
        <f>N34+N35</f>
        <v>3292.4</v>
      </c>
      <c r="G70" s="181">
        <f>O34+O35</f>
        <v>12097.099999999999</v>
      </c>
      <c r="I70" s="185" t="s">
        <v>45</v>
      </c>
      <c r="J70" s="186"/>
      <c r="K70" s="177">
        <v>0</v>
      </c>
      <c r="L70" s="189">
        <v>0</v>
      </c>
      <c r="M70" s="189">
        <f>(M66/M67)</f>
        <v>180.18151815181517</v>
      </c>
      <c r="N70" s="189">
        <f>(N66/N67)</f>
        <v>82.114467408585057</v>
      </c>
      <c r="O70" s="190">
        <f>(O66/O67)</f>
        <v>65.209143968871601</v>
      </c>
    </row>
    <row r="71" spans="2:15" ht="15" customHeight="1" thickBot="1">
      <c r="B71" s="191" t="s">
        <v>64</v>
      </c>
      <c r="C71" s="192" t="s">
        <v>154</v>
      </c>
      <c r="D71" s="163">
        <f>D68+D69-D70</f>
        <v>40888.362098199999</v>
      </c>
      <c r="E71" s="163">
        <f>E68+E69-E70</f>
        <v>50200.676641949998</v>
      </c>
      <c r="F71" s="163">
        <f>F68+F69-F70</f>
        <v>31190.718517999994</v>
      </c>
      <c r="G71" s="164">
        <f>G68+G69-G70</f>
        <v>39305.388374000002</v>
      </c>
      <c r="I71" s="185" t="s">
        <v>46</v>
      </c>
      <c r="J71" s="186"/>
      <c r="K71" s="177">
        <v>0</v>
      </c>
      <c r="L71" s="183">
        <f t="shared" ref="L71:N71" si="4">(L66/L68)</f>
        <v>6.7781083020651014</v>
      </c>
      <c r="M71" s="183">
        <f t="shared" si="4"/>
        <v>5.1309590552146345</v>
      </c>
      <c r="N71" s="183">
        <f t="shared" si="4"/>
        <v>3.0934227405443071</v>
      </c>
      <c r="O71" s="184">
        <f>(O66/O68)</f>
        <v>2.5672815157610329</v>
      </c>
    </row>
    <row r="72" spans="2:15" ht="15" customHeight="1">
      <c r="G72" s="75"/>
      <c r="I72" s="185" t="s">
        <v>47</v>
      </c>
      <c r="J72" s="186"/>
      <c r="K72" s="177">
        <v>0</v>
      </c>
      <c r="L72" s="183">
        <f>D71/D20</f>
        <v>100.70529062164414</v>
      </c>
      <c r="M72" s="183">
        <f>E71/E20</f>
        <v>58.440834274679858</v>
      </c>
      <c r="N72" s="183">
        <f>F71/F20</f>
        <v>30.823913942089145</v>
      </c>
      <c r="O72" s="184">
        <f>G71/G20</f>
        <v>39.459279564300836</v>
      </c>
    </row>
    <row r="73" spans="2:15" ht="15" customHeight="1">
      <c r="I73" s="193" t="s">
        <v>48</v>
      </c>
      <c r="J73" s="194"/>
      <c r="K73" s="195">
        <f>(C34/K6)</f>
        <v>-5.3437963386133963E-2</v>
      </c>
      <c r="L73" s="195">
        <f>(D34/L6)</f>
        <v>2.0632779074290231E-2</v>
      </c>
      <c r="M73" s="195">
        <f>(E34/M6)</f>
        <v>4.8689138576779027E-2</v>
      </c>
      <c r="N73" s="195">
        <f>(F34/N6)</f>
        <v>5.7363176424802417E-2</v>
      </c>
      <c r="O73" s="196">
        <f>(G34/O6)</f>
        <v>4.4761332933053073E-2</v>
      </c>
    </row>
    <row r="74" spans="2:15" ht="15" customHeight="1">
      <c r="I74" s="193" t="s">
        <v>49</v>
      </c>
      <c r="J74" s="194"/>
      <c r="K74" s="195">
        <f>(C20-C25)/K12</f>
        <v>-5.2788014516456427E-2</v>
      </c>
      <c r="L74" s="195">
        <f>(D20-D25)/L12</f>
        <v>6.3277294203577935E-3</v>
      </c>
      <c r="M74" s="195">
        <f>(E20-E25)/M12</f>
        <v>3.792350610495674E-2</v>
      </c>
      <c r="N74" s="195">
        <f>(F20-F25)/N12</f>
        <v>3.2205930747010836E-2</v>
      </c>
      <c r="O74" s="196">
        <f>(G20-G25)/O12</f>
        <v>1.3707783011930166E-2</v>
      </c>
    </row>
    <row r="75" spans="2:15" ht="15" customHeight="1">
      <c r="I75" s="185" t="s">
        <v>50</v>
      </c>
      <c r="J75" s="186"/>
      <c r="K75" s="197">
        <f>(K11/K6)</f>
        <v>0</v>
      </c>
      <c r="L75" s="197">
        <f>(L11/L6)</f>
        <v>0</v>
      </c>
      <c r="M75" s="197">
        <f>(M11/M6)</f>
        <v>0</v>
      </c>
      <c r="N75" s="197">
        <f>(N11/N6)</f>
        <v>2.7532152521970509E-2</v>
      </c>
      <c r="O75" s="198">
        <f>(O11/O6)</f>
        <v>4.643250275192635E-3</v>
      </c>
    </row>
    <row r="76" spans="2:15" ht="15" customHeight="1">
      <c r="I76" s="185" t="s">
        <v>51</v>
      </c>
      <c r="J76" s="186"/>
      <c r="K76" s="197">
        <f>(K11-K35-K34)/K6</f>
        <v>-0.37261284419049745</v>
      </c>
      <c r="L76" s="197">
        <f>(L11-L35-L34)/L6</f>
        <v>-0.56573317775184762</v>
      </c>
      <c r="M76" s="197">
        <f>(M11-M35-M34)/M6</f>
        <v>-0.30999711898588306</v>
      </c>
      <c r="N76" s="197">
        <f>(N11-N35-N34)/N6</f>
        <v>-0.27045226221614815</v>
      </c>
      <c r="O76" s="198">
        <f>(O11-O35-O34)/O6</f>
        <v>-0.60063544481136788</v>
      </c>
    </row>
    <row r="77" spans="2:15" ht="15" customHeight="1">
      <c r="I77" s="185" t="s">
        <v>52</v>
      </c>
      <c r="J77" s="186"/>
      <c r="K77" s="177">
        <v>0</v>
      </c>
      <c r="L77" s="199">
        <f>(L69/L66)</f>
        <v>0</v>
      </c>
      <c r="M77" s="199">
        <f>(M69/M66)</f>
        <v>0</v>
      </c>
      <c r="N77" s="199">
        <f>(N69/N66)</f>
        <v>0</v>
      </c>
      <c r="O77" s="200">
        <f>(O69/O66)</f>
        <v>0</v>
      </c>
    </row>
    <row r="78" spans="2:15" ht="15" customHeight="1">
      <c r="I78" s="185" t="s">
        <v>53</v>
      </c>
      <c r="J78" s="186"/>
      <c r="K78" s="183">
        <f>(AVERAGE(J33:K33)/C5*365)</f>
        <v>83.84371881426533</v>
      </c>
      <c r="L78" s="183">
        <f>(AVERAGE(K33:L33)/D5*365)</f>
        <v>54.913090287027728</v>
      </c>
      <c r="M78" s="183">
        <f t="shared" ref="M78:O78" si="5">(AVERAGE(L33:M33)/E5*365)</f>
        <v>44.989464371883543</v>
      </c>
      <c r="N78" s="183">
        <f t="shared" si="5"/>
        <v>45.289614305878899</v>
      </c>
      <c r="O78" s="184">
        <f t="shared" si="5"/>
        <v>73.908748286889008</v>
      </c>
    </row>
    <row r="79" spans="2:15" ht="15" customHeight="1">
      <c r="I79" s="185" t="s">
        <v>54</v>
      </c>
      <c r="J79" s="186"/>
      <c r="K79" s="183">
        <f>AVERAGE(J44:K45)/(C19)*365</f>
        <v>51.080863658686553</v>
      </c>
      <c r="L79" s="183">
        <f>AVERAGE(K44:L45)/(D19)*365</f>
        <v>29.405927757159613</v>
      </c>
      <c r="M79" s="183">
        <f t="shared" ref="M79:O79" si="6">AVERAGE(L44:M45)/(E19)*365</f>
        <v>19.400417599850691</v>
      </c>
      <c r="N79" s="183">
        <f t="shared" si="6"/>
        <v>22.873574250123756</v>
      </c>
      <c r="O79" s="184">
        <f t="shared" si="6"/>
        <v>38.504975112403358</v>
      </c>
    </row>
    <row r="80" spans="2:15" ht="15" customHeight="1">
      <c r="I80" s="185" t="s">
        <v>55</v>
      </c>
      <c r="J80" s="186"/>
      <c r="K80" s="177">
        <v>0</v>
      </c>
      <c r="L80" s="177">
        <v>0</v>
      </c>
      <c r="M80" s="183">
        <f>(AVERAGE(L30:M30)/(E19)*365)</f>
        <v>0.44279581933557299</v>
      </c>
      <c r="N80" s="183">
        <f t="shared" ref="N80:O80" si="7">(AVERAGE(M30:N30)/(F19)*365)</f>
        <v>4.7660961983370873</v>
      </c>
      <c r="O80" s="184">
        <f t="shared" si="7"/>
        <v>4.684307816727161</v>
      </c>
    </row>
    <row r="81" spans="9:15" ht="15" customHeight="1">
      <c r="I81" s="185" t="s">
        <v>68</v>
      </c>
      <c r="J81" s="186"/>
      <c r="K81" s="183">
        <f>(+K78-K79)</f>
        <v>32.762855155578777</v>
      </c>
      <c r="L81" s="183">
        <f>(+L78-L79)</f>
        <v>25.507162529868115</v>
      </c>
      <c r="M81" s="183">
        <f>(M80+M78-M79)</f>
        <v>26.031842591368424</v>
      </c>
      <c r="N81" s="183">
        <f>(N80+N78-N79)</f>
        <v>27.182136254092232</v>
      </c>
      <c r="O81" s="184">
        <f>(O80+O78-O79)</f>
        <v>40.088080991212806</v>
      </c>
    </row>
    <row r="82" spans="9:15" ht="15" customHeight="1">
      <c r="I82" s="185" t="s">
        <v>56</v>
      </c>
      <c r="J82" s="186"/>
      <c r="K82" s="183">
        <f>AVERAGE(J54:K54)/C5*365</f>
        <v>340.99788290526806</v>
      </c>
      <c r="L82" s="183">
        <f>AVERAGE(K54:L54)/D5*365</f>
        <v>280.82066106422843</v>
      </c>
      <c r="M82" s="183">
        <f t="shared" ref="M82:O82" si="8">AVERAGE(L54:M54)/E5*365</f>
        <v>355.18809313173557</v>
      </c>
      <c r="N82" s="183">
        <f t="shared" si="8"/>
        <v>235.08948048615051</v>
      </c>
      <c r="O82" s="184">
        <f t="shared" si="8"/>
        <v>349.16905330850051</v>
      </c>
    </row>
    <row r="83" spans="9:15" ht="15" customHeight="1">
      <c r="I83" s="157" t="s">
        <v>70</v>
      </c>
      <c r="J83" s="57"/>
      <c r="K83" s="177">
        <v>0</v>
      </c>
      <c r="L83" s="177">
        <v>0</v>
      </c>
      <c r="M83" s="177">
        <v>0</v>
      </c>
      <c r="N83" s="199">
        <f>F24/N11</f>
        <v>0.15516107823800132</v>
      </c>
      <c r="O83" s="200">
        <f>G24/O11</f>
        <v>0.73275862068965525</v>
      </c>
    </row>
    <row r="84" spans="9:15" ht="15" customHeight="1">
      <c r="I84" s="157" t="s">
        <v>109</v>
      </c>
      <c r="J84" s="57"/>
      <c r="K84" s="183">
        <f>C5/SUM(K15:K16)</f>
        <v>22.757355645457888</v>
      </c>
      <c r="L84" s="183">
        <f>D5/AVERAGE(SUM(L15:L16),SUM(M15:M16))</f>
        <v>78.555344171566929</v>
      </c>
      <c r="M84" s="183">
        <f t="shared" ref="M84:N84" si="9">E5/AVERAGE(SUM(M15:M16),SUM(N15:N16))</f>
        <v>55.188637372392364</v>
      </c>
      <c r="N84" s="183">
        <f t="shared" si="9"/>
        <v>57.49776021080369</v>
      </c>
      <c r="O84" s="184">
        <f>G5/AVERAGE(SUM(O15:O16),SUM(P15:P16))</f>
        <v>98.467128027681653</v>
      </c>
    </row>
    <row r="85" spans="9:15" ht="15" customHeight="1" thickBot="1">
      <c r="I85" s="191" t="s">
        <v>163</v>
      </c>
      <c r="J85" s="201"/>
      <c r="K85" s="202">
        <f>(C20-C25)/C24</f>
        <v>-25.85772029102667</v>
      </c>
      <c r="L85" s="202">
        <f t="shared" ref="L85:O85" si="10">(D20-D25)/D24</f>
        <v>12.800000000000111</v>
      </c>
      <c r="M85" s="202">
        <f t="shared" si="10"/>
        <v>78.166666666666671</v>
      </c>
      <c r="N85" s="202">
        <f t="shared" si="10"/>
        <v>9.3305084745762628</v>
      </c>
      <c r="O85" s="203">
        <f t="shared" si="10"/>
        <v>4.7970588235293903</v>
      </c>
    </row>
  </sheetData>
  <mergeCells count="3">
    <mergeCell ref="B2:G2"/>
    <mergeCell ref="I2:O2"/>
    <mergeCell ref="B1:O1"/>
  </mergeCells>
  <pageMargins left="0.7" right="0.7" top="0.75" bottom="0.75" header="0.3" footer="0.3"/>
  <ignoredErrors>
    <ignoredError sqref="C62:G62 K78:O79 L80:O80 K84 L84:O84" formulaRange="1"/>
    <ignoredError sqref="F27 L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0"/>
  <sheetViews>
    <sheetView zoomScale="80" zoomScaleNormal="80" workbookViewId="0">
      <selection activeCell="A13" sqref="A13"/>
    </sheetView>
  </sheetViews>
  <sheetFormatPr defaultColWidth="9.1796875" defaultRowHeight="11.5"/>
  <cols>
    <col min="1" max="1" width="101.453125" style="2" bestFit="1" customWidth="1"/>
    <col min="2" max="2" width="8.453125" style="2" hidden="1" customWidth="1"/>
    <col min="3" max="3" width="10.1796875" style="2" hidden="1" customWidth="1"/>
    <col min="4" max="4" width="11.1796875" style="2" hidden="1" customWidth="1"/>
    <col min="5" max="8" width="12.453125" style="2" bestFit="1" customWidth="1"/>
    <col min="9" max="9" width="11" style="2" customWidth="1"/>
    <col min="10" max="10" width="4.1796875" style="2" customWidth="1"/>
    <col min="11" max="11" width="45.1796875" style="2" bestFit="1" customWidth="1"/>
    <col min="12" max="12" width="13.81640625" style="2" hidden="1" customWidth="1"/>
    <col min="13" max="13" width="10.453125" style="2" hidden="1" customWidth="1"/>
    <col min="14" max="14" width="13.81640625" style="2" hidden="1" customWidth="1"/>
    <col min="15" max="15" width="11.54296875" style="2" customWidth="1"/>
    <col min="16" max="16" width="11.54296875" style="3" customWidth="1"/>
    <col min="17" max="18" width="11.54296875" style="2" customWidth="1"/>
    <col min="19" max="19" width="9.54296875" style="2" bestFit="1" customWidth="1"/>
    <col min="20" max="16384" width="9.1796875" style="2"/>
  </cols>
  <sheetData>
    <row r="1" spans="1:19" ht="14">
      <c r="A1" s="212" t="s">
        <v>153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9">
      <c r="A2" s="214" t="s">
        <v>75</v>
      </c>
      <c r="B2" s="214"/>
      <c r="C2" s="214"/>
      <c r="D2" s="214"/>
      <c r="E2" s="214"/>
      <c r="F2" s="214"/>
      <c r="G2" s="214"/>
      <c r="H2" s="214"/>
      <c r="I2" s="49"/>
      <c r="J2" s="19"/>
      <c r="K2" s="215" t="s">
        <v>74</v>
      </c>
      <c r="L2" s="216"/>
      <c r="M2" s="216"/>
      <c r="N2" s="216"/>
      <c r="O2" s="216"/>
      <c r="P2" s="216"/>
      <c r="Q2" s="216"/>
      <c r="R2" s="216"/>
    </row>
    <row r="3" spans="1:19" ht="14.5">
      <c r="A3" s="20" t="s">
        <v>149</v>
      </c>
      <c r="B3" s="17" t="s">
        <v>25</v>
      </c>
      <c r="C3" s="17" t="s">
        <v>26</v>
      </c>
      <c r="D3" s="17" t="s">
        <v>27</v>
      </c>
      <c r="E3" s="17" t="s">
        <v>28</v>
      </c>
      <c r="F3" s="17" t="s">
        <v>69</v>
      </c>
      <c r="G3" s="17" t="s">
        <v>76</v>
      </c>
      <c r="H3" s="17" t="s">
        <v>108</v>
      </c>
      <c r="I3" s="17" t="s">
        <v>110</v>
      </c>
      <c r="J3" s="19"/>
      <c r="K3" s="20" t="s">
        <v>0</v>
      </c>
      <c r="L3" s="4" t="s">
        <v>25</v>
      </c>
      <c r="M3" s="4" t="s">
        <v>26</v>
      </c>
      <c r="N3" s="4" t="s">
        <v>27</v>
      </c>
      <c r="O3" s="4" t="s">
        <v>28</v>
      </c>
      <c r="P3" s="5" t="s">
        <v>69</v>
      </c>
      <c r="Q3" s="4" t="s">
        <v>76</v>
      </c>
      <c r="R3" s="48" t="s">
        <v>108</v>
      </c>
    </row>
    <row r="4" spans="1:19">
      <c r="A4" s="20" t="s">
        <v>77</v>
      </c>
      <c r="B4" s="1"/>
      <c r="C4" s="1"/>
      <c r="D4" s="1"/>
      <c r="E4" s="1">
        <v>8398.86</v>
      </c>
      <c r="F4" s="1">
        <v>3946.92</v>
      </c>
      <c r="G4" s="1">
        <v>3943.56</v>
      </c>
      <c r="H4" s="1">
        <v>3424.26</v>
      </c>
      <c r="I4" s="1">
        <f>393.39+6.06</f>
        <v>399.45</v>
      </c>
      <c r="J4" s="22"/>
      <c r="K4" s="6" t="s">
        <v>78</v>
      </c>
      <c r="L4" s="6"/>
      <c r="M4" s="6"/>
      <c r="N4" s="6"/>
      <c r="O4" s="6">
        <v>111.69</v>
      </c>
      <c r="P4" s="6">
        <v>111.69</v>
      </c>
      <c r="Q4" s="6">
        <v>111.69</v>
      </c>
      <c r="R4" s="6">
        <v>111.69</v>
      </c>
    </row>
    <row r="5" spans="1:19">
      <c r="A5" s="6" t="s">
        <v>5</v>
      </c>
      <c r="B5" s="1"/>
      <c r="C5" s="1"/>
      <c r="D5" s="1"/>
      <c r="E5" s="1">
        <v>74.38</v>
      </c>
      <c r="F5" s="1">
        <v>45.7</v>
      </c>
      <c r="G5" s="1">
        <v>109.67</v>
      </c>
      <c r="H5" s="1">
        <v>43.37</v>
      </c>
      <c r="I5" s="1">
        <v>13.31</v>
      </c>
      <c r="K5" s="6" t="s">
        <v>79</v>
      </c>
      <c r="L5" s="6"/>
      <c r="M5" s="6"/>
      <c r="N5" s="6"/>
      <c r="O5" s="6">
        <v>2370.17</v>
      </c>
      <c r="P5" s="6">
        <v>2636.2</v>
      </c>
      <c r="Q5" s="6">
        <v>3194.8</v>
      </c>
      <c r="R5" s="6">
        <v>3465.32</v>
      </c>
    </row>
    <row r="6" spans="1:19">
      <c r="A6" s="25" t="s">
        <v>73</v>
      </c>
      <c r="B6" s="10">
        <f t="shared" ref="B6:I6" si="0">B4+B5</f>
        <v>0</v>
      </c>
      <c r="C6" s="10">
        <f t="shared" si="0"/>
        <v>0</v>
      </c>
      <c r="D6" s="10">
        <f t="shared" si="0"/>
        <v>0</v>
      </c>
      <c r="E6" s="10">
        <f t="shared" si="0"/>
        <v>8473.24</v>
      </c>
      <c r="F6" s="10">
        <f t="shared" si="0"/>
        <v>3992.62</v>
      </c>
      <c r="G6" s="10">
        <f t="shared" si="0"/>
        <v>4053.23</v>
      </c>
      <c r="H6" s="10">
        <f t="shared" si="0"/>
        <v>3467.63</v>
      </c>
      <c r="I6" s="10">
        <f t="shared" si="0"/>
        <v>412.76</v>
      </c>
      <c r="J6" s="46"/>
      <c r="K6" s="25" t="s">
        <v>29</v>
      </c>
      <c r="L6" s="10">
        <f t="shared" ref="L6:R6" si="1">(L4+L5)</f>
        <v>0</v>
      </c>
      <c r="M6" s="10">
        <f t="shared" si="1"/>
        <v>0</v>
      </c>
      <c r="N6" s="10">
        <f t="shared" si="1"/>
        <v>0</v>
      </c>
      <c r="O6" s="10">
        <f t="shared" si="1"/>
        <v>2481.86</v>
      </c>
      <c r="P6" s="10">
        <f t="shared" si="1"/>
        <v>2747.89</v>
      </c>
      <c r="Q6" s="10">
        <f t="shared" si="1"/>
        <v>3306.4900000000002</v>
      </c>
      <c r="R6" s="10">
        <f t="shared" si="1"/>
        <v>3577.01</v>
      </c>
      <c r="S6" s="30"/>
    </row>
    <row r="7" spans="1:19" ht="12">
      <c r="A7" s="26" t="s">
        <v>1</v>
      </c>
      <c r="B7" s="12"/>
      <c r="C7" s="12" t="e">
        <f t="shared" ref="C7:H7" si="2">(C6/B6-1)</f>
        <v>#DIV/0!</v>
      </c>
      <c r="D7" s="12" t="e">
        <f t="shared" si="2"/>
        <v>#DIV/0!</v>
      </c>
      <c r="E7" s="12" t="e">
        <f t="shared" si="2"/>
        <v>#DIV/0!</v>
      </c>
      <c r="F7" s="12">
        <f t="shared" si="2"/>
        <v>-0.52879654063852788</v>
      </c>
      <c r="G7" s="12">
        <f t="shared" si="2"/>
        <v>1.5180508037328844E-2</v>
      </c>
      <c r="H7" s="12">
        <f t="shared" si="2"/>
        <v>-0.14447736743288686</v>
      </c>
      <c r="I7" s="12"/>
      <c r="K7" s="6" t="s">
        <v>30</v>
      </c>
      <c r="L7" s="11"/>
      <c r="M7" s="11"/>
      <c r="N7" s="11"/>
      <c r="O7" s="11"/>
      <c r="P7" s="23"/>
      <c r="Q7" s="11"/>
      <c r="R7" s="11"/>
    </row>
    <row r="8" spans="1:19" ht="12">
      <c r="A8" s="26" t="s">
        <v>80</v>
      </c>
      <c r="B8" s="12"/>
      <c r="C8" s="12"/>
      <c r="D8" s="12"/>
      <c r="E8" s="12"/>
      <c r="F8" s="12" t="e">
        <f>+((F6/C6)^(1/3)-1)</f>
        <v>#DIV/0!</v>
      </c>
      <c r="G8" s="12" t="e">
        <f>+((G6/D6)^(1/3)-1)</f>
        <v>#DIV/0!</v>
      </c>
      <c r="H8" s="12">
        <f>+((H6/E6)^(1/3)-1)</f>
        <v>-0.2575604800214899</v>
      </c>
      <c r="I8" s="12"/>
      <c r="K8" s="6" t="s">
        <v>31</v>
      </c>
      <c r="L8" s="11"/>
      <c r="M8" s="11"/>
      <c r="N8" s="11"/>
      <c r="O8" s="11">
        <v>3125.95</v>
      </c>
      <c r="P8" s="11">
        <v>2392.42</v>
      </c>
      <c r="Q8" s="11">
        <v>701.58</v>
      </c>
      <c r="R8" s="11">
        <v>527.41999999999996</v>
      </c>
    </row>
    <row r="9" spans="1:19">
      <c r="A9" s="25" t="s">
        <v>2</v>
      </c>
      <c r="B9" s="10">
        <f t="shared" ref="B9:G9" si="3">SUM(B10:B15)</f>
        <v>0</v>
      </c>
      <c r="C9" s="10">
        <f t="shared" si="3"/>
        <v>0</v>
      </c>
      <c r="D9" s="10">
        <f t="shared" si="3"/>
        <v>0</v>
      </c>
      <c r="E9" s="10">
        <f t="shared" si="3"/>
        <v>7468.55</v>
      </c>
      <c r="F9" s="10">
        <f t="shared" si="3"/>
        <v>3141.44</v>
      </c>
      <c r="G9" s="10">
        <f t="shared" si="3"/>
        <v>2979.9</v>
      </c>
      <c r="H9" s="10">
        <f>SUM(H10:H15)</f>
        <v>2772.41</v>
      </c>
      <c r="I9" s="10">
        <f>SUM(I10:I15)</f>
        <v>365.29</v>
      </c>
      <c r="K9" s="6" t="s">
        <v>32</v>
      </c>
      <c r="L9" s="11"/>
      <c r="M9" s="11"/>
      <c r="N9" s="11"/>
      <c r="O9" s="6">
        <v>1587.85</v>
      </c>
      <c r="P9" s="6">
        <v>1462.57</v>
      </c>
      <c r="Q9" s="6">
        <v>200.44</v>
      </c>
      <c r="R9" s="6">
        <v>15.62</v>
      </c>
    </row>
    <row r="10" spans="1:19">
      <c r="A10" s="6" t="s">
        <v>81</v>
      </c>
      <c r="B10" s="11"/>
      <c r="C10" s="1"/>
      <c r="D10" s="1"/>
      <c r="E10" s="1">
        <v>2428.5300000000002</v>
      </c>
      <c r="F10" s="1">
        <v>1695.56</v>
      </c>
      <c r="G10" s="1">
        <v>1864.81</v>
      </c>
      <c r="H10" s="1">
        <v>1755.42</v>
      </c>
      <c r="I10" s="1">
        <v>207.41</v>
      </c>
      <c r="K10" s="25" t="s">
        <v>33</v>
      </c>
      <c r="L10" s="10">
        <f t="shared" ref="L10:R10" si="4">(L8+L9)</f>
        <v>0</v>
      </c>
      <c r="M10" s="10">
        <f t="shared" si="4"/>
        <v>0</v>
      </c>
      <c r="N10" s="10">
        <f t="shared" si="4"/>
        <v>0</v>
      </c>
      <c r="O10" s="10">
        <f t="shared" si="4"/>
        <v>4713.7999999999993</v>
      </c>
      <c r="P10" s="10">
        <f t="shared" si="4"/>
        <v>3854.99</v>
      </c>
      <c r="Q10" s="10">
        <f t="shared" si="4"/>
        <v>902.02</v>
      </c>
      <c r="R10" s="10">
        <f t="shared" si="4"/>
        <v>543.04</v>
      </c>
    </row>
    <row r="11" spans="1:19">
      <c r="A11" s="6" t="s">
        <v>82</v>
      </c>
      <c r="B11" s="11"/>
      <c r="C11" s="1"/>
      <c r="D11" s="1"/>
      <c r="E11" s="1">
        <v>0.68</v>
      </c>
      <c r="F11" s="1">
        <v>2.69</v>
      </c>
      <c r="G11" s="1">
        <v>11.72</v>
      </c>
      <c r="H11" s="1">
        <v>48.22</v>
      </c>
      <c r="I11" s="1">
        <v>2.99</v>
      </c>
      <c r="K11" s="25" t="s">
        <v>34</v>
      </c>
      <c r="L11" s="10">
        <f>(L6+L8+L7+L57+L53+L54)</f>
        <v>0</v>
      </c>
      <c r="M11" s="10">
        <f>(M6+M8+M7+M57+M53+M54)</f>
        <v>0</v>
      </c>
      <c r="N11" s="10">
        <f>(N6+N8+N7+N57+N53+N54)</f>
        <v>0</v>
      </c>
      <c r="O11" s="10">
        <f>(O6+O8+O7+O57+O53+O54)</f>
        <v>5688.5199999999995</v>
      </c>
      <c r="P11" s="10">
        <f>(P6+P8+P7+P57+P53+P54)</f>
        <v>5461.8799999999992</v>
      </c>
      <c r="Q11" s="10">
        <f>(Q6+Q8+Q7+Q57+Q53+Q54+Q55)</f>
        <v>4880.6100000000006</v>
      </c>
      <c r="R11" s="10">
        <f>(R6+R8+R7+R57+R53+R54+R55)</f>
        <v>4807.3600000000006</v>
      </c>
      <c r="S11" s="3"/>
    </row>
    <row r="12" spans="1:19">
      <c r="A12" s="6" t="s">
        <v>83</v>
      </c>
      <c r="B12" s="11"/>
      <c r="C12" s="1"/>
      <c r="D12" s="1"/>
      <c r="E12" s="1">
        <v>77.45</v>
      </c>
      <c r="F12" s="1">
        <v>-24.6</v>
      </c>
      <c r="G12" s="1">
        <v>-10.78</v>
      </c>
      <c r="H12" s="1">
        <v>-33.99</v>
      </c>
      <c r="I12" s="1">
        <v>-16.350000000000001</v>
      </c>
      <c r="K12" s="25" t="s">
        <v>34</v>
      </c>
      <c r="L12" s="10">
        <f t="shared" ref="L12:R12" si="5">L59-L44-L9</f>
        <v>0</v>
      </c>
      <c r="M12" s="10">
        <f t="shared" si="5"/>
        <v>0</v>
      </c>
      <c r="N12" s="10">
        <f t="shared" si="5"/>
        <v>0</v>
      </c>
      <c r="O12" s="10">
        <f t="shared" si="5"/>
        <v>5889.1899999999987</v>
      </c>
      <c r="P12" s="10">
        <f t="shared" si="5"/>
        <v>6275.4600000000019</v>
      </c>
      <c r="Q12" s="10">
        <f t="shared" si="5"/>
        <v>4935.7600000000011</v>
      </c>
      <c r="R12" s="10">
        <f t="shared" si="5"/>
        <v>4868.13</v>
      </c>
    </row>
    <row r="13" spans="1:19">
      <c r="A13" s="6" t="s">
        <v>57</v>
      </c>
      <c r="B13" s="11"/>
      <c r="C13" s="1"/>
      <c r="D13" s="1"/>
      <c r="E13" s="1">
        <v>637.16999999999996</v>
      </c>
      <c r="F13" s="1">
        <v>412.39</v>
      </c>
      <c r="G13" s="1">
        <v>266.70999999999998</v>
      </c>
      <c r="H13" s="1">
        <v>256.33</v>
      </c>
      <c r="I13" s="1">
        <v>58.27</v>
      </c>
      <c r="K13" s="6"/>
      <c r="L13" s="24"/>
      <c r="M13" s="24"/>
      <c r="N13" s="24"/>
      <c r="O13" s="24"/>
      <c r="P13" s="24"/>
      <c r="Q13" s="24"/>
      <c r="R13" s="24"/>
    </row>
    <row r="14" spans="1:19">
      <c r="A14" s="6" t="s">
        <v>59</v>
      </c>
      <c r="B14" s="11"/>
      <c r="C14" s="1"/>
      <c r="D14" s="1"/>
      <c r="E14" s="1">
        <v>3570.61</v>
      </c>
      <c r="F14" s="1">
        <v>1006.27</v>
      </c>
      <c r="G14" s="1">
        <v>847.44</v>
      </c>
      <c r="H14" s="1">
        <v>746.43</v>
      </c>
      <c r="I14" s="1">
        <f>6.85+57.14+4.05+44.93</f>
        <v>112.97</v>
      </c>
      <c r="L14" s="27"/>
      <c r="M14" s="27"/>
      <c r="N14" s="27"/>
      <c r="O14" s="27"/>
      <c r="P14" s="27"/>
      <c r="Q14" s="28"/>
      <c r="R14" s="28"/>
    </row>
    <row r="15" spans="1:19">
      <c r="A15" s="6" t="s">
        <v>84</v>
      </c>
      <c r="B15" s="11"/>
      <c r="C15" s="1"/>
      <c r="D15" s="1"/>
      <c r="E15" s="1">
        <v>754.11</v>
      </c>
      <c r="F15" s="1">
        <v>49.13</v>
      </c>
      <c r="G15" s="1"/>
      <c r="H15" s="1"/>
      <c r="I15" s="1"/>
      <c r="K15" s="6" t="s">
        <v>85</v>
      </c>
      <c r="L15" s="11"/>
      <c r="M15" s="11"/>
      <c r="N15" s="11"/>
      <c r="O15" s="24">
        <v>6202.17</v>
      </c>
      <c r="P15" s="24">
        <v>6115.39</v>
      </c>
      <c r="Q15" s="24">
        <v>3496.13</v>
      </c>
      <c r="R15" s="24">
        <v>3381.63</v>
      </c>
    </row>
    <row r="16" spans="1:19">
      <c r="A16" s="25" t="s">
        <v>3</v>
      </c>
      <c r="B16" s="10">
        <f>(B6-B9)</f>
        <v>0</v>
      </c>
      <c r="C16" s="10">
        <f>(C6-C9)</f>
        <v>0</v>
      </c>
      <c r="D16" s="10">
        <f>(D6-D9)</f>
        <v>0</v>
      </c>
      <c r="E16" s="10">
        <f>(E4-E9)</f>
        <v>930.3100000000004</v>
      </c>
      <c r="F16" s="10">
        <f>(F4-F9)</f>
        <v>805.48</v>
      </c>
      <c r="G16" s="10">
        <f>(G4-G9)</f>
        <v>963.65999999999985</v>
      </c>
      <c r="H16" s="10">
        <f>(H4-H9)</f>
        <v>651.85000000000036</v>
      </c>
      <c r="I16" s="10">
        <f>(I4-I9)</f>
        <v>34.159999999999968</v>
      </c>
      <c r="K16" s="6" t="s">
        <v>86</v>
      </c>
      <c r="L16" s="11"/>
      <c r="M16" s="11"/>
      <c r="N16" s="11"/>
      <c r="O16" s="24">
        <v>34.19</v>
      </c>
      <c r="P16" s="24">
        <v>34.270000000000003</v>
      </c>
      <c r="Q16" s="24">
        <v>43.72</v>
      </c>
      <c r="R16" s="24">
        <v>137.47</v>
      </c>
    </row>
    <row r="17" spans="1:19" ht="12">
      <c r="A17" s="26" t="s">
        <v>1</v>
      </c>
      <c r="B17" s="12"/>
      <c r="C17" s="12" t="e">
        <f t="shared" ref="C17:H17" si="6">(C16/B16-1)</f>
        <v>#DIV/0!</v>
      </c>
      <c r="D17" s="12" t="e">
        <f t="shared" si="6"/>
        <v>#DIV/0!</v>
      </c>
      <c r="E17" s="12" t="e">
        <f t="shared" si="6"/>
        <v>#DIV/0!</v>
      </c>
      <c r="F17" s="12">
        <f t="shared" si="6"/>
        <v>-0.13418107942513824</v>
      </c>
      <c r="G17" s="12">
        <f t="shared" si="6"/>
        <v>0.19637979838108932</v>
      </c>
      <c r="H17" s="12">
        <f t="shared" si="6"/>
        <v>-0.32356847850901727</v>
      </c>
      <c r="I17" s="12"/>
      <c r="K17" s="6" t="s">
        <v>113</v>
      </c>
      <c r="L17" s="11"/>
      <c r="M17" s="11"/>
      <c r="N17" s="11"/>
      <c r="O17" s="24">
        <v>980.37</v>
      </c>
      <c r="P17" s="24">
        <v>959.55</v>
      </c>
      <c r="Q17" s="24">
        <v>931.74</v>
      </c>
      <c r="R17" s="24">
        <v>897.43</v>
      </c>
    </row>
    <row r="18" spans="1:19" ht="12">
      <c r="A18" s="26" t="s">
        <v>80</v>
      </c>
      <c r="B18" s="12"/>
      <c r="C18" s="12"/>
      <c r="D18" s="12"/>
      <c r="E18" s="12"/>
      <c r="F18" s="12" t="e">
        <f>+((F16/C16)^(1/3)-1)</f>
        <v>#DIV/0!</v>
      </c>
      <c r="G18" s="12" t="e">
        <f>+((G16/D16)^(1/3)-1)</f>
        <v>#DIV/0!</v>
      </c>
      <c r="H18" s="12">
        <f>+((H16/E16)^(1/3)-1)</f>
        <v>-0.11180840276339354</v>
      </c>
      <c r="I18" s="12"/>
      <c r="K18" s="6" t="s">
        <v>114</v>
      </c>
      <c r="L18" s="11"/>
      <c r="M18" s="11"/>
      <c r="N18" s="11"/>
      <c r="O18" s="24">
        <v>124.11</v>
      </c>
      <c r="P18" s="24">
        <v>176.54</v>
      </c>
      <c r="Q18" s="24">
        <v>230.72</v>
      </c>
      <c r="R18" s="24">
        <v>36.4</v>
      </c>
      <c r="S18" s="3"/>
    </row>
    <row r="19" spans="1:19">
      <c r="A19" s="25" t="s">
        <v>4</v>
      </c>
      <c r="B19" s="29" t="e">
        <f t="shared" ref="B19:I19" si="7">(B16/B6)</f>
        <v>#DIV/0!</v>
      </c>
      <c r="C19" s="29" t="e">
        <f t="shared" si="7"/>
        <v>#DIV/0!</v>
      </c>
      <c r="D19" s="29" t="e">
        <f t="shared" si="7"/>
        <v>#DIV/0!</v>
      </c>
      <c r="E19" s="29">
        <f t="shared" si="7"/>
        <v>0.10979389230093806</v>
      </c>
      <c r="F19" s="29">
        <f t="shared" si="7"/>
        <v>0.20174221438554132</v>
      </c>
      <c r="G19" s="29">
        <f t="shared" si="7"/>
        <v>0.23775112687905692</v>
      </c>
      <c r="H19" s="29">
        <f t="shared" si="7"/>
        <v>0.18798141670247412</v>
      </c>
      <c r="I19" s="29">
        <f t="shared" si="7"/>
        <v>8.2759957360209246E-2</v>
      </c>
      <c r="K19" s="6" t="s">
        <v>115</v>
      </c>
      <c r="L19" s="11"/>
      <c r="M19" s="11"/>
      <c r="N19" s="11"/>
      <c r="O19" s="24">
        <v>2.75</v>
      </c>
      <c r="P19" s="24">
        <v>4.0599999999999996</v>
      </c>
      <c r="Q19" s="24">
        <v>2.56</v>
      </c>
      <c r="R19" s="24">
        <v>8.1999999999999993</v>
      </c>
    </row>
    <row r="20" spans="1:19">
      <c r="A20" s="6" t="s">
        <v>89</v>
      </c>
      <c r="B20" s="1"/>
      <c r="C20" s="1"/>
      <c r="D20" s="1"/>
      <c r="E20" s="1">
        <v>313.33999999999997</v>
      </c>
      <c r="F20" s="1">
        <v>199.31</v>
      </c>
      <c r="G20" s="1">
        <v>193</v>
      </c>
      <c r="H20" s="1">
        <v>227.76</v>
      </c>
      <c r="I20" s="1">
        <v>56.7</v>
      </c>
      <c r="K20" s="6" t="s">
        <v>116</v>
      </c>
      <c r="L20" s="11"/>
      <c r="M20" s="11"/>
      <c r="N20" s="11"/>
      <c r="O20" s="24">
        <v>0.1</v>
      </c>
      <c r="P20" s="24">
        <v>0.75</v>
      </c>
      <c r="Q20" s="24"/>
      <c r="R20" s="24"/>
    </row>
    <row r="21" spans="1:19">
      <c r="A21" s="6" t="s">
        <v>91</v>
      </c>
      <c r="B21" s="1"/>
      <c r="C21" s="1"/>
      <c r="D21" s="1"/>
      <c r="E21" s="1">
        <v>550.75</v>
      </c>
      <c r="F21" s="1">
        <v>211.81</v>
      </c>
      <c r="G21" s="1">
        <v>101.55</v>
      </c>
      <c r="H21" s="1">
        <v>93.13</v>
      </c>
      <c r="I21" s="1">
        <v>25.65</v>
      </c>
      <c r="J21" s="30"/>
      <c r="K21" s="6" t="s">
        <v>87</v>
      </c>
      <c r="L21" s="11"/>
      <c r="M21" s="11"/>
      <c r="N21" s="11"/>
      <c r="O21" s="24"/>
      <c r="P21" s="24"/>
      <c r="Q21" s="24"/>
      <c r="R21" s="24"/>
    </row>
    <row r="22" spans="1:19">
      <c r="A22" s="6" t="s">
        <v>92</v>
      </c>
      <c r="B22" s="1"/>
      <c r="C22" s="1"/>
      <c r="D22" s="1"/>
      <c r="E22" s="1"/>
      <c r="F22" s="1"/>
      <c r="G22" s="1"/>
      <c r="H22" s="1"/>
      <c r="I22" s="1"/>
      <c r="K22" s="6" t="s">
        <v>88</v>
      </c>
      <c r="L22" s="11"/>
      <c r="M22" s="11"/>
      <c r="N22" s="11"/>
      <c r="O22" s="24"/>
      <c r="P22" s="24"/>
      <c r="Q22" s="24"/>
      <c r="R22" s="24"/>
    </row>
    <row r="23" spans="1:19">
      <c r="A23" s="6" t="s">
        <v>94</v>
      </c>
      <c r="B23" s="1"/>
      <c r="C23" s="1"/>
      <c r="D23" s="1"/>
      <c r="E23" s="1"/>
      <c r="F23" s="1"/>
      <c r="G23" s="1"/>
      <c r="H23" s="1"/>
      <c r="I23" s="1"/>
      <c r="K23" s="6" t="s">
        <v>90</v>
      </c>
      <c r="L23" s="11"/>
      <c r="M23" s="11"/>
      <c r="N23" s="11"/>
      <c r="O23" s="24">
        <v>258.31</v>
      </c>
      <c r="P23" s="24">
        <v>223.41</v>
      </c>
      <c r="Q23" s="24">
        <v>265.39</v>
      </c>
      <c r="R23" s="24">
        <v>274.24</v>
      </c>
    </row>
    <row r="24" spans="1:19">
      <c r="A24" s="25" t="s">
        <v>6</v>
      </c>
      <c r="B24" s="10">
        <f>(B16-B20-B21+B22+B23)</f>
        <v>0</v>
      </c>
      <c r="C24" s="10">
        <f>(C16-C20-C21+C22+C23)</f>
        <v>0</v>
      </c>
      <c r="D24" s="10">
        <f>(D16-D20-D21+D22+D23)</f>
        <v>0</v>
      </c>
      <c r="E24" s="10">
        <f>(E16-E20-E21+E22+E23+E5)</f>
        <v>140.60000000000048</v>
      </c>
      <c r="F24" s="10">
        <f>(F16-F20-F21+F22+F23+F5)</f>
        <v>440.06000000000006</v>
      </c>
      <c r="G24" s="10">
        <f>(G16-G20-G21+G22+G23+G5)</f>
        <v>778.77999999999986</v>
      </c>
      <c r="H24" s="10">
        <f>(H16-H20-H21+H22+H23+H5)</f>
        <v>374.33000000000038</v>
      </c>
      <c r="I24" s="10">
        <f>(I16-I20-I21+I22+I23+I5)</f>
        <v>-34.880000000000031</v>
      </c>
      <c r="K24" s="6" t="s">
        <v>117</v>
      </c>
      <c r="L24" s="11"/>
      <c r="M24" s="11"/>
      <c r="N24" s="11"/>
      <c r="O24" s="24"/>
      <c r="P24" s="24"/>
      <c r="Q24" s="24">
        <v>6.92</v>
      </c>
      <c r="R24" s="24">
        <v>7.17</v>
      </c>
    </row>
    <row r="25" spans="1:19">
      <c r="A25" s="6" t="s">
        <v>127</v>
      </c>
      <c r="B25" s="6"/>
      <c r="C25" s="6"/>
      <c r="D25" s="6"/>
      <c r="E25" s="6"/>
      <c r="F25" s="6">
        <v>83.19</v>
      </c>
      <c r="G25" s="6">
        <v>174.58</v>
      </c>
      <c r="H25" s="6">
        <v>53.92</v>
      </c>
      <c r="I25" s="6"/>
      <c r="K25" s="6" t="s">
        <v>118</v>
      </c>
      <c r="L25" s="11"/>
      <c r="M25" s="11"/>
      <c r="N25" s="11"/>
      <c r="O25" s="24">
        <v>293.25</v>
      </c>
      <c r="P25" s="24">
        <v>256.33999999999997</v>
      </c>
      <c r="Q25" s="24">
        <v>7.88</v>
      </c>
      <c r="R25" s="24">
        <v>2.89</v>
      </c>
    </row>
    <row r="26" spans="1:19">
      <c r="A26" s="6" t="s">
        <v>128</v>
      </c>
      <c r="B26" s="6"/>
      <c r="C26" s="6"/>
      <c r="D26" s="6"/>
      <c r="E26" s="6"/>
      <c r="F26" s="6">
        <v>-83.19</v>
      </c>
      <c r="G26" s="6">
        <v>-174.58</v>
      </c>
      <c r="H26" s="6">
        <v>-53.92</v>
      </c>
      <c r="I26" s="6"/>
      <c r="K26" s="6" t="s">
        <v>93</v>
      </c>
      <c r="L26" s="11"/>
      <c r="M26" s="11"/>
      <c r="N26" s="11"/>
      <c r="O26" s="24"/>
      <c r="P26" s="24"/>
      <c r="Q26" s="24"/>
      <c r="R26" s="24"/>
    </row>
    <row r="27" spans="1:19">
      <c r="A27" s="6" t="s">
        <v>129</v>
      </c>
      <c r="B27" s="6"/>
      <c r="C27" s="6"/>
      <c r="D27" s="6"/>
      <c r="E27" s="6">
        <v>16.71</v>
      </c>
      <c r="F27" s="6">
        <v>160.56</v>
      </c>
      <c r="G27" s="6">
        <v>266.91000000000003</v>
      </c>
      <c r="H27" s="6">
        <v>-93.69</v>
      </c>
      <c r="I27" s="6">
        <v>-12.07</v>
      </c>
      <c r="K27" s="6" t="s">
        <v>95</v>
      </c>
      <c r="L27" s="11"/>
      <c r="M27" s="11"/>
      <c r="N27" s="11"/>
      <c r="O27" s="24"/>
      <c r="P27" s="24"/>
      <c r="Q27" s="24"/>
      <c r="R27" s="24"/>
    </row>
    <row r="28" spans="1:19">
      <c r="A28" s="6" t="s">
        <v>156</v>
      </c>
      <c r="B28" s="6"/>
      <c r="C28" s="6"/>
      <c r="D28" s="6"/>
      <c r="E28" s="6">
        <f>SUM(E25:E27)</f>
        <v>16.71</v>
      </c>
      <c r="F28" s="6">
        <f>SUM(F25:F27)</f>
        <v>160.56</v>
      </c>
      <c r="G28" s="6">
        <f>SUM(G25:G27)</f>
        <v>266.91000000000003</v>
      </c>
      <c r="H28" s="6">
        <f>SUM(H25:H27)</f>
        <v>-93.69</v>
      </c>
      <c r="I28" s="6"/>
      <c r="K28" s="6"/>
      <c r="L28" s="11"/>
      <c r="M28" s="11"/>
      <c r="N28" s="11"/>
      <c r="O28" s="24"/>
      <c r="P28" s="24"/>
      <c r="Q28" s="24"/>
      <c r="R28" s="24"/>
    </row>
    <row r="29" spans="1:19" ht="12">
      <c r="A29" s="26" t="s">
        <v>7</v>
      </c>
      <c r="B29" s="12">
        <v>0</v>
      </c>
      <c r="C29" s="12">
        <v>0</v>
      </c>
      <c r="D29" s="12" t="e">
        <f t="shared" ref="D29:I29" si="8">(D25/D24)</f>
        <v>#DIV/0!</v>
      </c>
      <c r="E29" s="12">
        <f t="shared" si="8"/>
        <v>0</v>
      </c>
      <c r="F29" s="12">
        <f t="shared" si="8"/>
        <v>0.18904240330863969</v>
      </c>
      <c r="G29" s="12">
        <f t="shared" si="8"/>
        <v>0.22417113947456282</v>
      </c>
      <c r="H29" s="12">
        <f t="shared" si="8"/>
        <v>0.14404402532524763</v>
      </c>
      <c r="I29" s="12">
        <f t="shared" si="8"/>
        <v>0</v>
      </c>
      <c r="K29" s="6" t="s">
        <v>107</v>
      </c>
      <c r="L29" s="11"/>
      <c r="M29" s="11"/>
      <c r="N29" s="11"/>
      <c r="O29" s="24"/>
      <c r="P29" s="24"/>
      <c r="Q29" s="24"/>
      <c r="R29" s="24">
        <v>64.56</v>
      </c>
    </row>
    <row r="30" spans="1:19">
      <c r="A30" s="25" t="s">
        <v>8</v>
      </c>
      <c r="B30" s="10">
        <f t="shared" ref="B30:I30" si="9">(B24-B25)</f>
        <v>0</v>
      </c>
      <c r="C30" s="10">
        <f t="shared" si="9"/>
        <v>0</v>
      </c>
      <c r="D30" s="10">
        <f t="shared" si="9"/>
        <v>0</v>
      </c>
      <c r="E30" s="10">
        <f>(E24-E28)</f>
        <v>123.89000000000047</v>
      </c>
      <c r="F30" s="10">
        <f>(F24-F28)</f>
        <v>279.50000000000006</v>
      </c>
      <c r="G30" s="10">
        <f>(G24-G28)</f>
        <v>511.86999999999983</v>
      </c>
      <c r="H30" s="10">
        <f>(H24-H28)</f>
        <v>468.02000000000038</v>
      </c>
      <c r="I30" s="10">
        <f t="shared" si="9"/>
        <v>-34.880000000000031</v>
      </c>
      <c r="K30" s="6" t="s">
        <v>119</v>
      </c>
      <c r="L30" s="11"/>
      <c r="M30" s="11"/>
      <c r="N30" s="11"/>
      <c r="O30" s="24">
        <v>64.87</v>
      </c>
      <c r="P30" s="24">
        <v>98.71</v>
      </c>
      <c r="Q30" s="24">
        <v>119.94</v>
      </c>
      <c r="R30" s="24">
        <v>190.06</v>
      </c>
    </row>
    <row r="31" spans="1:19">
      <c r="A31" s="25" t="s">
        <v>67</v>
      </c>
      <c r="B31" s="31">
        <v>0</v>
      </c>
      <c r="C31" s="31">
        <v>0</v>
      </c>
      <c r="D31" s="31" t="e">
        <f t="shared" ref="D31:I31" si="10">D30/D6</f>
        <v>#DIV/0!</v>
      </c>
      <c r="E31" s="31">
        <f t="shared" si="10"/>
        <v>1.4621325490603415E-2</v>
      </c>
      <c r="F31" s="31">
        <f t="shared" si="10"/>
        <v>7.0004157670902831E-2</v>
      </c>
      <c r="G31" s="31">
        <f t="shared" si="10"/>
        <v>0.12628693659131107</v>
      </c>
      <c r="H31" s="31">
        <f t="shared" si="10"/>
        <v>0.1349682636267423</v>
      </c>
      <c r="I31" s="31">
        <f t="shared" si="10"/>
        <v>-8.4504312433375403E-2</v>
      </c>
      <c r="K31" s="6" t="s">
        <v>95</v>
      </c>
      <c r="L31" s="11"/>
      <c r="M31" s="11"/>
      <c r="N31" s="11"/>
      <c r="O31" s="24">
        <v>121.77</v>
      </c>
      <c r="P31" s="24">
        <v>103.85</v>
      </c>
      <c r="Q31" s="24">
        <v>40.83</v>
      </c>
      <c r="R31" s="24">
        <v>50.9</v>
      </c>
    </row>
    <row r="32" spans="1:19" ht="12">
      <c r="A32" s="26" t="s">
        <v>80</v>
      </c>
      <c r="B32" s="31"/>
      <c r="C32" s="31"/>
      <c r="D32" s="31"/>
      <c r="E32" s="31"/>
      <c r="F32" s="31"/>
      <c r="G32" s="31"/>
      <c r="H32" s="12">
        <f>+((H30/E30)^(1/3)-1)</f>
        <v>0.55743304964398854</v>
      </c>
      <c r="I32" s="12"/>
      <c r="K32" s="25" t="s">
        <v>35</v>
      </c>
      <c r="L32" s="10">
        <f>SUM(L33:L42)</f>
        <v>0</v>
      </c>
      <c r="M32" s="10">
        <f>SUM(M33:M42)</f>
        <v>0</v>
      </c>
      <c r="N32" s="10">
        <f>SUM(N33:N42)</f>
        <v>0</v>
      </c>
      <c r="O32" s="10">
        <f>SUM(O33:O42)</f>
        <v>2254.4300000000003</v>
      </c>
      <c r="P32" s="10">
        <f>SUM(P33:P42)</f>
        <v>2358.46</v>
      </c>
      <c r="Q32" s="10">
        <f>SUM(Q33:Q43)</f>
        <v>1033.44</v>
      </c>
      <c r="R32" s="10">
        <f>SUM(R33:R43)</f>
        <v>1491.84</v>
      </c>
    </row>
    <row r="33" spans="1:18">
      <c r="A33" s="13" t="s">
        <v>130</v>
      </c>
      <c r="B33" s="13"/>
      <c r="C33" s="13"/>
      <c r="D33" s="13"/>
      <c r="E33" s="13"/>
      <c r="F33" s="13"/>
      <c r="G33" s="13"/>
      <c r="H33" s="13"/>
      <c r="I33" s="13"/>
      <c r="K33" s="11" t="s">
        <v>36</v>
      </c>
      <c r="L33" s="11"/>
      <c r="M33" s="11"/>
      <c r="N33" s="11"/>
      <c r="O33" s="11">
        <v>1264.5</v>
      </c>
      <c r="P33" s="11">
        <v>1178.55</v>
      </c>
      <c r="Q33" s="11">
        <v>627.6</v>
      </c>
      <c r="R33" s="11">
        <v>882.97</v>
      </c>
    </row>
    <row r="34" spans="1:18">
      <c r="A34" s="8" t="s">
        <v>131</v>
      </c>
      <c r="B34" s="8"/>
      <c r="C34" s="8"/>
      <c r="D34" s="8"/>
      <c r="E34" s="8">
        <v>-28.9</v>
      </c>
      <c r="F34" s="8">
        <v>167.72</v>
      </c>
      <c r="G34" s="8">
        <v>-46.56</v>
      </c>
      <c r="H34" s="8">
        <v>-27.13</v>
      </c>
      <c r="I34" s="8">
        <v>-6.22</v>
      </c>
      <c r="K34" s="11" t="s">
        <v>88</v>
      </c>
      <c r="L34" s="11"/>
      <c r="M34" s="11"/>
      <c r="N34" s="11"/>
      <c r="O34" s="11"/>
      <c r="P34" s="11"/>
      <c r="Q34" s="11"/>
      <c r="R34" s="11"/>
    </row>
    <row r="35" spans="1:18">
      <c r="A35" s="8" t="s">
        <v>132</v>
      </c>
      <c r="B35" s="8"/>
      <c r="C35" s="8"/>
      <c r="D35" s="8"/>
      <c r="E35" s="8"/>
      <c r="F35" s="8"/>
      <c r="G35" s="8">
        <v>5593.46</v>
      </c>
      <c r="H35" s="8"/>
      <c r="I35" s="8"/>
      <c r="K35" s="11" t="s">
        <v>96</v>
      </c>
      <c r="L35" s="11"/>
      <c r="M35" s="11"/>
      <c r="N35" s="11"/>
      <c r="O35" s="11"/>
      <c r="P35" s="11"/>
      <c r="Q35" s="11"/>
      <c r="R35" s="11"/>
    </row>
    <row r="36" spans="1:18">
      <c r="A36" s="8" t="s">
        <v>133</v>
      </c>
      <c r="B36" s="8"/>
      <c r="C36" s="8"/>
      <c r="D36" s="8"/>
      <c r="E36" s="8">
        <v>10</v>
      </c>
      <c r="F36" s="8">
        <v>-57.44</v>
      </c>
      <c r="G36" s="8">
        <v>16.79</v>
      </c>
      <c r="H36" s="8">
        <v>9.48</v>
      </c>
      <c r="I36" s="8">
        <v>2.15</v>
      </c>
      <c r="K36" s="11" t="s">
        <v>97</v>
      </c>
      <c r="L36" s="11"/>
      <c r="M36" s="11"/>
      <c r="N36" s="11"/>
      <c r="O36" s="11">
        <v>502.96</v>
      </c>
      <c r="P36" s="11">
        <v>421.47</v>
      </c>
      <c r="Q36" s="11">
        <v>203.86</v>
      </c>
      <c r="R36" s="11">
        <v>182.52</v>
      </c>
    </row>
    <row r="37" spans="1:18">
      <c r="A37" s="8" t="s">
        <v>150</v>
      </c>
      <c r="B37" s="8"/>
      <c r="C37" s="8"/>
      <c r="D37" s="8"/>
      <c r="E37" s="8"/>
      <c r="F37" s="8">
        <v>-18.12</v>
      </c>
      <c r="G37" s="8"/>
      <c r="H37" s="8"/>
      <c r="I37" s="8"/>
      <c r="K37" s="11" t="s">
        <v>98</v>
      </c>
      <c r="L37" s="11"/>
      <c r="M37" s="11"/>
      <c r="N37" s="11"/>
      <c r="O37" s="11">
        <v>39.24</v>
      </c>
      <c r="P37" s="11">
        <v>189.31</v>
      </c>
      <c r="Q37" s="11">
        <v>12.64</v>
      </c>
      <c r="R37" s="11">
        <v>45.06</v>
      </c>
    </row>
    <row r="38" spans="1:18">
      <c r="A38" s="13"/>
      <c r="B38" s="13"/>
      <c r="C38" s="13"/>
      <c r="D38" s="13"/>
      <c r="E38" s="13"/>
      <c r="F38" s="13"/>
      <c r="G38" s="13"/>
      <c r="H38" s="13"/>
      <c r="I38" s="13"/>
      <c r="K38" s="11" t="s">
        <v>99</v>
      </c>
      <c r="L38" s="11"/>
      <c r="M38" s="11"/>
      <c r="N38" s="11"/>
      <c r="O38" s="11">
        <v>49.97</v>
      </c>
      <c r="P38" s="11">
        <v>60.39</v>
      </c>
      <c r="Q38" s="11">
        <v>37.29</v>
      </c>
      <c r="R38" s="11">
        <v>60.65</v>
      </c>
    </row>
    <row r="39" spans="1:18">
      <c r="A39" s="13" t="s">
        <v>134</v>
      </c>
      <c r="B39" s="13"/>
      <c r="C39" s="13"/>
      <c r="D39" s="13"/>
      <c r="E39" s="13">
        <f>SUM(E34:E37)</f>
        <v>-18.899999999999999</v>
      </c>
      <c r="F39" s="13">
        <f>SUM(F34:F37)</f>
        <v>92.16</v>
      </c>
      <c r="G39" s="13">
        <f>SUM(G34:G37)</f>
        <v>5563.69</v>
      </c>
      <c r="H39" s="13">
        <f>SUM(H34:H37)</f>
        <v>-17.649999999999999</v>
      </c>
      <c r="I39" s="13">
        <f>SUM(I34:I37)</f>
        <v>-4.07</v>
      </c>
      <c r="K39" s="11" t="s">
        <v>100</v>
      </c>
      <c r="L39" s="11"/>
      <c r="M39" s="11"/>
      <c r="N39" s="11"/>
      <c r="O39" s="11"/>
      <c r="P39" s="11"/>
      <c r="Q39" s="11">
        <v>6.87</v>
      </c>
      <c r="R39" s="11">
        <v>181.17</v>
      </c>
    </row>
    <row r="40" spans="1:18">
      <c r="A40" s="13" t="s">
        <v>135</v>
      </c>
      <c r="B40" s="13"/>
      <c r="C40" s="13"/>
      <c r="D40" s="13"/>
      <c r="E40" s="13">
        <f>E30+E39</f>
        <v>104.99000000000046</v>
      </c>
      <c r="F40" s="13">
        <f>F30+F39</f>
        <v>371.66000000000008</v>
      </c>
      <c r="G40" s="13">
        <f>G30+G39</f>
        <v>6075.5599999999995</v>
      </c>
      <c r="H40" s="13">
        <f>H30+H39</f>
        <v>450.3700000000004</v>
      </c>
      <c r="I40" s="13">
        <f>I30+I39</f>
        <v>-38.950000000000031</v>
      </c>
      <c r="K40" s="11" t="s">
        <v>101</v>
      </c>
      <c r="L40" s="11"/>
      <c r="M40" s="11"/>
      <c r="N40" s="11"/>
      <c r="O40" s="11">
        <v>160.26</v>
      </c>
      <c r="P40" s="11">
        <v>205.82</v>
      </c>
      <c r="Q40" s="11">
        <v>26.04</v>
      </c>
      <c r="R40" s="11">
        <v>30.83</v>
      </c>
    </row>
    <row r="41" spans="1:18">
      <c r="A41" s="13" t="s">
        <v>136</v>
      </c>
      <c r="B41" s="13"/>
      <c r="C41" s="13"/>
      <c r="D41" s="13"/>
      <c r="E41" s="13"/>
      <c r="F41" s="13"/>
      <c r="G41" s="13"/>
      <c r="H41" s="13"/>
      <c r="I41" s="13"/>
      <c r="K41" s="11" t="s">
        <v>102</v>
      </c>
      <c r="L41" s="11"/>
      <c r="M41" s="11"/>
      <c r="N41" s="11"/>
      <c r="O41" s="11"/>
      <c r="P41" s="11"/>
      <c r="Q41" s="11"/>
      <c r="R41" s="11"/>
    </row>
    <row r="42" spans="1:18">
      <c r="A42" s="13" t="s">
        <v>137</v>
      </c>
      <c r="B42" s="13"/>
      <c r="C42" s="13"/>
      <c r="D42" s="13"/>
      <c r="E42" s="13">
        <f>SUM(E43:E44)</f>
        <v>0</v>
      </c>
      <c r="F42" s="13">
        <f>SUM(F43:F44)</f>
        <v>0</v>
      </c>
      <c r="G42" s="13">
        <f>SUM(G43:G44)</f>
        <v>-1.7000000000000002</v>
      </c>
      <c r="H42" s="13">
        <f>SUM(H43:H44)</f>
        <v>1.3</v>
      </c>
      <c r="I42" s="13">
        <v>48.3</v>
      </c>
      <c r="K42" s="11" t="s">
        <v>58</v>
      </c>
      <c r="L42" s="11"/>
      <c r="M42" s="11"/>
      <c r="N42" s="11"/>
      <c r="O42" s="11">
        <v>237.5</v>
      </c>
      <c r="P42" s="11">
        <v>302.92</v>
      </c>
      <c r="Q42" s="11">
        <v>116.91</v>
      </c>
      <c r="R42" s="11">
        <v>107.31</v>
      </c>
    </row>
    <row r="43" spans="1:18">
      <c r="A43" s="8" t="s">
        <v>138</v>
      </c>
      <c r="B43" s="8"/>
      <c r="C43" s="8"/>
      <c r="D43" s="8"/>
      <c r="E43" s="8"/>
      <c r="F43" s="8"/>
      <c r="G43" s="8">
        <v>-2.62</v>
      </c>
      <c r="H43" s="8">
        <v>2</v>
      </c>
      <c r="I43" s="8"/>
      <c r="K43" s="11" t="s">
        <v>120</v>
      </c>
      <c r="L43" s="11"/>
      <c r="M43" s="11"/>
      <c r="N43" s="11"/>
      <c r="O43" s="11"/>
      <c r="P43" s="11"/>
      <c r="Q43" s="11">
        <v>2.23</v>
      </c>
      <c r="R43" s="11">
        <v>1.33</v>
      </c>
    </row>
    <row r="44" spans="1:18">
      <c r="A44" s="8" t="s">
        <v>139</v>
      </c>
      <c r="B44" s="8"/>
      <c r="C44" s="8"/>
      <c r="D44" s="8"/>
      <c r="E44" s="8"/>
      <c r="F44" s="8"/>
      <c r="G44" s="8">
        <v>0.92</v>
      </c>
      <c r="H44" s="8">
        <v>-0.7</v>
      </c>
      <c r="I44" s="8"/>
      <c r="K44" s="25" t="s">
        <v>37</v>
      </c>
      <c r="L44" s="10">
        <f t="shared" ref="L44:R44" si="11">SUM(L45:L51)</f>
        <v>0</v>
      </c>
      <c r="M44" s="10">
        <f t="shared" si="11"/>
        <v>0</v>
      </c>
      <c r="N44" s="10">
        <f t="shared" si="11"/>
        <v>0</v>
      </c>
      <c r="O44" s="10">
        <f t="shared" si="11"/>
        <v>2859.28</v>
      </c>
      <c r="P44" s="10">
        <f t="shared" si="11"/>
        <v>2593.3000000000002</v>
      </c>
      <c r="Q44" s="10">
        <f t="shared" si="11"/>
        <v>1043.0700000000002</v>
      </c>
      <c r="R44" s="10">
        <f t="shared" si="11"/>
        <v>1659.04</v>
      </c>
    </row>
    <row r="45" spans="1:18">
      <c r="A45" s="13" t="s">
        <v>140</v>
      </c>
      <c r="B45" s="13"/>
      <c r="C45" s="13"/>
      <c r="D45" s="13"/>
      <c r="E45" s="13">
        <f>SUM(E46:E48)</f>
        <v>87.07</v>
      </c>
      <c r="F45" s="13">
        <f>SUM(F46:F48)</f>
        <v>-34.53</v>
      </c>
      <c r="G45" s="13">
        <f>SUM(G46:G48)</f>
        <v>-39.499999999999993</v>
      </c>
      <c r="H45" s="13">
        <f>SUM(H46:H48)</f>
        <v>-80.16</v>
      </c>
      <c r="I45" s="13">
        <v>0.62</v>
      </c>
      <c r="K45" s="11" t="s">
        <v>121</v>
      </c>
      <c r="L45" s="6"/>
      <c r="M45" s="6"/>
      <c r="N45" s="6"/>
      <c r="O45" s="6"/>
      <c r="P45" s="6"/>
      <c r="Q45" s="6"/>
      <c r="R45" s="6"/>
    </row>
    <row r="46" spans="1:18">
      <c r="A46" s="8" t="s">
        <v>141</v>
      </c>
      <c r="B46" s="8"/>
      <c r="C46" s="8"/>
      <c r="D46" s="8"/>
      <c r="E46" s="8">
        <v>9.34</v>
      </c>
      <c r="F46" s="8">
        <v>0.65</v>
      </c>
      <c r="G46" s="8">
        <v>1.56</v>
      </c>
      <c r="H46" s="8">
        <v>-6.15</v>
      </c>
      <c r="I46" s="8"/>
      <c r="K46" s="11" t="s">
        <v>122</v>
      </c>
      <c r="L46" s="6"/>
      <c r="M46" s="6"/>
      <c r="N46" s="6"/>
      <c r="O46" s="6"/>
      <c r="P46" s="6"/>
      <c r="Q46" s="6"/>
      <c r="R46" s="6"/>
    </row>
    <row r="47" spans="1:18">
      <c r="A47" s="8" t="s">
        <v>142</v>
      </c>
      <c r="B47" s="8"/>
      <c r="C47" s="8"/>
      <c r="D47" s="8"/>
      <c r="E47" s="8">
        <v>80.959999999999994</v>
      </c>
      <c r="F47" s="8">
        <v>-34.950000000000003</v>
      </c>
      <c r="G47" s="8">
        <v>-40.51</v>
      </c>
      <c r="H47" s="8">
        <v>-76.16</v>
      </c>
      <c r="I47" s="8"/>
      <c r="K47" s="11" t="s">
        <v>123</v>
      </c>
      <c r="L47" s="6"/>
      <c r="M47" s="6"/>
      <c r="N47" s="6"/>
      <c r="O47" s="6"/>
      <c r="P47" s="6"/>
      <c r="Q47" s="6"/>
      <c r="R47" s="6">
        <v>1.95</v>
      </c>
    </row>
    <row r="48" spans="1:18">
      <c r="A48" s="8" t="s">
        <v>143</v>
      </c>
      <c r="B48" s="8"/>
      <c r="C48" s="8"/>
      <c r="D48" s="8"/>
      <c r="E48" s="8">
        <v>-3.23</v>
      </c>
      <c r="F48" s="8">
        <v>-0.23</v>
      </c>
      <c r="G48" s="8">
        <v>-0.55000000000000004</v>
      </c>
      <c r="H48" s="8">
        <v>2.15</v>
      </c>
      <c r="I48" s="8">
        <v>-0.21</v>
      </c>
      <c r="K48" s="11" t="s">
        <v>124</v>
      </c>
      <c r="L48" s="6"/>
      <c r="M48" s="6"/>
      <c r="N48" s="6"/>
      <c r="O48" s="6">
        <v>705.82</v>
      </c>
      <c r="P48" s="6">
        <f>678.06+3.74</f>
        <v>681.8</v>
      </c>
      <c r="Q48" s="6">
        <f>6.7+506.31</f>
        <v>513.01</v>
      </c>
      <c r="R48" s="6">
        <f>8.87+431.28</f>
        <v>440.15</v>
      </c>
    </row>
    <row r="49" spans="1:18">
      <c r="A49" s="13" t="s">
        <v>144</v>
      </c>
      <c r="B49" s="13"/>
      <c r="C49" s="13"/>
      <c r="D49" s="13"/>
      <c r="E49" s="13">
        <f>SUM(E50:E51)</f>
        <v>0</v>
      </c>
      <c r="F49" s="13">
        <f>SUM(F50:F51)</f>
        <v>2.8499999999999996</v>
      </c>
      <c r="G49" s="13">
        <f>SUM(G50:G51)</f>
        <v>0.11</v>
      </c>
      <c r="H49" s="13">
        <f>SUM(H50:H51)</f>
        <v>0</v>
      </c>
      <c r="I49" s="13"/>
      <c r="K49" s="11" t="s">
        <v>125</v>
      </c>
      <c r="L49" s="6"/>
      <c r="M49" s="6"/>
      <c r="N49" s="6"/>
      <c r="O49" s="6">
        <v>1490.11</v>
      </c>
      <c r="P49" s="6">
        <v>1182.0899999999999</v>
      </c>
      <c r="Q49" s="6">
        <v>260.17</v>
      </c>
      <c r="R49" s="6">
        <v>943.47</v>
      </c>
    </row>
    <row r="50" spans="1:18">
      <c r="A50" s="8" t="s">
        <v>141</v>
      </c>
      <c r="B50" s="8"/>
      <c r="C50" s="8"/>
      <c r="D50" s="8"/>
      <c r="E50" s="8"/>
      <c r="F50" s="8">
        <v>4.42</v>
      </c>
      <c r="G50" s="8">
        <v>0.16</v>
      </c>
      <c r="H50" s="8"/>
      <c r="I50" s="8"/>
      <c r="K50" s="11" t="s">
        <v>103</v>
      </c>
      <c r="L50" s="6"/>
      <c r="M50" s="6"/>
      <c r="N50" s="6"/>
      <c r="O50" s="6">
        <v>445.82</v>
      </c>
      <c r="P50" s="6">
        <v>418.24</v>
      </c>
      <c r="Q50" s="6">
        <v>175.6</v>
      </c>
      <c r="R50" s="6">
        <v>180.59</v>
      </c>
    </row>
    <row r="51" spans="1:18">
      <c r="A51" s="8" t="s">
        <v>139</v>
      </c>
      <c r="B51" s="8"/>
      <c r="C51" s="8"/>
      <c r="D51" s="8"/>
      <c r="E51" s="8"/>
      <c r="F51" s="8">
        <v>-1.57</v>
      </c>
      <c r="G51" s="8">
        <v>-0.05</v>
      </c>
      <c r="H51" s="8"/>
      <c r="I51" s="8"/>
      <c r="K51" s="11" t="s">
        <v>126</v>
      </c>
      <c r="L51" s="6"/>
      <c r="M51" s="6"/>
      <c r="N51" s="6"/>
      <c r="O51" s="6">
        <v>217.53</v>
      </c>
      <c r="P51" s="6">
        <v>311.17</v>
      </c>
      <c r="Q51" s="6">
        <v>94.29</v>
      </c>
      <c r="R51" s="6">
        <v>92.88</v>
      </c>
    </row>
    <row r="52" spans="1:18">
      <c r="A52" s="13" t="s">
        <v>145</v>
      </c>
      <c r="B52" s="13"/>
      <c r="C52" s="13"/>
      <c r="D52" s="13"/>
      <c r="E52" s="13">
        <f>E42+E45+E49</f>
        <v>87.07</v>
      </c>
      <c r="F52" s="13">
        <f>F42+F45+F49</f>
        <v>-31.68</v>
      </c>
      <c r="G52" s="13">
        <f>G42+G45+G49</f>
        <v>-41.089999999999996</v>
      </c>
      <c r="H52" s="13">
        <f>H42+H45+H49</f>
        <v>-78.86</v>
      </c>
      <c r="I52" s="13">
        <v>48.71</v>
      </c>
      <c r="K52" s="25" t="s">
        <v>38</v>
      </c>
      <c r="L52" s="10">
        <f t="shared" ref="L52:R52" si="12">(L32-L44-L9)</f>
        <v>0</v>
      </c>
      <c r="M52" s="10">
        <f t="shared" si="12"/>
        <v>0</v>
      </c>
      <c r="N52" s="10">
        <f t="shared" si="12"/>
        <v>0</v>
      </c>
      <c r="O52" s="10">
        <f t="shared" si="12"/>
        <v>-2192.6999999999998</v>
      </c>
      <c r="P52" s="10">
        <f t="shared" si="12"/>
        <v>-1697.41</v>
      </c>
      <c r="Q52" s="10">
        <f t="shared" si="12"/>
        <v>-210.07000000000011</v>
      </c>
      <c r="R52" s="10">
        <f t="shared" si="12"/>
        <v>-182.82000000000005</v>
      </c>
    </row>
    <row r="53" spans="1:18">
      <c r="A53" s="13" t="s">
        <v>146</v>
      </c>
      <c r="B53" s="13"/>
      <c r="C53" s="13"/>
      <c r="D53" s="13"/>
      <c r="E53" s="13">
        <f>E40+E52</f>
        <v>192.06000000000046</v>
      </c>
      <c r="F53" s="13">
        <f>F40+F52</f>
        <v>339.98000000000008</v>
      </c>
      <c r="G53" s="13">
        <f>G40+G52</f>
        <v>6034.4699999999993</v>
      </c>
      <c r="H53" s="13">
        <f>H40+H52</f>
        <v>371.51000000000039</v>
      </c>
      <c r="I53" s="13">
        <v>21.83</v>
      </c>
      <c r="K53" s="6" t="s">
        <v>104</v>
      </c>
      <c r="L53" s="11"/>
      <c r="M53" s="11"/>
      <c r="N53" s="11"/>
      <c r="O53" s="11"/>
      <c r="P53" s="11">
        <v>6.73</v>
      </c>
      <c r="Q53" s="11"/>
      <c r="R53" s="11"/>
    </row>
    <row r="54" spans="1:18">
      <c r="A54" s="1" t="s">
        <v>9</v>
      </c>
      <c r="B54" s="1"/>
      <c r="C54" s="1"/>
      <c r="D54" s="1"/>
      <c r="E54" s="1"/>
      <c r="F54" s="1"/>
      <c r="G54" s="1"/>
      <c r="H54" s="1"/>
      <c r="I54" s="1"/>
      <c r="K54" s="6" t="s">
        <v>105</v>
      </c>
      <c r="L54" s="11"/>
      <c r="M54" s="11"/>
      <c r="N54" s="11"/>
      <c r="O54" s="11">
        <v>80.709999999999994</v>
      </c>
      <c r="P54" s="11">
        <v>217.32</v>
      </c>
      <c r="Q54" s="11">
        <v>93.99</v>
      </c>
      <c r="R54" s="11"/>
    </row>
    <row r="55" spans="1:18">
      <c r="A55" s="1" t="s">
        <v>147</v>
      </c>
      <c r="B55" s="1"/>
      <c r="C55" s="1"/>
      <c r="D55" s="1"/>
      <c r="E55" s="1">
        <v>11.09</v>
      </c>
      <c r="F55" s="1">
        <v>25.03</v>
      </c>
      <c r="G55" s="1">
        <v>45.83</v>
      </c>
      <c r="H55" s="1">
        <v>41.9</v>
      </c>
      <c r="I55" s="1"/>
      <c r="K55" s="6" t="s">
        <v>112</v>
      </c>
      <c r="L55" s="11"/>
      <c r="M55" s="11"/>
      <c r="N55" s="11"/>
      <c r="O55" s="11">
        <v>156.11000000000001</v>
      </c>
      <c r="P55" s="11">
        <v>813.58</v>
      </c>
      <c r="Q55" s="11">
        <v>686.72</v>
      </c>
      <c r="R55" s="11">
        <v>615.77</v>
      </c>
    </row>
    <row r="56" spans="1:18">
      <c r="A56" s="1" t="s">
        <v>148</v>
      </c>
      <c r="B56" s="1"/>
      <c r="C56" s="1"/>
      <c r="D56" s="1"/>
      <c r="E56" s="1">
        <v>-1.69</v>
      </c>
      <c r="F56" s="1">
        <v>8.25</v>
      </c>
      <c r="G56" s="1">
        <v>498.14</v>
      </c>
      <c r="H56" s="1">
        <v>-1.58</v>
      </c>
      <c r="I56" s="1"/>
      <c r="K56" s="6" t="s">
        <v>155</v>
      </c>
      <c r="L56" s="11"/>
      <c r="M56" s="11"/>
      <c r="N56" s="11"/>
      <c r="O56" s="11"/>
      <c r="P56" s="11"/>
      <c r="Q56" s="11">
        <v>42.95</v>
      </c>
      <c r="R56" s="11">
        <v>45.33</v>
      </c>
    </row>
    <row r="57" spans="1:18">
      <c r="A57" s="1" t="s">
        <v>151</v>
      </c>
      <c r="B57" s="1"/>
      <c r="C57" s="1"/>
      <c r="D57" s="1"/>
      <c r="E57" s="1">
        <v>9.4</v>
      </c>
      <c r="F57" s="1">
        <v>33.28</v>
      </c>
      <c r="G57" s="1">
        <v>543.97</v>
      </c>
      <c r="H57" s="1">
        <v>40.32</v>
      </c>
      <c r="I57" s="1"/>
      <c r="K57" s="6" t="s">
        <v>106</v>
      </c>
      <c r="L57" s="11"/>
      <c r="M57" s="11"/>
      <c r="N57" s="11"/>
      <c r="O57" s="11"/>
      <c r="P57" s="11">
        <v>97.52</v>
      </c>
      <c r="Q57" s="11">
        <v>91.83</v>
      </c>
      <c r="R57" s="11">
        <v>87.16</v>
      </c>
    </row>
    <row r="58" spans="1:18">
      <c r="K58" s="6" t="s">
        <v>111</v>
      </c>
      <c r="L58" s="9"/>
      <c r="M58" s="9"/>
      <c r="N58" s="9"/>
      <c r="O58" s="11">
        <v>44.56</v>
      </c>
      <c r="P58" s="11"/>
      <c r="Q58" s="11">
        <v>12.2</v>
      </c>
      <c r="R58" s="11">
        <v>15.44</v>
      </c>
    </row>
    <row r="59" spans="1:18">
      <c r="K59" s="25" t="s">
        <v>71</v>
      </c>
      <c r="L59" s="10">
        <f>SUM(L15:L24)+L32</f>
        <v>0</v>
      </c>
      <c r="M59" s="10">
        <f>SUM(M15:M24)+M32</f>
        <v>0</v>
      </c>
      <c r="N59" s="10">
        <f>SUM(N15:N24)+N32</f>
        <v>0</v>
      </c>
      <c r="O59" s="10">
        <f>SUM(O15:O31)+O32</f>
        <v>10336.32</v>
      </c>
      <c r="P59" s="10">
        <f>SUM(P15:P31)+P32</f>
        <v>10331.330000000002</v>
      </c>
      <c r="Q59" s="10">
        <f>SUM(Q15:Q31)+Q32</f>
        <v>6179.27</v>
      </c>
      <c r="R59" s="10">
        <f>SUM(R15:R31)+R32</f>
        <v>6542.79</v>
      </c>
    </row>
    <row r="60" spans="1:18">
      <c r="A60" s="19" t="s">
        <v>10</v>
      </c>
      <c r="K60" s="25" t="s">
        <v>72</v>
      </c>
      <c r="L60" s="10">
        <f>L57+L44+L10+L6+L53+L58+L54</f>
        <v>0</v>
      </c>
      <c r="M60" s="10">
        <f>M57+M44+M10+M6+M53+M58+M54</f>
        <v>0</v>
      </c>
      <c r="N60" s="10">
        <f>N57+N44+N10+N6+N53+N58+N54</f>
        <v>0</v>
      </c>
      <c r="O60" s="10">
        <f>O57+O44+O10+O6+O53+O58+O54+O55</f>
        <v>10336.32</v>
      </c>
      <c r="P60" s="10">
        <f>P57+P44+P10+P6+P53+P58+P54+P55</f>
        <v>10331.329999999998</v>
      </c>
      <c r="Q60" s="10">
        <f>Q57+Q44+Q10+Q6+Q53+Q58+Q54+Q55+Q56</f>
        <v>6179.2699999999995</v>
      </c>
      <c r="R60" s="10">
        <f>R57+R44+R10+R6+R53+R58+R54+R55+R56</f>
        <v>6542.7899999999991</v>
      </c>
    </row>
    <row r="61" spans="1:18">
      <c r="A61" s="20" t="s">
        <v>0</v>
      </c>
      <c r="B61" s="17" t="s">
        <v>25</v>
      </c>
      <c r="C61" s="17" t="s">
        <v>26</v>
      </c>
      <c r="D61" s="17" t="s">
        <v>27</v>
      </c>
      <c r="E61" s="17" t="s">
        <v>28</v>
      </c>
      <c r="F61" s="17" t="s">
        <v>69</v>
      </c>
      <c r="G61" s="17" t="s">
        <v>76</v>
      </c>
      <c r="H61" s="17" t="s">
        <v>108</v>
      </c>
      <c r="I61" s="33"/>
      <c r="P61" s="2"/>
    </row>
    <row r="62" spans="1:18" ht="12">
      <c r="A62" s="20" t="s">
        <v>11</v>
      </c>
      <c r="B62" s="9"/>
      <c r="C62" s="9"/>
      <c r="D62" s="1"/>
      <c r="E62" s="1"/>
      <c r="F62" s="1">
        <v>-41.47</v>
      </c>
      <c r="G62" s="1">
        <f>F73</f>
        <v>-1990.13</v>
      </c>
      <c r="H62" s="1">
        <f>G73</f>
        <v>-885.43000000000006</v>
      </c>
      <c r="I62" s="12"/>
      <c r="K62" s="19" t="s">
        <v>39</v>
      </c>
    </row>
    <row r="63" spans="1:18">
      <c r="A63" s="20"/>
      <c r="B63" s="9"/>
      <c r="C63" s="11"/>
      <c r="D63" s="1"/>
      <c r="E63" s="1"/>
      <c r="F63" s="1"/>
      <c r="G63" s="1"/>
      <c r="H63" s="1"/>
      <c r="K63" s="20" t="s">
        <v>40</v>
      </c>
      <c r="L63" s="4" t="s">
        <v>25</v>
      </c>
      <c r="M63" s="4" t="s">
        <v>26</v>
      </c>
      <c r="N63" s="4" t="s">
        <v>27</v>
      </c>
      <c r="O63" s="4" t="s">
        <v>28</v>
      </c>
      <c r="P63" s="4" t="s">
        <v>69</v>
      </c>
      <c r="Q63" s="17" t="s">
        <v>76</v>
      </c>
      <c r="R63" s="17" t="s">
        <v>108</v>
      </c>
    </row>
    <row r="64" spans="1:18">
      <c r="A64" s="20"/>
      <c r="B64" s="9"/>
      <c r="C64" s="11"/>
      <c r="D64" s="1"/>
      <c r="E64" s="1"/>
      <c r="F64" s="1"/>
      <c r="G64" s="1"/>
      <c r="H64" s="1"/>
      <c r="K64" s="37" t="s">
        <v>41</v>
      </c>
      <c r="L64" s="38"/>
      <c r="M64" s="38"/>
      <c r="N64" s="38"/>
      <c r="O64" s="38"/>
      <c r="P64" s="38"/>
      <c r="Q64" s="38"/>
      <c r="R64" s="38"/>
    </row>
    <row r="65" spans="1:18">
      <c r="A65" s="20"/>
      <c r="B65" s="9"/>
      <c r="C65" s="11"/>
      <c r="D65" s="1"/>
      <c r="E65" s="1"/>
      <c r="F65" s="1"/>
      <c r="G65" s="1"/>
      <c r="H65" s="1"/>
      <c r="K65" s="32" t="s">
        <v>42</v>
      </c>
      <c r="L65" s="39">
        <f t="shared" ref="L65:R65" si="13">B54</f>
        <v>0</v>
      </c>
      <c r="M65" s="39">
        <f t="shared" si="13"/>
        <v>0</v>
      </c>
      <c r="N65" s="39">
        <f t="shared" si="13"/>
        <v>0</v>
      </c>
      <c r="O65" s="39">
        <f t="shared" si="13"/>
        <v>0</v>
      </c>
      <c r="P65" s="39">
        <f t="shared" si="13"/>
        <v>0</v>
      </c>
      <c r="Q65" s="39">
        <f t="shared" si="13"/>
        <v>0</v>
      </c>
      <c r="R65" s="39">
        <f t="shared" si="13"/>
        <v>0</v>
      </c>
    </row>
    <row r="66" spans="1:18">
      <c r="A66" s="20" t="s">
        <v>12</v>
      </c>
      <c r="B66" s="21"/>
      <c r="C66" s="11"/>
      <c r="D66" s="1"/>
      <c r="E66" s="1">
        <v>940.03</v>
      </c>
      <c r="F66" s="1">
        <v>2209.0500000000002</v>
      </c>
      <c r="G66" s="1">
        <v>624.30999999999995</v>
      </c>
      <c r="H66" s="1">
        <v>400.6</v>
      </c>
      <c r="I66" s="52"/>
      <c r="J66" s="19"/>
      <c r="K66" s="40" t="s">
        <v>43</v>
      </c>
      <c r="L66" s="41">
        <v>0</v>
      </c>
      <c r="M66" s="41">
        <v>0</v>
      </c>
      <c r="N66" s="41" t="e">
        <f>(N6*1000000)/D86</f>
        <v>#DIV/0!</v>
      </c>
      <c r="O66" s="41" t="e">
        <f>(O6*1000000)/E86</f>
        <v>#REF!</v>
      </c>
      <c r="P66" s="41" t="e">
        <f>(P6*1000000)/F86</f>
        <v>#REF!</v>
      </c>
      <c r="Q66" s="41" t="e">
        <f>(Q6*1000000)/G86</f>
        <v>#REF!</v>
      </c>
      <c r="R66" s="41" t="e">
        <f>(R6*1000000)/H86</f>
        <v>#REF!</v>
      </c>
    </row>
    <row r="67" spans="1:18">
      <c r="A67" s="6" t="s">
        <v>66</v>
      </c>
      <c r="B67" s="11"/>
      <c r="C67" s="11"/>
      <c r="D67" s="1"/>
      <c r="E67" s="1">
        <v>-247</v>
      </c>
      <c r="F67" s="1">
        <v>-194.96</v>
      </c>
      <c r="G67" s="1">
        <v>-208.11</v>
      </c>
      <c r="H67" s="1">
        <v>-486.97</v>
      </c>
      <c r="I67" s="52"/>
      <c r="J67" s="19"/>
      <c r="K67" s="1" t="s">
        <v>44</v>
      </c>
      <c r="L67" s="8"/>
      <c r="M67" s="8"/>
      <c r="N67" s="8">
        <v>0</v>
      </c>
      <c r="O67" s="8">
        <v>0</v>
      </c>
      <c r="P67" s="8">
        <v>0</v>
      </c>
      <c r="Q67" s="8"/>
      <c r="R67" s="8"/>
    </row>
    <row r="68" spans="1:18">
      <c r="A68" s="6" t="s">
        <v>13</v>
      </c>
      <c r="B68" s="11"/>
      <c r="C68" s="11"/>
      <c r="D68" s="1"/>
      <c r="E68" s="1">
        <v>-175.17</v>
      </c>
      <c r="F68" s="1">
        <v>-1795.17</v>
      </c>
      <c r="G68" s="1">
        <v>-677.32</v>
      </c>
      <c r="H68" s="1">
        <v>227.36</v>
      </c>
      <c r="I68" s="52"/>
      <c r="J68" s="19"/>
      <c r="K68" s="1" t="s">
        <v>45</v>
      </c>
      <c r="L68" s="41" t="e">
        <f t="shared" ref="L68:Q68" si="14">(L64/L65)</f>
        <v>#DIV/0!</v>
      </c>
      <c r="M68" s="41" t="e">
        <f t="shared" si="14"/>
        <v>#DIV/0!</v>
      </c>
      <c r="N68" s="41" t="e">
        <f t="shared" si="14"/>
        <v>#DIV/0!</v>
      </c>
      <c r="O68" s="41" t="e">
        <f t="shared" si="14"/>
        <v>#DIV/0!</v>
      </c>
      <c r="P68" s="41" t="e">
        <f t="shared" si="14"/>
        <v>#DIV/0!</v>
      </c>
      <c r="Q68" s="41" t="e">
        <f t="shared" si="14"/>
        <v>#DIV/0!</v>
      </c>
      <c r="R68" s="41" t="e">
        <f>(R64/R65)</f>
        <v>#DIV/0!</v>
      </c>
    </row>
    <row r="69" spans="1:18">
      <c r="A69" s="6"/>
      <c r="B69" s="11"/>
      <c r="C69" s="11"/>
      <c r="D69" s="11"/>
      <c r="E69" s="11"/>
      <c r="F69" s="11"/>
      <c r="G69" s="11"/>
      <c r="H69" s="11"/>
      <c r="I69" s="52"/>
      <c r="J69" s="19"/>
      <c r="K69" s="1" t="s">
        <v>46</v>
      </c>
      <c r="L69" s="41">
        <v>0</v>
      </c>
      <c r="M69" s="41">
        <v>0</v>
      </c>
      <c r="N69" s="41" t="e">
        <f>(N64/N66)</f>
        <v>#DIV/0!</v>
      </c>
      <c r="O69" s="41" t="e">
        <f>(O64/O66)</f>
        <v>#REF!</v>
      </c>
      <c r="P69" s="41" t="e">
        <f>(P64/P66)</f>
        <v>#REF!</v>
      </c>
      <c r="Q69" s="41" t="e">
        <f>(Q64/Q66)</f>
        <v>#REF!</v>
      </c>
      <c r="R69" s="41" t="e">
        <f>(R64/R66)</f>
        <v>#REF!</v>
      </c>
    </row>
    <row r="70" spans="1:18">
      <c r="A70" s="6"/>
      <c r="B70" s="11"/>
      <c r="C70" s="11"/>
      <c r="D70" s="11"/>
      <c r="E70" s="11"/>
      <c r="F70" s="11"/>
      <c r="G70" s="11"/>
      <c r="H70" s="11"/>
      <c r="I70" s="52"/>
      <c r="J70" s="19"/>
      <c r="K70" s="1" t="s">
        <v>47</v>
      </c>
      <c r="L70" s="41" t="e">
        <f t="shared" ref="L70:R70" si="15">B90/B16</f>
        <v>#DIV/0!</v>
      </c>
      <c r="M70" s="41" t="e">
        <f t="shared" si="15"/>
        <v>#DIV/0!</v>
      </c>
      <c r="N70" s="41" t="e">
        <f t="shared" si="15"/>
        <v>#DIV/0!</v>
      </c>
      <c r="O70" s="41" t="e">
        <f t="shared" si="15"/>
        <v>#REF!</v>
      </c>
      <c r="P70" s="41" t="e">
        <f t="shared" si="15"/>
        <v>#REF!</v>
      </c>
      <c r="Q70" s="41" t="e">
        <f t="shared" si="15"/>
        <v>#REF!</v>
      </c>
      <c r="R70" s="41" t="e">
        <f t="shared" si="15"/>
        <v>#REF!</v>
      </c>
    </row>
    <row r="71" spans="1:18">
      <c r="A71" s="20" t="s">
        <v>14</v>
      </c>
      <c r="B71" s="21">
        <f t="shared" ref="B71:G71" si="16">+B68+B69+B70</f>
        <v>0</v>
      </c>
      <c r="C71" s="21">
        <f t="shared" si="16"/>
        <v>0</v>
      </c>
      <c r="D71" s="21">
        <f t="shared" si="16"/>
        <v>0</v>
      </c>
      <c r="E71" s="21">
        <f t="shared" si="16"/>
        <v>-175.17</v>
      </c>
      <c r="F71" s="21">
        <f>+F68+F69+F70</f>
        <v>-1795.17</v>
      </c>
      <c r="G71" s="21">
        <f t="shared" si="16"/>
        <v>-677.32</v>
      </c>
      <c r="H71" s="21">
        <f>+H68+H69+H70</f>
        <v>227.36</v>
      </c>
      <c r="I71" s="52"/>
      <c r="J71" s="19"/>
      <c r="K71" s="43" t="s">
        <v>48</v>
      </c>
      <c r="L71" s="33" t="e">
        <f>(#REF!/L6)</f>
        <v>#REF!</v>
      </c>
      <c r="M71" s="33" t="e">
        <f>(#REF!/M6)</f>
        <v>#REF!</v>
      </c>
      <c r="N71" s="33" t="e">
        <f>(#REF!/N6)</f>
        <v>#REF!</v>
      </c>
      <c r="O71" s="33" t="e">
        <f>(#REF!/O6)</f>
        <v>#REF!</v>
      </c>
      <c r="P71" s="33" t="e">
        <f>(#REF!/P6)</f>
        <v>#REF!</v>
      </c>
      <c r="Q71" s="33" t="e">
        <f>(#REF!/Q6)</f>
        <v>#REF!</v>
      </c>
      <c r="R71" s="33" t="e">
        <f>(#REF!/R6)</f>
        <v>#REF!</v>
      </c>
    </row>
    <row r="72" spans="1:18" ht="14.5">
      <c r="A72" t="s">
        <v>152</v>
      </c>
      <c r="B72" s="21"/>
      <c r="C72" s="21"/>
      <c r="D72" s="1"/>
      <c r="E72" s="1"/>
      <c r="F72" s="1">
        <v>12.21</v>
      </c>
      <c r="G72" s="1">
        <v>12.21</v>
      </c>
      <c r="H72" s="1"/>
      <c r="I72" s="50"/>
      <c r="J72" s="19"/>
      <c r="K72" s="43" t="s">
        <v>49</v>
      </c>
      <c r="L72" s="33" t="e">
        <f t="shared" ref="L72:R72" si="17">(B16-B20)/L11</f>
        <v>#DIV/0!</v>
      </c>
      <c r="M72" s="33" t="e">
        <f t="shared" si="17"/>
        <v>#DIV/0!</v>
      </c>
      <c r="N72" s="33" t="e">
        <f t="shared" si="17"/>
        <v>#DIV/0!</v>
      </c>
      <c r="O72" s="33">
        <f t="shared" si="17"/>
        <v>0.10845879068720872</v>
      </c>
      <c r="P72" s="33">
        <f t="shared" si="17"/>
        <v>0.11098193296081206</v>
      </c>
      <c r="Q72" s="33">
        <f t="shared" si="17"/>
        <v>0.15790239334837239</v>
      </c>
      <c r="R72" s="33">
        <f t="shared" si="17"/>
        <v>8.8216817546428877E-2</v>
      </c>
    </row>
    <row r="73" spans="1:18">
      <c r="A73" s="20" t="s">
        <v>60</v>
      </c>
      <c r="B73" s="10">
        <f t="shared" ref="B73:H73" si="18">+B67+B71</f>
        <v>0</v>
      </c>
      <c r="C73" s="10">
        <f t="shared" si="18"/>
        <v>0</v>
      </c>
      <c r="D73" s="10">
        <f t="shared" si="18"/>
        <v>0</v>
      </c>
      <c r="E73" s="10">
        <f t="shared" si="18"/>
        <v>-422.16999999999996</v>
      </c>
      <c r="F73" s="18">
        <f t="shared" si="18"/>
        <v>-1990.13</v>
      </c>
      <c r="G73" s="10">
        <f t="shared" si="18"/>
        <v>-885.43000000000006</v>
      </c>
      <c r="H73" s="10">
        <f t="shared" si="18"/>
        <v>-259.61</v>
      </c>
      <c r="I73" s="50"/>
      <c r="K73" s="1" t="s">
        <v>50</v>
      </c>
      <c r="L73" s="45" t="e">
        <f t="shared" ref="L73:R73" si="19">(L10/L6)</f>
        <v>#DIV/0!</v>
      </c>
      <c r="M73" s="45" t="e">
        <f t="shared" si="19"/>
        <v>#DIV/0!</v>
      </c>
      <c r="N73" s="45" t="e">
        <f t="shared" si="19"/>
        <v>#DIV/0!</v>
      </c>
      <c r="O73" s="45">
        <f t="shared" si="19"/>
        <v>1.8993013304537723</v>
      </c>
      <c r="P73" s="45">
        <f t="shared" si="19"/>
        <v>1.4028909454163012</v>
      </c>
      <c r="Q73" s="45">
        <f t="shared" si="19"/>
        <v>0.27280288160556965</v>
      </c>
      <c r="R73" s="45">
        <f t="shared" si="19"/>
        <v>0.1518139451664938</v>
      </c>
    </row>
    <row r="74" spans="1:18">
      <c r="G74" s="34"/>
      <c r="H74" s="34"/>
      <c r="I74" s="53"/>
      <c r="K74" s="1" t="s">
        <v>51</v>
      </c>
      <c r="L74" s="45" t="e">
        <f t="shared" ref="L74:R74" si="20">(L10-L38-L37)/L6</f>
        <v>#DIV/0!</v>
      </c>
      <c r="M74" s="45" t="e">
        <f t="shared" si="20"/>
        <v>#DIV/0!</v>
      </c>
      <c r="N74" s="45" t="e">
        <f t="shared" si="20"/>
        <v>#DIV/0!</v>
      </c>
      <c r="O74" s="45">
        <f t="shared" si="20"/>
        <v>1.8633565148719102</v>
      </c>
      <c r="P74" s="45">
        <f t="shared" si="20"/>
        <v>1.3120212235569837</v>
      </c>
      <c r="Q74" s="45">
        <f t="shared" si="20"/>
        <v>0.25770227643210775</v>
      </c>
      <c r="R74" s="45">
        <f t="shared" si="20"/>
        <v>0.12226132999348617</v>
      </c>
    </row>
    <row r="75" spans="1:18">
      <c r="A75" s="35" t="s">
        <v>15</v>
      </c>
      <c r="B75" s="17" t="s">
        <v>25</v>
      </c>
      <c r="C75" s="17" t="s">
        <v>26</v>
      </c>
      <c r="D75" s="17" t="s">
        <v>27</v>
      </c>
      <c r="E75" s="17" t="s">
        <v>28</v>
      </c>
      <c r="F75" s="17" t="s">
        <v>69</v>
      </c>
      <c r="G75" s="17" t="s">
        <v>76</v>
      </c>
      <c r="H75" s="17" t="s">
        <v>108</v>
      </c>
      <c r="I75" s="53"/>
      <c r="K75" s="1" t="s">
        <v>52</v>
      </c>
      <c r="L75" s="7" t="e">
        <f t="shared" ref="L75:Q75" si="21">(L67/L64)</f>
        <v>#DIV/0!</v>
      </c>
      <c r="M75" s="7" t="e">
        <f t="shared" si="21"/>
        <v>#DIV/0!</v>
      </c>
      <c r="N75" s="7" t="e">
        <f t="shared" si="21"/>
        <v>#DIV/0!</v>
      </c>
      <c r="O75" s="7" t="e">
        <f t="shared" si="21"/>
        <v>#DIV/0!</v>
      </c>
      <c r="P75" s="7" t="e">
        <f t="shared" si="21"/>
        <v>#DIV/0!</v>
      </c>
      <c r="Q75" s="7" t="e">
        <f t="shared" si="21"/>
        <v>#DIV/0!</v>
      </c>
      <c r="R75" s="7" t="e">
        <f>(R67/R64)</f>
        <v>#DIV/0!</v>
      </c>
    </row>
    <row r="76" spans="1:18">
      <c r="A76" s="6" t="s">
        <v>16</v>
      </c>
      <c r="B76" s="36">
        <f>B24</f>
        <v>0</v>
      </c>
      <c r="C76" s="14">
        <f>C24</f>
        <v>0</v>
      </c>
      <c r="D76" s="14"/>
      <c r="E76" s="14">
        <f>E24</f>
        <v>140.60000000000048</v>
      </c>
      <c r="F76" s="14">
        <f>F24</f>
        <v>440.06000000000006</v>
      </c>
      <c r="G76" s="14">
        <f>G24</f>
        <v>778.77999999999986</v>
      </c>
      <c r="H76" s="14">
        <f>H24</f>
        <v>374.33000000000038</v>
      </c>
      <c r="I76" s="54"/>
      <c r="K76" s="1" t="s">
        <v>53</v>
      </c>
      <c r="L76" s="16" t="e">
        <f>(AVERAGE(L36)/B6*365)</f>
        <v>#DIV/0!</v>
      </c>
      <c r="M76" s="16" t="e">
        <f t="shared" ref="M76:R76" si="22">(AVERAGE(L36:M36)/C6*365)</f>
        <v>#DIV/0!</v>
      </c>
      <c r="N76" s="16" t="e">
        <f t="shared" si="22"/>
        <v>#DIV/0!</v>
      </c>
      <c r="O76" s="16">
        <f t="shared" si="22"/>
        <v>21.665903479660674</v>
      </c>
      <c r="P76" s="16">
        <f t="shared" si="22"/>
        <v>42.255079371440317</v>
      </c>
      <c r="Q76" s="16">
        <f t="shared" si="22"/>
        <v>28.155995341986518</v>
      </c>
      <c r="R76" s="16">
        <f t="shared" si="22"/>
        <v>20.335027093432689</v>
      </c>
    </row>
    <row r="77" spans="1:18">
      <c r="A77" s="6" t="s">
        <v>17</v>
      </c>
      <c r="B77" s="36">
        <f>B20</f>
        <v>0</v>
      </c>
      <c r="C77" s="14">
        <f>C20</f>
        <v>0</v>
      </c>
      <c r="D77" s="14"/>
      <c r="E77" s="14">
        <f>E20</f>
        <v>313.33999999999997</v>
      </c>
      <c r="F77" s="14">
        <f>F20</f>
        <v>199.31</v>
      </c>
      <c r="G77" s="14">
        <f>G20</f>
        <v>193</v>
      </c>
      <c r="H77" s="14">
        <f>H20</f>
        <v>227.76</v>
      </c>
      <c r="I77" s="54"/>
      <c r="K77" s="1" t="s">
        <v>54</v>
      </c>
      <c r="L77" s="16" t="e">
        <f>AVERAGE(L46)/(B10+B11+B12)*365</f>
        <v>#DIV/0!</v>
      </c>
      <c r="M77" s="16" t="e">
        <f>AVERAGE(L46:M46)/(C10+C11+C12)*365</f>
        <v>#DIV/0!</v>
      </c>
      <c r="N77" s="16" t="e">
        <f>AVERAGE(M46:N46)/(D10+D11+D12)*365</f>
        <v>#DIV/0!</v>
      </c>
      <c r="O77" s="16" t="e">
        <f>AVERAGE(N46:O46)/(E9)*365</f>
        <v>#DIV/0!</v>
      </c>
      <c r="P77" s="16" t="e">
        <f>AVERAGE(O46:P46)/(F9)*365</f>
        <v>#DIV/0!</v>
      </c>
      <c r="Q77" s="16" t="e">
        <f>AVERAGE(P46:Q46)/(G9)*365</f>
        <v>#DIV/0!</v>
      </c>
      <c r="R77" s="16" t="e">
        <f>AVERAGE(Q46:R46)/(H9)*365</f>
        <v>#DIV/0!</v>
      </c>
    </row>
    <row r="78" spans="1:18">
      <c r="A78" s="6" t="s">
        <v>18</v>
      </c>
      <c r="B78" s="36">
        <f>B23</f>
        <v>0</v>
      </c>
      <c r="C78" s="14">
        <f>C23</f>
        <v>0</v>
      </c>
      <c r="D78" s="14"/>
      <c r="E78" s="14"/>
      <c r="F78" s="14"/>
      <c r="G78" s="14"/>
      <c r="H78" s="14"/>
      <c r="I78" s="51"/>
      <c r="K78" s="1" t="s">
        <v>55</v>
      </c>
      <c r="L78" s="16" t="e">
        <f>(AVERAGE(L33:L33)/(B10+B11+B12)*365)</f>
        <v>#DIV/0!</v>
      </c>
      <c r="M78" s="16" t="e">
        <f>(AVERAGE(L33:M33)/(C10+C11+C12)*365)</f>
        <v>#DIV/0!</v>
      </c>
      <c r="N78" s="16" t="e">
        <f>(AVERAGE(M33:N33)/(D10+D11+D12)*365)</f>
        <v>#DIV/0!</v>
      </c>
      <c r="O78" s="16">
        <f>(AVERAGE(N33:O33)/(E9)*365)</f>
        <v>61.798140201243882</v>
      </c>
      <c r="P78" s="16">
        <f>(AVERAGE(O33:P33)/(F9)*365)</f>
        <v>141.92746797646939</v>
      </c>
      <c r="Q78" s="16">
        <f>(AVERAGE(P33:Q33)/(G9)*365)</f>
        <v>110.61524715594483</v>
      </c>
      <c r="R78" s="16">
        <f>(AVERAGE(Q33:R33)/(H9)*365)</f>
        <v>99.436600286393443</v>
      </c>
    </row>
    <row r="79" spans="1:18">
      <c r="A79" s="6" t="s">
        <v>19</v>
      </c>
      <c r="B79" s="36"/>
      <c r="C79" s="14">
        <f>-((M52-L52)-(M38-L38))</f>
        <v>0</v>
      </c>
      <c r="D79" s="14"/>
      <c r="E79" s="14"/>
      <c r="F79" s="14"/>
      <c r="G79" s="14"/>
      <c r="H79" s="14"/>
      <c r="I79" s="34"/>
      <c r="K79" s="1" t="s">
        <v>68</v>
      </c>
      <c r="L79" s="16" t="e">
        <f t="shared" ref="L79:Q79" si="23">(L78+L76-L77)</f>
        <v>#DIV/0!</v>
      </c>
      <c r="M79" s="16" t="e">
        <f t="shared" si="23"/>
        <v>#DIV/0!</v>
      </c>
      <c r="N79" s="16" t="e">
        <f t="shared" si="23"/>
        <v>#DIV/0!</v>
      </c>
      <c r="O79" s="16" t="e">
        <f t="shared" si="23"/>
        <v>#DIV/0!</v>
      </c>
      <c r="P79" s="16" t="e">
        <f t="shared" si="23"/>
        <v>#DIV/0!</v>
      </c>
      <c r="Q79" s="16" t="e">
        <f t="shared" si="23"/>
        <v>#DIV/0!</v>
      </c>
      <c r="R79" s="16" t="e">
        <f>(R78+R76-R77)</f>
        <v>#DIV/0!</v>
      </c>
    </row>
    <row r="80" spans="1:18">
      <c r="A80" s="6" t="s">
        <v>20</v>
      </c>
      <c r="B80" s="36">
        <f>-B25</f>
        <v>0</v>
      </c>
      <c r="C80" s="14">
        <f>-C25</f>
        <v>0</v>
      </c>
      <c r="D80" s="14"/>
      <c r="E80" s="14"/>
      <c r="F80" s="14"/>
      <c r="G80" s="14"/>
      <c r="H80" s="14"/>
      <c r="I80" s="52"/>
      <c r="K80" s="1" t="s">
        <v>56</v>
      </c>
      <c r="L80" s="16" t="e">
        <f>AVERAGE(L52:L52)/B6*365</f>
        <v>#DIV/0!</v>
      </c>
      <c r="M80" s="16" t="e">
        <f t="shared" ref="M80:R80" si="24">AVERAGE(L52:M52)/C6*365</f>
        <v>#DIV/0!</v>
      </c>
      <c r="N80" s="16" t="e">
        <f t="shared" si="24"/>
        <v>#DIV/0!</v>
      </c>
      <c r="O80" s="16">
        <f t="shared" si="24"/>
        <v>-47.227241291406827</v>
      </c>
      <c r="P80" s="16">
        <f t="shared" si="24"/>
        <v>-177.81433620028955</v>
      </c>
      <c r="Q80" s="16">
        <f t="shared" si="24"/>
        <v>-85.885849063586335</v>
      </c>
      <c r="R80" s="16">
        <f t="shared" si="24"/>
        <v>-20.677645827265316</v>
      </c>
    </row>
    <row r="81" spans="1:18">
      <c r="A81" s="20" t="s">
        <v>21</v>
      </c>
      <c r="B81" s="42">
        <f>SUM(B76:B80)</f>
        <v>0</v>
      </c>
      <c r="C81" s="10">
        <f>SUM(C76:C80)</f>
        <v>0</v>
      </c>
      <c r="D81" s="10"/>
      <c r="E81" s="10">
        <f>SUM(E76:E80)</f>
        <v>453.94000000000045</v>
      </c>
      <c r="F81" s="10">
        <f>SUM(F76:F80)</f>
        <v>639.37000000000012</v>
      </c>
      <c r="G81" s="10">
        <f>SUM(G76:G80)</f>
        <v>971.77999999999986</v>
      </c>
      <c r="H81" s="10">
        <f>SUM(H76:H80)</f>
        <v>602.09000000000037</v>
      </c>
      <c r="I81" s="55"/>
      <c r="K81" s="6" t="s">
        <v>70</v>
      </c>
      <c r="L81" s="7" t="e">
        <f t="shared" ref="L81:R81" si="25">B21/L10</f>
        <v>#DIV/0!</v>
      </c>
      <c r="M81" s="7" t="e">
        <f t="shared" si="25"/>
        <v>#DIV/0!</v>
      </c>
      <c r="N81" s="7" t="e">
        <f t="shared" si="25"/>
        <v>#DIV/0!</v>
      </c>
      <c r="O81" s="7">
        <f t="shared" si="25"/>
        <v>0.116837795409224</v>
      </c>
      <c r="P81" s="7">
        <f t="shared" si="25"/>
        <v>5.4944370802518301E-2</v>
      </c>
      <c r="Q81" s="7">
        <f t="shared" si="25"/>
        <v>0.11258065231369592</v>
      </c>
      <c r="R81" s="7">
        <f t="shared" si="25"/>
        <v>0.17149749558043606</v>
      </c>
    </row>
    <row r="82" spans="1:18">
      <c r="A82" s="6" t="s">
        <v>22</v>
      </c>
      <c r="B82" s="36"/>
      <c r="C82" s="14">
        <f>-(M15-L15)</f>
        <v>0</v>
      </c>
      <c r="D82" s="14"/>
      <c r="E82" s="14"/>
      <c r="F82" s="14"/>
      <c r="G82" s="14"/>
      <c r="H82" s="14"/>
      <c r="I82" s="55"/>
      <c r="K82" s="6" t="s">
        <v>109</v>
      </c>
      <c r="L82" s="6"/>
      <c r="M82" s="6"/>
      <c r="N82" s="6" t="e">
        <f>D4/N15</f>
        <v>#DIV/0!</v>
      </c>
      <c r="O82" s="47">
        <f>E4/O15</f>
        <v>1.3541808754032862</v>
      </c>
      <c r="P82" s="47">
        <f>F4/P15</f>
        <v>0.64540773360325343</v>
      </c>
      <c r="Q82" s="47">
        <f>G4/Q15</f>
        <v>1.1279786506794656</v>
      </c>
      <c r="R82" s="47">
        <f>H4/R15</f>
        <v>1.0126063466434827</v>
      </c>
    </row>
    <row r="83" spans="1:18">
      <c r="A83" s="25" t="s">
        <v>23</v>
      </c>
      <c r="B83" s="42">
        <f t="shared" ref="B83:H83" si="26">SUM(B81:B82)</f>
        <v>0</v>
      </c>
      <c r="C83" s="10">
        <f t="shared" si="26"/>
        <v>0</v>
      </c>
      <c r="D83" s="10"/>
      <c r="E83" s="10">
        <f t="shared" si="26"/>
        <v>453.94000000000045</v>
      </c>
      <c r="F83" s="10">
        <f t="shared" si="26"/>
        <v>639.37000000000012</v>
      </c>
      <c r="G83" s="10">
        <f t="shared" si="26"/>
        <v>971.77999999999986</v>
      </c>
      <c r="H83" s="10">
        <f t="shared" si="26"/>
        <v>602.09000000000037</v>
      </c>
      <c r="I83" s="55"/>
      <c r="P83" s="2"/>
    </row>
    <row r="84" spans="1:18">
      <c r="A84" s="2" t="s">
        <v>24</v>
      </c>
      <c r="G84" s="46"/>
      <c r="H84" s="46"/>
      <c r="I84" s="55"/>
    </row>
    <row r="85" spans="1:18">
      <c r="I85" s="55"/>
    </row>
    <row r="86" spans="1:18" ht="12.5">
      <c r="A86" s="6" t="s">
        <v>61</v>
      </c>
      <c r="B86" s="15"/>
      <c r="C86" s="15"/>
      <c r="D86" s="44"/>
      <c r="E86" s="44" t="e">
        <f>#REF!</f>
        <v>#REF!</v>
      </c>
      <c r="F86" s="44" t="e">
        <f>#REF!</f>
        <v>#REF!</v>
      </c>
      <c r="G86" s="44" t="e">
        <f>#REF!</f>
        <v>#REF!</v>
      </c>
      <c r="H86" s="44" t="e">
        <f>#REF!</f>
        <v>#REF!</v>
      </c>
      <c r="I86" s="51"/>
    </row>
    <row r="87" spans="1:18">
      <c r="A87" s="6" t="s">
        <v>62</v>
      </c>
      <c r="B87" s="14">
        <f t="shared" ref="B87:H87" si="27">B86*L64/1000000</f>
        <v>0</v>
      </c>
      <c r="C87" s="14">
        <f t="shared" si="27"/>
        <v>0</v>
      </c>
      <c r="D87" s="14">
        <f t="shared" si="27"/>
        <v>0</v>
      </c>
      <c r="E87" s="14" t="e">
        <f t="shared" si="27"/>
        <v>#REF!</v>
      </c>
      <c r="F87" s="14" t="e">
        <f t="shared" si="27"/>
        <v>#REF!</v>
      </c>
      <c r="G87" s="14" t="e">
        <f t="shared" si="27"/>
        <v>#REF!</v>
      </c>
      <c r="H87" s="14" t="e">
        <f t="shared" si="27"/>
        <v>#REF!</v>
      </c>
      <c r="I87" s="55"/>
    </row>
    <row r="88" spans="1:18">
      <c r="A88" s="6" t="s">
        <v>65</v>
      </c>
      <c r="B88" s="14">
        <f t="shared" ref="B88:H88" si="28">L10</f>
        <v>0</v>
      </c>
      <c r="C88" s="14">
        <f t="shared" si="28"/>
        <v>0</v>
      </c>
      <c r="D88" s="14">
        <f t="shared" si="28"/>
        <v>0</v>
      </c>
      <c r="E88" s="14">
        <f t="shared" si="28"/>
        <v>4713.7999999999993</v>
      </c>
      <c r="F88" s="14">
        <f t="shared" si="28"/>
        <v>3854.99</v>
      </c>
      <c r="G88" s="14">
        <f t="shared" si="28"/>
        <v>902.02</v>
      </c>
      <c r="H88" s="14">
        <f t="shared" si="28"/>
        <v>543.04</v>
      </c>
      <c r="I88" s="51"/>
    </row>
    <row r="89" spans="1:18">
      <c r="A89" s="6" t="s">
        <v>63</v>
      </c>
      <c r="B89" s="14">
        <f>L38</f>
        <v>0</v>
      </c>
      <c r="C89" s="14">
        <f>M38</f>
        <v>0</v>
      </c>
      <c r="D89" s="14">
        <f>N38+N37</f>
        <v>0</v>
      </c>
      <c r="E89" s="14">
        <f>O38+O37</f>
        <v>89.210000000000008</v>
      </c>
      <c r="F89" s="14">
        <f>P38+P37</f>
        <v>249.7</v>
      </c>
      <c r="G89" s="14">
        <f>Q38+Q37</f>
        <v>49.93</v>
      </c>
      <c r="H89" s="14">
        <f>R38+R37</f>
        <v>105.71000000000001</v>
      </c>
      <c r="I89" s="46"/>
    </row>
    <row r="90" spans="1:18">
      <c r="A90" s="6" t="s">
        <v>64</v>
      </c>
      <c r="B90" s="10">
        <f t="shared" ref="B90:G90" si="29">B87+B88-B89</f>
        <v>0</v>
      </c>
      <c r="C90" s="10">
        <f t="shared" si="29"/>
        <v>0</v>
      </c>
      <c r="D90" s="10">
        <f t="shared" si="29"/>
        <v>0</v>
      </c>
      <c r="E90" s="10" t="e">
        <f t="shared" si="29"/>
        <v>#REF!</v>
      </c>
      <c r="F90" s="10" t="e">
        <f t="shared" si="29"/>
        <v>#REF!</v>
      </c>
      <c r="G90" s="10" t="e">
        <f t="shared" si="29"/>
        <v>#REF!</v>
      </c>
      <c r="H90" s="10" t="e">
        <f>H87+H88-H89</f>
        <v>#REF!</v>
      </c>
    </row>
    <row r="91" spans="1:18" ht="12.5">
      <c r="I91" s="56"/>
    </row>
    <row r="92" spans="1:18">
      <c r="I92" s="55"/>
    </row>
    <row r="93" spans="1:18">
      <c r="I93" s="55"/>
    </row>
    <row r="94" spans="1:18">
      <c r="I94" s="55"/>
    </row>
    <row r="95" spans="1:18">
      <c r="I95" s="51"/>
    </row>
    <row r="97" spans="16:16">
      <c r="P97" s="2"/>
    </row>
    <row r="98" spans="16:16">
      <c r="P98" s="2"/>
    </row>
    <row r="99" spans="16:16">
      <c r="P99" s="2"/>
    </row>
    <row r="100" spans="16:16">
      <c r="P100" s="2"/>
    </row>
  </sheetData>
  <mergeCells count="3">
    <mergeCell ref="A1:R1"/>
    <mergeCell ref="A2:H2"/>
    <mergeCell ref="K2:R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</vt:lpstr>
      <vt:lpstr>standalone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Voleram3</dc:creator>
  <cp:lastModifiedBy>Dell</cp:lastModifiedBy>
  <cp:lastPrinted>2022-07-27T15:57:45Z</cp:lastPrinted>
  <dcterms:created xsi:type="dcterms:W3CDTF">2017-09-19T08:05:47Z</dcterms:created>
  <dcterms:modified xsi:type="dcterms:W3CDTF">2024-06-19T10:15:15Z</dcterms:modified>
</cp:coreProperties>
</file>