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Files\"/>
    </mc:Choice>
  </mc:AlternateContent>
  <bookViews>
    <workbookView xWindow="0" yWindow="0" windowWidth="19200" windowHeight="6015" activeTab="3"/>
  </bookViews>
  <sheets>
    <sheet name="Slide 9" sheetId="1" r:id="rId1"/>
    <sheet name="Slide 14" sheetId="2" r:id="rId2"/>
    <sheet name="Slide 18" sheetId="4" r:id="rId3"/>
    <sheet name="Summary Sheet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2" i="5" l="1"/>
  <c r="S82" i="5"/>
  <c r="R82" i="5"/>
  <c r="Q82" i="5"/>
  <c r="T81" i="5"/>
  <c r="S81" i="5"/>
  <c r="R81" i="5"/>
  <c r="Q81" i="5"/>
  <c r="U81" i="5"/>
  <c r="U82" i="5"/>
  <c r="U80" i="5"/>
  <c r="U71" i="5"/>
  <c r="J60" i="5"/>
  <c r="J58" i="5"/>
  <c r="J54" i="5"/>
  <c r="J23" i="5"/>
  <c r="J16" i="5"/>
  <c r="J14" i="5"/>
  <c r="J6" i="5"/>
  <c r="I14" i="5"/>
  <c r="J5" i="5"/>
  <c r="J4" i="5"/>
  <c r="U49" i="5" l="1"/>
  <c r="U48" i="5"/>
  <c r="T49" i="5"/>
  <c r="T48" i="5"/>
  <c r="U85" i="5"/>
  <c r="U83" i="5"/>
  <c r="U79" i="5"/>
  <c r="U78" i="5"/>
  <c r="U77" i="5"/>
  <c r="U74" i="5"/>
  <c r="U69" i="5"/>
  <c r="U72" i="5" s="1"/>
  <c r="U68" i="5"/>
  <c r="U57" i="5"/>
  <c r="T13" i="5"/>
  <c r="U18" i="5"/>
  <c r="U10" i="5"/>
  <c r="J42" i="5"/>
  <c r="J41" i="5"/>
  <c r="J34" i="5"/>
  <c r="J24" i="5"/>
  <c r="J17" i="5"/>
  <c r="J15" i="5"/>
  <c r="O22" i="1"/>
  <c r="P22" i="1"/>
  <c r="J22" i="1"/>
  <c r="K22" i="1"/>
  <c r="F22" i="1"/>
  <c r="H22" i="1"/>
  <c r="G22" i="1"/>
  <c r="B22" i="1"/>
  <c r="D22" i="1"/>
  <c r="C22" i="1"/>
  <c r="O7" i="1"/>
  <c r="P7" i="1"/>
  <c r="J7" i="1"/>
  <c r="K7" i="1"/>
  <c r="F7" i="1"/>
  <c r="H7" i="1"/>
  <c r="G7" i="1"/>
  <c r="B7" i="1"/>
  <c r="D7" i="1"/>
  <c r="C7" i="1"/>
  <c r="C13" i="2" l="1"/>
  <c r="G8" i="2"/>
  <c r="G9" i="2" l="1"/>
  <c r="G14" i="2"/>
  <c r="G16" i="2" s="1"/>
  <c r="G18" i="2"/>
  <c r="G21" i="2" s="1"/>
  <c r="G19" i="2" l="1"/>
  <c r="Q22" i="1" l="1"/>
  <c r="L22" i="1"/>
  <c r="Q7" i="1"/>
  <c r="L7" i="1"/>
  <c r="K22" i="2"/>
  <c r="K20" i="2"/>
  <c r="K15" i="2"/>
  <c r="K13" i="2"/>
  <c r="K12" i="2"/>
  <c r="K11" i="2"/>
  <c r="K10" i="2"/>
  <c r="K7" i="2"/>
  <c r="K6" i="2"/>
  <c r="J22" i="2"/>
  <c r="J15" i="2"/>
  <c r="J13" i="2"/>
  <c r="J12" i="2"/>
  <c r="J11" i="2"/>
  <c r="J10" i="2"/>
  <c r="J7" i="2"/>
  <c r="H8" i="2" l="1"/>
  <c r="H14" i="2" s="1"/>
  <c r="J6" i="2"/>
  <c r="T10" i="5"/>
  <c r="J53" i="5"/>
  <c r="J55" i="5" s="1"/>
  <c r="K14" i="2" l="1"/>
  <c r="H18" i="2"/>
  <c r="H19" i="2" s="1"/>
  <c r="H16" i="2"/>
  <c r="K16" i="2"/>
  <c r="K18" i="2"/>
  <c r="H21" i="2"/>
  <c r="K19" i="2"/>
  <c r="K8" i="2"/>
  <c r="H9" i="2"/>
  <c r="K21" i="2" l="1"/>
  <c r="K9" i="2"/>
  <c r="U53" i="5"/>
  <c r="T57" i="5"/>
  <c r="S57" i="5"/>
  <c r="S49" i="5"/>
  <c r="M10" i="5"/>
  <c r="M49" i="5" s="1"/>
  <c r="O49" i="5"/>
  <c r="O10" i="5"/>
  <c r="O57" i="5"/>
  <c r="P49" i="5"/>
  <c r="P57" i="5"/>
  <c r="Q49" i="5"/>
  <c r="Q57" i="5"/>
  <c r="R49" i="5"/>
  <c r="R57" i="5"/>
  <c r="N49" i="5"/>
  <c r="S10" i="5"/>
  <c r="R10" i="5"/>
  <c r="P10" i="5"/>
  <c r="Q10" i="5"/>
  <c r="Q11" i="5" s="1"/>
  <c r="J49" i="5" l="1"/>
  <c r="U59" i="5"/>
  <c r="J62" i="5"/>
  <c r="U43" i="5"/>
  <c r="U30" i="5"/>
  <c r="U6" i="5"/>
  <c r="T11" i="5"/>
  <c r="M11" i="5"/>
  <c r="N11" i="5"/>
  <c r="O11" i="5"/>
  <c r="P11" i="5"/>
  <c r="R11" i="5"/>
  <c r="S11" i="5"/>
  <c r="C6" i="2"/>
  <c r="D6" i="2" s="1"/>
  <c r="C20" i="2"/>
  <c r="J29" i="5"/>
  <c r="C17" i="2" s="1"/>
  <c r="C15" i="2"/>
  <c r="C11" i="2"/>
  <c r="C10" i="2"/>
  <c r="C12" i="2"/>
  <c r="U13" i="5" l="1"/>
  <c r="U64" i="5"/>
  <c r="U14" i="5" s="1"/>
  <c r="U54" i="5"/>
  <c r="U63" i="5"/>
  <c r="U11" i="5"/>
  <c r="G6" i="4"/>
  <c r="C7" i="2"/>
  <c r="P82" i="5"/>
  <c r="O82" i="5"/>
  <c r="P81" i="5"/>
  <c r="O81" i="5"/>
  <c r="T80" i="5"/>
  <c r="S80" i="5"/>
  <c r="R80" i="5"/>
  <c r="Q80" i="5"/>
  <c r="P80" i="5"/>
  <c r="O80" i="5"/>
  <c r="T79" i="5"/>
  <c r="T74" i="5"/>
  <c r="S74" i="5"/>
  <c r="R74" i="5"/>
  <c r="Q74" i="5"/>
  <c r="P74" i="5"/>
  <c r="O74" i="5"/>
  <c r="S70" i="5"/>
  <c r="S79" i="5" s="1"/>
  <c r="R70" i="5"/>
  <c r="R79" i="5" s="1"/>
  <c r="Q70" i="5"/>
  <c r="Q79" i="5" s="1"/>
  <c r="P70" i="5"/>
  <c r="P79" i="5" s="1"/>
  <c r="O70" i="5"/>
  <c r="O79" i="5" s="1"/>
  <c r="N70" i="5"/>
  <c r="N79" i="5" s="1"/>
  <c r="M70" i="5"/>
  <c r="M79" i="5" s="1"/>
  <c r="T68" i="5"/>
  <c r="T71" i="5" s="1"/>
  <c r="S68" i="5"/>
  <c r="S71" i="5" s="1"/>
  <c r="R68" i="5"/>
  <c r="R71" i="5" s="1"/>
  <c r="Q68" i="5"/>
  <c r="Q71" i="5" s="1"/>
  <c r="P68" i="5"/>
  <c r="P71" i="5" s="1"/>
  <c r="O68" i="5"/>
  <c r="O71" i="5" s="1"/>
  <c r="N68" i="5"/>
  <c r="N71" i="5" s="1"/>
  <c r="M68" i="5"/>
  <c r="M71" i="5" s="1"/>
  <c r="I62" i="5"/>
  <c r="H62" i="5"/>
  <c r="G62" i="5"/>
  <c r="F62" i="5"/>
  <c r="E62" i="5"/>
  <c r="D62" i="5"/>
  <c r="C62" i="5"/>
  <c r="B62" i="5"/>
  <c r="Q59" i="5"/>
  <c r="P59" i="5"/>
  <c r="O59" i="5"/>
  <c r="N59" i="5"/>
  <c r="M59" i="5"/>
  <c r="I58" i="5"/>
  <c r="I60" i="5" s="1"/>
  <c r="H58" i="5"/>
  <c r="H60" i="5" s="1"/>
  <c r="G58" i="5"/>
  <c r="G60" i="5" s="1"/>
  <c r="F58" i="5"/>
  <c r="F60" i="5" s="1"/>
  <c r="E58" i="5"/>
  <c r="E60" i="5" s="1"/>
  <c r="D58" i="5"/>
  <c r="D60" i="5" s="1"/>
  <c r="C58" i="5"/>
  <c r="C60" i="5" s="1"/>
  <c r="B58" i="5"/>
  <c r="B60" i="5" s="1"/>
  <c r="T59" i="5"/>
  <c r="S59" i="5"/>
  <c r="R59" i="5"/>
  <c r="H54" i="5"/>
  <c r="G54" i="5"/>
  <c r="F54" i="5"/>
  <c r="E54" i="5"/>
  <c r="D54" i="5"/>
  <c r="C54" i="5"/>
  <c r="B54" i="5"/>
  <c r="I53" i="5"/>
  <c r="I55" i="5" s="1"/>
  <c r="H53" i="5"/>
  <c r="H55" i="5" s="1"/>
  <c r="G53" i="5"/>
  <c r="G55" i="5" s="1"/>
  <c r="F53" i="5"/>
  <c r="F55" i="5" s="1"/>
  <c r="E53" i="5"/>
  <c r="E55" i="5" s="1"/>
  <c r="D53" i="5"/>
  <c r="D55" i="5" s="1"/>
  <c r="C53" i="5"/>
  <c r="B53" i="5"/>
  <c r="B55" i="5" s="1"/>
  <c r="R53" i="5"/>
  <c r="Q53" i="5"/>
  <c r="P53" i="5"/>
  <c r="O53" i="5"/>
  <c r="N53" i="5"/>
  <c r="M50" i="5"/>
  <c r="M53" i="5" s="1"/>
  <c r="I49" i="5"/>
  <c r="H49" i="5"/>
  <c r="G49" i="5"/>
  <c r="F49" i="5"/>
  <c r="E49" i="5"/>
  <c r="D49" i="5"/>
  <c r="C49" i="5"/>
  <c r="B49" i="5"/>
  <c r="B50" i="5" s="1"/>
  <c r="S48" i="5"/>
  <c r="C45" i="5"/>
  <c r="T43" i="5"/>
  <c r="S43" i="5"/>
  <c r="R43" i="5"/>
  <c r="Q43" i="5"/>
  <c r="P43" i="5"/>
  <c r="O43" i="5"/>
  <c r="M43" i="5"/>
  <c r="I42" i="5"/>
  <c r="H42" i="5"/>
  <c r="G42" i="5"/>
  <c r="F42" i="5"/>
  <c r="E42" i="5"/>
  <c r="N42" i="5"/>
  <c r="N43" i="5" s="1"/>
  <c r="I41" i="5"/>
  <c r="H41" i="5"/>
  <c r="G41" i="5"/>
  <c r="F41" i="5"/>
  <c r="E41" i="5"/>
  <c r="D41" i="5"/>
  <c r="I34" i="5"/>
  <c r="H34" i="5"/>
  <c r="G34" i="5"/>
  <c r="F34" i="5"/>
  <c r="T30" i="5"/>
  <c r="T64" i="5" s="1"/>
  <c r="S30" i="5"/>
  <c r="R30" i="5"/>
  <c r="R64" i="5" s="1"/>
  <c r="Q30" i="5"/>
  <c r="P30" i="5"/>
  <c r="O30" i="5"/>
  <c r="N30" i="5"/>
  <c r="N64" i="5" s="1"/>
  <c r="M30" i="5"/>
  <c r="M64" i="5" s="1"/>
  <c r="I29" i="5"/>
  <c r="H29" i="5"/>
  <c r="G29" i="5"/>
  <c r="F29" i="5"/>
  <c r="E29" i="5"/>
  <c r="D29" i="5"/>
  <c r="C29" i="5"/>
  <c r="B29" i="5"/>
  <c r="B30" i="5" s="1"/>
  <c r="I24" i="5"/>
  <c r="H24" i="5"/>
  <c r="G24" i="5"/>
  <c r="F24" i="5"/>
  <c r="E24" i="5"/>
  <c r="D24" i="5"/>
  <c r="C24" i="5"/>
  <c r="B24" i="5"/>
  <c r="B22" i="5"/>
  <c r="F18" i="5"/>
  <c r="E18" i="5"/>
  <c r="D18" i="5"/>
  <c r="C18" i="5"/>
  <c r="H14" i="5"/>
  <c r="H15" i="5" s="1"/>
  <c r="L7" i="4" s="1"/>
  <c r="G14" i="5"/>
  <c r="F14" i="5"/>
  <c r="F23" i="5" s="1"/>
  <c r="E14" i="5"/>
  <c r="D14" i="5"/>
  <c r="D23" i="5" s="1"/>
  <c r="B13" i="5"/>
  <c r="B6" i="5" s="1"/>
  <c r="Q85" i="5"/>
  <c r="P85" i="5"/>
  <c r="B61" i="5"/>
  <c r="C7" i="5"/>
  <c r="T6" i="5"/>
  <c r="S6" i="5"/>
  <c r="R6" i="5"/>
  <c r="Q6" i="5"/>
  <c r="P6" i="5"/>
  <c r="P13" i="5" s="1"/>
  <c r="O6" i="5"/>
  <c r="N6" i="5"/>
  <c r="M6" i="5"/>
  <c r="M13" i="5" s="1"/>
  <c r="I6" i="5"/>
  <c r="H6" i="5"/>
  <c r="G6" i="5"/>
  <c r="F6" i="5"/>
  <c r="E6" i="5"/>
  <c r="D6" i="5"/>
  <c r="I5" i="5"/>
  <c r="H5" i="5"/>
  <c r="G5" i="5"/>
  <c r="I4" i="5"/>
  <c r="H4" i="5"/>
  <c r="G4" i="5"/>
  <c r="F4" i="5"/>
  <c r="E4" i="5"/>
  <c r="C3" i="5"/>
  <c r="N74" i="5" s="1"/>
  <c r="B3" i="5"/>
  <c r="E5" i="5" s="1"/>
  <c r="R13" i="5" l="1"/>
  <c r="Q64" i="5"/>
  <c r="Q14" i="5" s="1"/>
  <c r="P64" i="5"/>
  <c r="O64" i="5"/>
  <c r="R14" i="5"/>
  <c r="S64" i="5"/>
  <c r="N13" i="5"/>
  <c r="N78" i="5"/>
  <c r="O69" i="5"/>
  <c r="O72" i="5" s="1"/>
  <c r="O13" i="5"/>
  <c r="Q13" i="5"/>
  <c r="Q77" i="5"/>
  <c r="E23" i="5"/>
  <c r="E25" i="5" s="1"/>
  <c r="S53" i="5"/>
  <c r="S54" i="5" s="1"/>
  <c r="T53" i="5"/>
  <c r="Q54" i="5"/>
  <c r="S13" i="5"/>
  <c r="N6" i="4"/>
  <c r="G17" i="5"/>
  <c r="O83" i="5"/>
  <c r="P83" i="5"/>
  <c r="U65" i="5"/>
  <c r="J61" i="5"/>
  <c r="J63" i="5" s="1"/>
  <c r="U73" i="5" s="1"/>
  <c r="L6" i="4"/>
  <c r="E15" i="5"/>
  <c r="N54" i="5"/>
  <c r="N14" i="5"/>
  <c r="P14" i="5"/>
  <c r="P76" i="5" s="1"/>
  <c r="J13" i="4" s="1"/>
  <c r="O54" i="5"/>
  <c r="O84" i="5" s="1"/>
  <c r="O14" i="5"/>
  <c r="O76" i="5" s="1"/>
  <c r="D4" i="5"/>
  <c r="N63" i="5"/>
  <c r="N65" i="5" s="1"/>
  <c r="I16" i="5"/>
  <c r="M14" i="5"/>
  <c r="C50" i="5"/>
  <c r="D45" i="5" s="1"/>
  <c r="D50" i="5" s="1"/>
  <c r="E45" i="5" s="1"/>
  <c r="E50" i="5" s="1"/>
  <c r="F45" i="5" s="1"/>
  <c r="F50" i="5" s="1"/>
  <c r="G45" i="5" s="1"/>
  <c r="G50" i="5" s="1"/>
  <c r="H45" i="5" s="1"/>
  <c r="H50" i="5" s="1"/>
  <c r="I45" i="5" s="1"/>
  <c r="I50" i="5" s="1"/>
  <c r="J45" i="5" s="1"/>
  <c r="J50" i="5" s="1"/>
  <c r="P54" i="5"/>
  <c r="Q84" i="5" s="1"/>
  <c r="P77" i="5"/>
  <c r="F15" i="5"/>
  <c r="J7" i="4" s="1"/>
  <c r="P69" i="5"/>
  <c r="P72" i="5" s="1"/>
  <c r="O78" i="5"/>
  <c r="G16" i="5"/>
  <c r="R54" i="5"/>
  <c r="S84" i="5" s="1"/>
  <c r="P78" i="5"/>
  <c r="Q69" i="5"/>
  <c r="Q72" i="5" s="1"/>
  <c r="Q78" i="5"/>
  <c r="Q83" i="5"/>
  <c r="R69" i="5"/>
  <c r="R72" i="5" s="1"/>
  <c r="C55" i="5"/>
  <c r="N7" i="4"/>
  <c r="U86" i="5"/>
  <c r="G15" i="5"/>
  <c r="K7" i="4" s="1"/>
  <c r="M6" i="4"/>
  <c r="H16" i="5"/>
  <c r="B63" i="5"/>
  <c r="D25" i="5"/>
  <c r="R83" i="5"/>
  <c r="J6" i="4"/>
  <c r="K6" i="4"/>
  <c r="P86" i="5"/>
  <c r="E26" i="5"/>
  <c r="Q86" i="5"/>
  <c r="Q76" i="5"/>
  <c r="K13" i="4" s="1"/>
  <c r="F26" i="5"/>
  <c r="F25" i="5"/>
  <c r="T69" i="5"/>
  <c r="T72" i="5" s="1"/>
  <c r="T63" i="5"/>
  <c r="S69" i="5"/>
  <c r="S72" i="5" s="1"/>
  <c r="S63" i="5"/>
  <c r="S65" i="5" s="1"/>
  <c r="S14" i="5"/>
  <c r="N81" i="5"/>
  <c r="N82" i="5"/>
  <c r="C6" i="5"/>
  <c r="T85" i="5"/>
  <c r="I61" i="5"/>
  <c r="I63" i="5" s="1"/>
  <c r="T73" i="5" s="1"/>
  <c r="T78" i="5"/>
  <c r="T77" i="5"/>
  <c r="G12" i="4" s="1"/>
  <c r="R84" i="5"/>
  <c r="F16" i="5"/>
  <c r="R85" i="5"/>
  <c r="G61" i="5"/>
  <c r="G63" i="5" s="1"/>
  <c r="R73" i="5" s="1"/>
  <c r="R78" i="5"/>
  <c r="R77" i="5"/>
  <c r="E12" i="4" s="1"/>
  <c r="S85" i="5"/>
  <c r="H61" i="5"/>
  <c r="H63" i="5" s="1"/>
  <c r="S73" i="5" s="1"/>
  <c r="S78" i="5"/>
  <c r="S77" i="5"/>
  <c r="F12" i="4" s="1"/>
  <c r="M69" i="5"/>
  <c r="M72" i="5" s="1"/>
  <c r="M63" i="5"/>
  <c r="M65" i="5" s="1"/>
  <c r="D26" i="5"/>
  <c r="D30" i="5" s="1"/>
  <c r="O86" i="5"/>
  <c r="T14" i="5"/>
  <c r="G23" i="5"/>
  <c r="H17" i="5"/>
  <c r="H23" i="5"/>
  <c r="T54" i="5"/>
  <c r="U84" i="5" s="1"/>
  <c r="I17" i="5"/>
  <c r="M54" i="5"/>
  <c r="N84" i="5" s="1"/>
  <c r="I15" i="5"/>
  <c r="M7" i="4" s="1"/>
  <c r="B14" i="5"/>
  <c r="E17" i="5" s="1"/>
  <c r="M85" i="5"/>
  <c r="N69" i="5"/>
  <c r="N72" i="5" s="1"/>
  <c r="I23" i="5"/>
  <c r="I25" i="5" s="1"/>
  <c r="C61" i="5"/>
  <c r="C63" i="5" s="1"/>
  <c r="C14" i="5"/>
  <c r="F17" i="5" s="1"/>
  <c r="D61" i="5"/>
  <c r="D63" i="5" s="1"/>
  <c r="O73" i="5" s="1"/>
  <c r="O63" i="5"/>
  <c r="O65" i="5" s="1"/>
  <c r="S83" i="5"/>
  <c r="N85" i="5"/>
  <c r="C4" i="5"/>
  <c r="F5" i="5"/>
  <c r="D15" i="5"/>
  <c r="E61" i="5"/>
  <c r="E63" i="5" s="1"/>
  <c r="P73" i="5" s="1"/>
  <c r="P63" i="5"/>
  <c r="P65" i="5" s="1"/>
  <c r="T83" i="5"/>
  <c r="O85" i="5"/>
  <c r="F61" i="5"/>
  <c r="F63" i="5" s="1"/>
  <c r="Q73" i="5" s="1"/>
  <c r="Q63" i="5"/>
  <c r="Q65" i="5" s="1"/>
  <c r="R63" i="5"/>
  <c r="R65" i="5" s="1"/>
  <c r="M77" i="5"/>
  <c r="M78" i="5"/>
  <c r="N80" i="5"/>
  <c r="N77" i="5"/>
  <c r="O77" i="5"/>
  <c r="U76" i="5" l="1"/>
  <c r="T65" i="5"/>
  <c r="N73" i="5"/>
  <c r="T84" i="5"/>
  <c r="P84" i="5"/>
  <c r="C14" i="2"/>
  <c r="J26" i="5"/>
  <c r="J25" i="5"/>
  <c r="C23" i="5"/>
  <c r="C15" i="5"/>
  <c r="E16" i="5"/>
  <c r="T86" i="5"/>
  <c r="T76" i="5"/>
  <c r="N13" i="4" s="1"/>
  <c r="I26" i="5"/>
  <c r="B23" i="5"/>
  <c r="B15" i="5"/>
  <c r="M73" i="5"/>
  <c r="S86" i="5"/>
  <c r="S76" i="5"/>
  <c r="M13" i="4" s="1"/>
  <c r="H26" i="5"/>
  <c r="F32" i="5"/>
  <c r="F30" i="5"/>
  <c r="Q6" i="4" s="1"/>
  <c r="R86" i="5"/>
  <c r="R76" i="5"/>
  <c r="L13" i="4" s="1"/>
  <c r="G26" i="5"/>
  <c r="G25" i="5"/>
  <c r="E30" i="5"/>
  <c r="N83" i="5"/>
  <c r="O75" i="5"/>
  <c r="D35" i="5"/>
  <c r="D31" i="5"/>
  <c r="H25" i="5"/>
  <c r="J32" i="5" l="1"/>
  <c r="J33" i="5"/>
  <c r="C16" i="5"/>
  <c r="J30" i="5"/>
  <c r="U75" i="5" s="1"/>
  <c r="C16" i="2"/>
  <c r="M76" i="5"/>
  <c r="B26" i="5"/>
  <c r="M86" i="5"/>
  <c r="B25" i="5"/>
  <c r="P75" i="5"/>
  <c r="J12" i="4" s="1"/>
  <c r="E35" i="5"/>
  <c r="E31" i="5"/>
  <c r="E32" i="5" s="1"/>
  <c r="I30" i="5"/>
  <c r="T6" i="4" s="1"/>
  <c r="I32" i="5"/>
  <c r="I33" i="5"/>
  <c r="H33" i="5"/>
  <c r="H30" i="5"/>
  <c r="S6" i="4" s="1"/>
  <c r="H32" i="5"/>
  <c r="G33" i="5"/>
  <c r="G30" i="5"/>
  <c r="R6" i="4" s="1"/>
  <c r="G32" i="5"/>
  <c r="N76" i="5"/>
  <c r="C26" i="5"/>
  <c r="N86" i="5"/>
  <c r="C25" i="5"/>
  <c r="Q75" i="5"/>
  <c r="K12" i="4" s="1"/>
  <c r="F35" i="5"/>
  <c r="F31" i="5"/>
  <c r="Q7" i="4" s="1"/>
  <c r="D16" i="5"/>
  <c r="U6" i="4" l="1"/>
  <c r="J31" i="5"/>
  <c r="U7" i="4" s="1"/>
  <c r="J35" i="5"/>
  <c r="R75" i="5"/>
  <c r="L12" i="4" s="1"/>
  <c r="G35" i="5"/>
  <c r="G31" i="5"/>
  <c r="R7" i="4" s="1"/>
  <c r="E36" i="5"/>
  <c r="C30" i="5"/>
  <c r="F33" i="5"/>
  <c r="M75" i="5"/>
  <c r="B35" i="5"/>
  <c r="E37" i="5" s="1"/>
  <c r="B31" i="5"/>
  <c r="E33" i="5"/>
  <c r="F36" i="5"/>
  <c r="T75" i="5"/>
  <c r="N12" i="4" s="1"/>
  <c r="I35" i="5"/>
  <c r="I31" i="5"/>
  <c r="T7" i="4" s="1"/>
  <c r="S75" i="5"/>
  <c r="M12" i="4" s="1"/>
  <c r="H35" i="5"/>
  <c r="H31" i="5"/>
  <c r="S7" i="4" s="1"/>
  <c r="J37" i="5" l="1"/>
  <c r="J36" i="5"/>
  <c r="I36" i="5"/>
  <c r="I37" i="5"/>
  <c r="N75" i="5"/>
  <c r="C35" i="5"/>
  <c r="C31" i="5"/>
  <c r="H37" i="5"/>
  <c r="H36" i="5"/>
  <c r="G37" i="5"/>
  <c r="G36" i="5"/>
  <c r="C32" i="5" l="1"/>
  <c r="D32" i="5"/>
  <c r="C36" i="5"/>
  <c r="D36" i="5"/>
  <c r="F37" i="5"/>
  <c r="D13" i="2" l="1"/>
  <c r="D12" i="2"/>
  <c r="D20" i="2"/>
  <c r="D11" i="2"/>
  <c r="D10" i="2"/>
  <c r="I8" i="2"/>
  <c r="E8" i="2"/>
  <c r="E9" i="2" l="1"/>
  <c r="E14" i="2"/>
  <c r="I9" i="2"/>
  <c r="J9" i="2" s="1"/>
  <c r="I14" i="2"/>
  <c r="J8" i="2"/>
  <c r="F12" i="2"/>
  <c r="F13" i="2"/>
  <c r="F11" i="2"/>
  <c r="F22" i="2"/>
  <c r="F6" i="2"/>
  <c r="C18" i="2"/>
  <c r="F10" i="2"/>
  <c r="D15" i="2"/>
  <c r="D14" i="2"/>
  <c r="E16" i="2" l="1"/>
  <c r="E18" i="2"/>
  <c r="J14" i="2"/>
  <c r="I18" i="2"/>
  <c r="I16" i="2"/>
  <c r="J16" i="2" s="1"/>
  <c r="D16" i="2"/>
  <c r="C21" i="2"/>
  <c r="C19" i="2"/>
  <c r="D7" i="2"/>
  <c r="C8" i="2"/>
  <c r="C9" i="2" s="1"/>
  <c r="F14" i="2"/>
  <c r="D18" i="2"/>
  <c r="F15" i="2"/>
  <c r="E21" i="2" l="1"/>
  <c r="E19" i="2"/>
  <c r="I19" i="2"/>
  <c r="J19" i="2" s="1"/>
  <c r="I21" i="2"/>
  <c r="J21" i="2" s="1"/>
  <c r="J18" i="2"/>
  <c r="F16" i="2"/>
  <c r="D19" i="2"/>
  <c r="F18" i="2"/>
  <c r="D21" i="2"/>
  <c r="F21" i="2" s="1"/>
  <c r="F7" i="2"/>
  <c r="D8" i="2"/>
  <c r="F19" i="2" l="1"/>
  <c r="D9" i="2"/>
  <c r="F8" i="2"/>
  <c r="F9" i="2" l="1"/>
</calcChain>
</file>

<file path=xl/comments1.xml><?xml version="1.0" encoding="utf-8"?>
<comments xmlns="http://schemas.openxmlformats.org/spreadsheetml/2006/main">
  <authors>
    <author>Admin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Dhruvil Kanadia:</t>
        </r>
        <r>
          <rPr>
            <sz val="9"/>
            <color indexed="81"/>
            <rFont val="Tahoma"/>
            <family val="2"/>
          </rPr>
          <t xml:space="preserve">
Including Other Operating Income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Dhruvil Kanadia:</t>
        </r>
        <r>
          <rPr>
            <sz val="9"/>
            <color indexed="81"/>
            <rFont val="Tahoma"/>
            <family val="2"/>
          </rPr>
          <t xml:space="preserve">
Including Revenue from transaction with discontinued operations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Dhruvil Kanadia:</t>
        </r>
        <r>
          <rPr>
            <sz val="9"/>
            <color indexed="81"/>
            <rFont val="Tahoma"/>
            <family val="2"/>
          </rPr>
          <t xml:space="preserve">
Including purchase transactions with discontinued operations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</rPr>
          <t>Dhruvil Kanadia:</t>
        </r>
        <r>
          <rPr>
            <sz val="9"/>
            <color indexed="81"/>
            <rFont val="Tahoma"/>
            <family val="2"/>
          </rPr>
          <t xml:space="preserve">
Cash and Cash equivalents adjustment in pursuant to the composite
scheme of arrangement</t>
        </r>
      </text>
    </comment>
    <comment ref="D59" authorId="0" shapeId="0">
      <text>
        <r>
          <rPr>
            <b/>
            <sz val="9"/>
            <color indexed="81"/>
            <rFont val="Tahoma"/>
            <family val="2"/>
          </rPr>
          <t>Dhruvil Kanadia:</t>
        </r>
        <r>
          <rPr>
            <sz val="9"/>
            <color indexed="81"/>
            <rFont val="Tahoma"/>
            <family val="2"/>
          </rPr>
          <t xml:space="preserve">
Stock Split from INR 10 to INR 5 on 10th Oct 2017</t>
        </r>
      </text>
    </comment>
    <comment ref="O70" authorId="0" shapeId="0">
      <text>
        <r>
          <rPr>
            <b/>
            <sz val="9"/>
            <color indexed="81"/>
            <rFont val="Tahoma"/>
            <family val="2"/>
          </rPr>
          <t>Dhruvil Kanadia:</t>
        </r>
        <r>
          <rPr>
            <sz val="9"/>
            <color indexed="81"/>
            <rFont val="Tahoma"/>
            <family val="2"/>
          </rPr>
          <t xml:space="preserve">
Final Dividend + Special Dividend</t>
        </r>
      </text>
    </comment>
    <comment ref="S70" authorId="0" shapeId="0">
      <text>
        <r>
          <rPr>
            <b/>
            <sz val="9"/>
            <color indexed="81"/>
            <rFont val="Tahoma"/>
            <family val="2"/>
          </rPr>
          <t>Dhruvil Kanadia:</t>
        </r>
        <r>
          <rPr>
            <sz val="9"/>
            <color indexed="81"/>
            <rFont val="Tahoma"/>
            <family val="2"/>
          </rPr>
          <t xml:space="preserve">
Final Dividend + Interim Dividend</t>
        </r>
      </text>
    </comment>
  </commentList>
</comments>
</file>

<file path=xl/sharedStrings.xml><?xml version="1.0" encoding="utf-8"?>
<sst xmlns="http://schemas.openxmlformats.org/spreadsheetml/2006/main" count="293" uniqueCount="172">
  <si>
    <t>Quaterly Segmental Revenue</t>
  </si>
  <si>
    <t>Milk Revenue (INR in Mn)</t>
  </si>
  <si>
    <t>Value Added Products (INR in Mn)</t>
  </si>
  <si>
    <t>Fat Products (INR in Mn)</t>
  </si>
  <si>
    <t>Ice-cream Revenue (INR in Mn)</t>
  </si>
  <si>
    <t>Quarterly Consolidated Financial Performance</t>
  </si>
  <si>
    <t>Operating Income</t>
  </si>
  <si>
    <t>Expenses</t>
  </si>
  <si>
    <t>EBIDTA</t>
  </si>
  <si>
    <t>EBIDTA Margins (%)</t>
  </si>
  <si>
    <t>Depreciation</t>
  </si>
  <si>
    <t>Finance Cost</t>
  </si>
  <si>
    <t>Other Income</t>
  </si>
  <si>
    <t>Share of Profit/(Loss) of an associate &amp; Joint Venture</t>
  </si>
  <si>
    <t xml:space="preserve">PBT from continuing operations </t>
  </si>
  <si>
    <t>Tax</t>
  </si>
  <si>
    <t>PAT from continuing operations</t>
  </si>
  <si>
    <t>Profit/(Loss) from discontinued operations</t>
  </si>
  <si>
    <t>Profit After Tax</t>
  </si>
  <si>
    <t>PAT Margins (%)</t>
  </si>
  <si>
    <t>Other Comprehensive Income</t>
  </si>
  <si>
    <t>Total Comprehensive Income</t>
  </si>
  <si>
    <t>EPS Diluted (INR)</t>
  </si>
  <si>
    <t>Particulars (INR Mn)</t>
  </si>
  <si>
    <t>FY20</t>
  </si>
  <si>
    <t>FY21</t>
  </si>
  <si>
    <t>FY22</t>
  </si>
  <si>
    <t>FY23</t>
  </si>
  <si>
    <t>Historical Consolidated Financial Performance</t>
  </si>
  <si>
    <t>Revenue (INR Mn) &amp; Gross Margins (%)</t>
  </si>
  <si>
    <t>EBITDA (INR Mn) &amp; Margins (%)</t>
  </si>
  <si>
    <t>PAT (INR Mn) &amp; Margins (%)</t>
  </si>
  <si>
    <t>Leverage Ratio (x)</t>
  </si>
  <si>
    <t>ROE &amp; RoCE (%)</t>
  </si>
  <si>
    <t>Revenue</t>
  </si>
  <si>
    <t>Gross Margin</t>
  </si>
  <si>
    <t>ROE</t>
  </si>
  <si>
    <t>ROCE</t>
  </si>
  <si>
    <t>EBITDA</t>
  </si>
  <si>
    <t>PAT</t>
  </si>
  <si>
    <t>PAT (%)</t>
  </si>
  <si>
    <t>EBITDA (%)</t>
  </si>
  <si>
    <t>FY19</t>
  </si>
  <si>
    <t>Exceptional Item</t>
  </si>
  <si>
    <t>PBT</t>
  </si>
  <si>
    <t>NA</t>
  </si>
  <si>
    <t>In Million</t>
  </si>
  <si>
    <t>Rounded Off</t>
  </si>
  <si>
    <t>Heritage Foods Ltd. (Consolidated)</t>
  </si>
  <si>
    <t>March Year Ended (INR Mn)</t>
  </si>
  <si>
    <t>FY16</t>
  </si>
  <si>
    <t>FY17</t>
  </si>
  <si>
    <t>FY18</t>
  </si>
  <si>
    <t>Income</t>
  </si>
  <si>
    <t>Share Capital</t>
  </si>
  <si>
    <t>Growth (%)</t>
  </si>
  <si>
    <t>Other Equity</t>
  </si>
  <si>
    <t>CAGR (%) - 3 Years</t>
  </si>
  <si>
    <t>Non-controlling Interest</t>
  </si>
  <si>
    <t>Expenditure</t>
  </si>
  <si>
    <t>Networth/Shareholders' Fund/ Book Value</t>
  </si>
  <si>
    <t>Cost of Materials Consumed</t>
  </si>
  <si>
    <t>Excise Duty</t>
  </si>
  <si>
    <t>Long Term Debt</t>
  </si>
  <si>
    <t>Purchase of Stock-in-Trade</t>
  </si>
  <si>
    <t>Short Term Debt</t>
  </si>
  <si>
    <t>Changes in Inventories of FG, SIT and WIP</t>
  </si>
  <si>
    <t>Total Loans</t>
  </si>
  <si>
    <t>Employee Benefit Expense</t>
  </si>
  <si>
    <t>Impairment Losses</t>
  </si>
  <si>
    <t>Capital Employed (Asset)</t>
  </si>
  <si>
    <t>Other Expenses</t>
  </si>
  <si>
    <t>Capital Employed (Liabilities)</t>
  </si>
  <si>
    <t>EBITDA margin (%)</t>
  </si>
  <si>
    <t>Gross Block</t>
  </si>
  <si>
    <t>NON-CURRENT ASSETS</t>
  </si>
  <si>
    <t>Property, Plant and Equipment</t>
  </si>
  <si>
    <t>Capital work-in-progress</t>
  </si>
  <si>
    <t>Investment Property</t>
  </si>
  <si>
    <t>Other Intangible Assets</t>
  </si>
  <si>
    <t>Intangible Assets Under Development</t>
  </si>
  <si>
    <t>Share of Loss of an Associate &amp; JV</t>
  </si>
  <si>
    <t>Financial Assets</t>
  </si>
  <si>
    <t>Investments in associate &amp; joint venture</t>
  </si>
  <si>
    <t>Other Investments</t>
  </si>
  <si>
    <t>Effective tax rate (%)</t>
  </si>
  <si>
    <t>Loans</t>
  </si>
  <si>
    <t>PAT from Continuing Operations</t>
  </si>
  <si>
    <t>Other financial assets</t>
  </si>
  <si>
    <t>PBT from Discontinuing Operations</t>
  </si>
  <si>
    <t>Deferred Tax Asset (Net)</t>
  </si>
  <si>
    <t>Other non-current assets</t>
  </si>
  <si>
    <t>PAT from Discontinuing Operations</t>
  </si>
  <si>
    <t>Net Profit for the Year</t>
  </si>
  <si>
    <t>PAT margin (%)</t>
  </si>
  <si>
    <t>CURRENT ASSETS, LOANS &amp; ADVANCES</t>
  </si>
  <si>
    <t>Inventories</t>
  </si>
  <si>
    <t>Financial assets</t>
  </si>
  <si>
    <t>Investments</t>
  </si>
  <si>
    <t>Total  Comprehensive Income</t>
  </si>
  <si>
    <t>Trade Receivable</t>
  </si>
  <si>
    <t>Cash and cash equivalents</t>
  </si>
  <si>
    <t>Other bank balances</t>
  </si>
  <si>
    <t>EPS</t>
  </si>
  <si>
    <t>Basic</t>
  </si>
  <si>
    <t>Other Financial Assets</t>
  </si>
  <si>
    <t>Diluted</t>
  </si>
  <si>
    <t>Current Tax Assets (Net)</t>
  </si>
  <si>
    <t>Other Current Assets</t>
  </si>
  <si>
    <t>CASH FLOW STATEMENT</t>
  </si>
  <si>
    <t>PROPERTY, PLANT &amp; EQUIPMENT HELD FOR SALE</t>
  </si>
  <si>
    <t>Cash and Cash Equivalents at Beginning of the year</t>
  </si>
  <si>
    <t>Cash Flow From Operating Activities</t>
  </si>
  <si>
    <t>CURRENT LIABILITIES &amp; PROVISIONS</t>
  </si>
  <si>
    <t>Cash Flow from Investing Activities</t>
  </si>
  <si>
    <t>Trade Payables</t>
  </si>
  <si>
    <t>Cash Flow From Financing Activities</t>
  </si>
  <si>
    <t>Other Financial Liabilities</t>
  </si>
  <si>
    <t>Net Inc./(Dec.) in Cash and Cash Equivalent</t>
  </si>
  <si>
    <t>Other Current Liabilities</t>
  </si>
  <si>
    <t>Cash and Cash Equivalents at End of the year</t>
  </si>
  <si>
    <t>Provisions</t>
  </si>
  <si>
    <t>Current Tax Liabilities (Net)</t>
  </si>
  <si>
    <t>Our Calculations</t>
  </si>
  <si>
    <t xml:space="preserve">Operating Cash Inflow </t>
  </si>
  <si>
    <t>NET CURRENT ASSETS</t>
  </si>
  <si>
    <t>Capital Expenditure</t>
  </si>
  <si>
    <t>FCF</t>
  </si>
  <si>
    <t>Deferred Tax Liability (Net)</t>
  </si>
  <si>
    <t>Other Non Current Liabilities</t>
  </si>
  <si>
    <t>Long Term Provision</t>
  </si>
  <si>
    <t>No. of Shares (in Mn)</t>
  </si>
  <si>
    <t>Face Value per share (INR)</t>
  </si>
  <si>
    <t>Market Cap (INR Mn)</t>
  </si>
  <si>
    <t>Liabilities related to assets held for sale</t>
  </si>
  <si>
    <t>Total Debt</t>
  </si>
  <si>
    <t>Cash</t>
  </si>
  <si>
    <t>TOTAL LIABILITIES</t>
  </si>
  <si>
    <t>Enterprise Value</t>
  </si>
  <si>
    <t>TOTAL ASSETS</t>
  </si>
  <si>
    <t>CMP(Rs)</t>
  </si>
  <si>
    <t>EPS (Rs)</t>
  </si>
  <si>
    <t>BVPS (Rs)</t>
  </si>
  <si>
    <t>DPS (Rs)</t>
  </si>
  <si>
    <t>P/E (x)</t>
  </si>
  <si>
    <t>P/BV (x)</t>
  </si>
  <si>
    <t>EV/EBIDTA (x)</t>
  </si>
  <si>
    <t>Fixed Asset Tunover</t>
  </si>
  <si>
    <t>RoE (%)</t>
  </si>
  <si>
    <t>RoCE (%)</t>
  </si>
  <si>
    <t>Gross D/E(x)</t>
  </si>
  <si>
    <t>Net D/E (x)</t>
  </si>
  <si>
    <t>Dividend Yield</t>
  </si>
  <si>
    <t>Debtor Days</t>
  </si>
  <si>
    <t>Creditor Days</t>
  </si>
  <si>
    <t>Inventory Days</t>
  </si>
  <si>
    <t>Cash Conversion cycle</t>
  </si>
  <si>
    <t>Working Capital Days</t>
  </si>
  <si>
    <t>Interest Cost</t>
  </si>
  <si>
    <t>Interest Coverage</t>
  </si>
  <si>
    <t>Adj EPS</t>
  </si>
  <si>
    <t>Lease obligations (NC+CM)</t>
  </si>
  <si>
    <t>Q2-FY24</t>
  </si>
  <si>
    <t>9m-FY24</t>
  </si>
  <si>
    <t>9m-FY23</t>
  </si>
  <si>
    <t>9-o-9</t>
  </si>
  <si>
    <t>Q3-FY24</t>
  </si>
  <si>
    <t>Q3-FY23</t>
  </si>
  <si>
    <t>Q3-o-Q3</t>
  </si>
  <si>
    <t>Q3-o-Q2</t>
  </si>
  <si>
    <t>FY24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</si>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</sst>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b/>
      <i/>
      <sz val="12"/>
      <color theme="1"/>
      <name val="Calibri Light"/>
      <family val="2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2"/>
      <name val="Calibri"/>
      <family val="2"/>
    </font>
    <font>
      <i/>
      <sz val="11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1"/>
      <color rgb="FFC00000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</cellStyleXfs>
  <cellXfs count="13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readingOrder="1"/>
    </xf>
    <xf numFmtId="0" fontId="0" fillId="0" borderId="1" xfId="0" applyBorder="1" applyAlignment="1">
      <alignment vertical="center" readingOrder="1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1" xfId="1" applyNumberFormat="1" applyFont="1" applyBorder="1"/>
    <xf numFmtId="165" fontId="0" fillId="0" borderId="0" xfId="1" applyNumberFormat="1" applyFont="1"/>
    <xf numFmtId="0" fontId="3" fillId="0" borderId="0" xfId="0" applyFont="1" applyAlignment="1">
      <alignment horizontal="left" vertical="center" readingOrder="1"/>
    </xf>
    <xf numFmtId="0" fontId="4" fillId="0" borderId="1" xfId="0" applyFont="1" applyBorder="1" applyAlignment="1">
      <alignment horizontal="left" vertical="center" readingOrder="1"/>
    </xf>
    <xf numFmtId="0" fontId="5" fillId="0" borderId="1" xfId="0" applyFont="1" applyBorder="1" applyAlignment="1">
      <alignment horizontal="left" vertical="center" readingOrder="1"/>
    </xf>
    <xf numFmtId="3" fontId="5" fillId="0" borderId="1" xfId="0" applyNumberFormat="1" applyFont="1" applyBorder="1" applyAlignment="1">
      <alignment horizontal="right" vertical="center" wrapText="1" readingOrder="1"/>
    </xf>
    <xf numFmtId="0" fontId="6" fillId="0" borderId="1" xfId="0" applyFont="1" applyBorder="1" applyAlignment="1">
      <alignment horizontal="left" vertical="center" readingOrder="1"/>
    </xf>
    <xf numFmtId="0" fontId="5" fillId="0" borderId="1" xfId="0" applyFont="1" applyBorder="1" applyAlignment="1">
      <alignment horizontal="right" vertical="center" wrapText="1" readingOrder="1"/>
    </xf>
    <xf numFmtId="0" fontId="7" fillId="0" borderId="0" xfId="0" applyFont="1" applyAlignment="1">
      <alignment horizontal="center" vertical="center" readingOrder="1"/>
    </xf>
    <xf numFmtId="10" fontId="0" fillId="0" borderId="1" xfId="0" applyNumberFormat="1" applyBorder="1"/>
    <xf numFmtId="166" fontId="0" fillId="0" borderId="1" xfId="0" applyNumberFormat="1" applyBorder="1"/>
    <xf numFmtId="165" fontId="0" fillId="0" borderId="0" xfId="1" applyNumberFormat="1" applyFont="1" applyBorder="1"/>
    <xf numFmtId="0" fontId="0" fillId="0" borderId="6" xfId="0" applyBorder="1"/>
    <xf numFmtId="0" fontId="2" fillId="0" borderId="6" xfId="0" applyFont="1" applyBorder="1"/>
    <xf numFmtId="0" fontId="8" fillId="0" borderId="1" xfId="0" applyFont="1" applyBorder="1" applyAlignment="1">
      <alignment horizontal="right" readingOrder="1"/>
    </xf>
    <xf numFmtId="10" fontId="10" fillId="0" borderId="1" xfId="2" applyNumberFormat="1" applyFont="1" applyBorder="1" applyAlignment="1">
      <alignment horizontal="right" readingOrder="1"/>
    </xf>
    <xf numFmtId="166" fontId="8" fillId="0" borderId="1" xfId="2" applyNumberFormat="1" applyFont="1" applyBorder="1" applyAlignment="1">
      <alignment horizontal="right" vertical="center" readingOrder="1"/>
    </xf>
    <xf numFmtId="166" fontId="9" fillId="0" borderId="1" xfId="2" applyNumberFormat="1" applyFont="1" applyBorder="1" applyAlignment="1">
      <alignment horizontal="right" vertical="center" readingOrder="1"/>
    </xf>
    <xf numFmtId="3" fontId="8" fillId="0" borderId="1" xfId="0" applyNumberFormat="1" applyFont="1" applyBorder="1" applyAlignment="1">
      <alignment horizontal="right" vertical="center" wrapText="1" readingOrder="1"/>
    </xf>
    <xf numFmtId="165" fontId="8" fillId="0" borderId="1" xfId="1" applyNumberFormat="1" applyFont="1" applyBorder="1" applyAlignment="1">
      <alignment horizontal="right" vertical="center" readingOrder="1"/>
    </xf>
    <xf numFmtId="10" fontId="10" fillId="0" borderId="1" xfId="2" applyNumberFormat="1" applyFont="1" applyBorder="1" applyAlignment="1">
      <alignment horizontal="right" vertical="center" readingOrder="1"/>
    </xf>
    <xf numFmtId="166" fontId="2" fillId="0" borderId="1" xfId="2" applyNumberFormat="1" applyFont="1" applyBorder="1" applyAlignment="1">
      <alignment horizontal="right"/>
    </xf>
    <xf numFmtId="165" fontId="9" fillId="0" borderId="1" xfId="1" applyNumberFormat="1" applyFont="1" applyBorder="1" applyAlignment="1">
      <alignment horizontal="right" vertical="center" readingOrder="1"/>
    </xf>
    <xf numFmtId="10" fontId="10" fillId="0" borderId="1" xfId="0" applyNumberFormat="1" applyFont="1" applyBorder="1" applyAlignment="1">
      <alignment horizontal="right" vertical="center" wrapText="1" readingOrder="1"/>
    </xf>
    <xf numFmtId="2" fontId="8" fillId="0" borderId="1" xfId="0" applyNumberFormat="1" applyFont="1" applyBorder="1" applyAlignment="1">
      <alignment horizontal="right" vertical="center" readingOrder="1"/>
    </xf>
    <xf numFmtId="0" fontId="11" fillId="0" borderId="1" xfId="0" applyFont="1" applyBorder="1" applyAlignment="1">
      <alignment horizontal="left" readingOrder="1"/>
    </xf>
    <xf numFmtId="0" fontId="11" fillId="0" borderId="1" xfId="0" applyFont="1" applyBorder="1" applyAlignment="1">
      <alignment horizontal="center" readingOrder="1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2" fontId="0" fillId="0" borderId="6" xfId="0" applyNumberFormat="1" applyBorder="1" applyAlignment="1">
      <alignment horizontal="right"/>
    </xf>
    <xf numFmtId="43" fontId="0" fillId="0" borderId="6" xfId="1" applyFont="1" applyFill="1" applyBorder="1" applyAlignment="1">
      <alignment horizontal="center"/>
    </xf>
    <xf numFmtId="0" fontId="12" fillId="4" borderId="6" xfId="0" applyFont="1" applyFill="1" applyBorder="1"/>
    <xf numFmtId="166" fontId="12" fillId="4" borderId="6" xfId="2" applyNumberFormat="1" applyFont="1" applyFill="1" applyBorder="1"/>
    <xf numFmtId="43" fontId="12" fillId="4" borderId="6" xfId="1" applyFont="1" applyFill="1" applyBorder="1"/>
    <xf numFmtId="166" fontId="12" fillId="0" borderId="0" xfId="2" applyNumberFormat="1" applyFont="1" applyFill="1" applyBorder="1"/>
    <xf numFmtId="0" fontId="13" fillId="0" borderId="6" xfId="0" applyFont="1" applyBorder="1"/>
    <xf numFmtId="43" fontId="0" fillId="0" borderId="6" xfId="1" applyFont="1" applyBorder="1"/>
    <xf numFmtId="43" fontId="0" fillId="0" borderId="0" xfId="1" applyFont="1" applyFill="1"/>
    <xf numFmtId="0" fontId="2" fillId="5" borderId="1" xfId="0" applyFont="1" applyFill="1" applyBorder="1"/>
    <xf numFmtId="43" fontId="2" fillId="5" borderId="1" xfId="1" applyFont="1" applyFill="1" applyBorder="1"/>
    <xf numFmtId="0" fontId="0" fillId="0" borderId="6" xfId="0" applyBorder="1" applyAlignment="1">
      <alignment horizontal="left" indent="1"/>
    </xf>
    <xf numFmtId="43" fontId="1" fillId="0" borderId="0" xfId="1" applyFont="1" applyFill="1" applyBorder="1"/>
    <xf numFmtId="43" fontId="0" fillId="0" borderId="0" xfId="1" applyFont="1" applyFill="1" applyBorder="1" applyAlignment="1">
      <alignment horizontal="center"/>
    </xf>
    <xf numFmtId="43" fontId="0" fillId="0" borderId="6" xfId="1" applyFont="1" applyBorder="1" applyAlignment="1">
      <alignment horizontal="center"/>
    </xf>
    <xf numFmtId="43" fontId="2" fillId="0" borderId="6" xfId="1" applyFont="1" applyBorder="1"/>
    <xf numFmtId="43" fontId="0" fillId="0" borderId="6" xfId="1" applyFont="1" applyFill="1" applyBorder="1" applyAlignment="1">
      <alignment horizontal="right"/>
    </xf>
    <xf numFmtId="43" fontId="2" fillId="0" borderId="0" xfId="1" applyFont="1" applyFill="1"/>
    <xf numFmtId="0" fontId="2" fillId="5" borderId="6" xfId="0" applyFont="1" applyFill="1" applyBorder="1"/>
    <xf numFmtId="43" fontId="2" fillId="5" borderId="6" xfId="1" applyFont="1" applyFill="1" applyBorder="1"/>
    <xf numFmtId="10" fontId="12" fillId="0" borderId="0" xfId="2" applyNumberFormat="1" applyFont="1" applyFill="1"/>
    <xf numFmtId="10" fontId="12" fillId="4" borderId="6" xfId="2" applyNumberFormat="1" applyFont="1" applyFill="1" applyBorder="1"/>
    <xf numFmtId="0" fontId="14" fillId="0" borderId="6" xfId="0" applyFont="1" applyBorder="1"/>
    <xf numFmtId="43" fontId="15" fillId="4" borderId="6" xfId="1" applyFont="1" applyFill="1" applyBorder="1"/>
    <xf numFmtId="43" fontId="2" fillId="0" borderId="0" xfId="1" applyFont="1" applyFill="1" applyBorder="1"/>
    <xf numFmtId="0" fontId="0" fillId="0" borderId="6" xfId="0" applyBorder="1" applyAlignment="1">
      <alignment horizontal="left"/>
    </xf>
    <xf numFmtId="43" fontId="0" fillId="0" borderId="0" xfId="1" applyFont="1" applyFill="1" applyBorder="1"/>
    <xf numFmtId="0" fontId="2" fillId="4" borderId="6" xfId="0" applyFont="1" applyFill="1" applyBorder="1"/>
    <xf numFmtId="43" fontId="2" fillId="4" borderId="6" xfId="1" applyFont="1" applyFill="1" applyBorder="1"/>
    <xf numFmtId="166" fontId="12" fillId="0" borderId="0" xfId="2" applyNumberFormat="1" applyFont="1" applyFill="1"/>
    <xf numFmtId="43" fontId="2" fillId="0" borderId="0" xfId="1" applyFont="1" applyFill="1" applyBorder="1" applyAlignment="1">
      <alignment horizontal="center"/>
    </xf>
    <xf numFmtId="43" fontId="2" fillId="4" borderId="6" xfId="1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43" fontId="0" fillId="0" borderId="0" xfId="0" applyNumberFormat="1"/>
    <xf numFmtId="0" fontId="2" fillId="0" borderId="1" xfId="0" applyFont="1" applyBorder="1"/>
    <xf numFmtId="43" fontId="2" fillId="0" borderId="1" xfId="1" applyFont="1" applyBorder="1"/>
    <xf numFmtId="43" fontId="0" fillId="0" borderId="6" xfId="1" applyFont="1" applyBorder="1" applyAlignment="1">
      <alignment horizontal="right"/>
    </xf>
    <xf numFmtId="0" fontId="0" fillId="6" borderId="1" xfId="0" applyFill="1" applyBorder="1"/>
    <xf numFmtId="0" fontId="16" fillId="4" borderId="6" xfId="0" applyFont="1" applyFill="1" applyBorder="1"/>
    <xf numFmtId="43" fontId="16" fillId="4" borderId="6" xfId="1" applyFont="1" applyFill="1" applyBorder="1"/>
    <xf numFmtId="43" fontId="0" fillId="0" borderId="0" xfId="1" applyFont="1"/>
    <xf numFmtId="43" fontId="0" fillId="0" borderId="3" xfId="1" applyFont="1" applyBorder="1"/>
    <xf numFmtId="43" fontId="2" fillId="5" borderId="3" xfId="1" applyFont="1" applyFill="1" applyBorder="1"/>
    <xf numFmtId="0" fontId="0" fillId="4" borderId="6" xfId="0" applyFill="1" applyBorder="1"/>
    <xf numFmtId="43" fontId="0" fillId="4" borderId="6" xfId="1" applyFont="1" applyFill="1" applyBorder="1"/>
    <xf numFmtId="43" fontId="0" fillId="0" borderId="6" xfId="1" applyFont="1" applyFill="1" applyBorder="1"/>
    <xf numFmtId="43" fontId="1" fillId="0" borderId="6" xfId="1" applyFont="1" applyBorder="1"/>
    <xf numFmtId="0" fontId="17" fillId="0" borderId="0" xfId="0" applyFont="1"/>
    <xf numFmtId="3" fontId="0" fillId="0" borderId="0" xfId="0" applyNumberFormat="1"/>
    <xf numFmtId="43" fontId="0" fillId="4" borderId="6" xfId="1" applyFont="1" applyFill="1" applyBorder="1" applyAlignment="1">
      <alignment horizontal="right"/>
    </xf>
    <xf numFmtId="4" fontId="0" fillId="0" borderId="0" xfId="0" applyNumberFormat="1"/>
    <xf numFmtId="166" fontId="0" fillId="4" borderId="6" xfId="2" applyNumberFormat="1" applyFont="1" applyFill="1" applyBorder="1"/>
    <xf numFmtId="10" fontId="0" fillId="4" borderId="6" xfId="2" applyNumberFormat="1" applyFont="1" applyFill="1" applyBorder="1"/>
    <xf numFmtId="0" fontId="0" fillId="4" borderId="3" xfId="0" applyFill="1" applyBorder="1"/>
    <xf numFmtId="43" fontId="0" fillId="4" borderId="3" xfId="1" applyFont="1" applyFill="1" applyBorder="1"/>
    <xf numFmtId="10" fontId="0" fillId="0" borderId="0" xfId="2" applyNumberFormat="1" applyFont="1"/>
    <xf numFmtId="165" fontId="0" fillId="0" borderId="0" xfId="1" applyNumberFormat="1" applyFont="1" applyFill="1" applyBorder="1"/>
    <xf numFmtId="10" fontId="2" fillId="0" borderId="0" xfId="2" applyNumberFormat="1" applyFont="1" applyFill="1" applyBorder="1"/>
    <xf numFmtId="166" fontId="2" fillId="0" borderId="0" xfId="2" applyNumberFormat="1" applyFont="1" applyFill="1" applyBorder="1"/>
    <xf numFmtId="164" fontId="0" fillId="0" borderId="0" xfId="1" applyNumberFormat="1" applyFont="1" applyFill="1" applyBorder="1"/>
    <xf numFmtId="43" fontId="0" fillId="0" borderId="1" xfId="0" applyNumberFormat="1" applyBorder="1"/>
    <xf numFmtId="2" fontId="0" fillId="0" borderId="0" xfId="0" applyNumberFormat="1"/>
    <xf numFmtId="43" fontId="8" fillId="0" borderId="1" xfId="0" applyNumberFormat="1" applyFont="1" applyBorder="1" applyAlignment="1">
      <alignment horizontal="right" readingOrder="1"/>
    </xf>
    <xf numFmtId="43" fontId="9" fillId="0" borderId="1" xfId="0" applyNumberFormat="1" applyFont="1" applyBorder="1" applyAlignment="1">
      <alignment horizontal="right" readingOrder="1"/>
    </xf>
    <xf numFmtId="165" fontId="0" fillId="7" borderId="1" xfId="1" applyNumberFormat="1" applyFont="1" applyFill="1" applyBorder="1"/>
    <xf numFmtId="166" fontId="0" fillId="7" borderId="1" xfId="0" applyNumberFormat="1" applyFill="1" applyBorder="1"/>
    <xf numFmtId="10" fontId="0" fillId="7" borderId="1" xfId="0" applyNumberFormat="1" applyFill="1" applyBorder="1"/>
    <xf numFmtId="43" fontId="0" fillId="0" borderId="8" xfId="1" applyFont="1" applyBorder="1"/>
    <xf numFmtId="43" fontId="0" fillId="0" borderId="8" xfId="1" applyFont="1" applyFill="1" applyBorder="1" applyAlignment="1">
      <alignment horizontal="center"/>
    </xf>
    <xf numFmtId="43" fontId="0" fillId="0" borderId="7" xfId="1" applyFont="1" applyBorder="1"/>
    <xf numFmtId="0" fontId="0" fillId="0" borderId="3" xfId="0" applyBorder="1"/>
    <xf numFmtId="2" fontId="0" fillId="0" borderId="3" xfId="0" applyNumberFormat="1" applyBorder="1"/>
    <xf numFmtId="43" fontId="0" fillId="0" borderId="6" xfId="0" applyNumberFormat="1" applyBorder="1"/>
    <xf numFmtId="2" fontId="0" fillId="0" borderId="6" xfId="0" applyNumberFormat="1" applyBorder="1"/>
    <xf numFmtId="3" fontId="22" fillId="0" borderId="1" xfId="0" applyNumberFormat="1" applyFont="1" applyBorder="1" applyAlignment="1">
      <alignment horizontal="right" vertical="center" wrapText="1" readingOrder="1"/>
    </xf>
    <xf numFmtId="43" fontId="9" fillId="0" borderId="1" xfId="1" applyFont="1" applyBorder="1" applyAlignment="1">
      <alignment horizontal="right" vertical="center" readingOrder="1"/>
    </xf>
    <xf numFmtId="1" fontId="5" fillId="0" borderId="1" xfId="0" applyNumberFormat="1" applyFont="1" applyBorder="1" applyAlignment="1">
      <alignment horizontal="right" vertical="center" wrapText="1" readingOrder="1"/>
    </xf>
    <xf numFmtId="1" fontId="4" fillId="0" borderId="1" xfId="0" applyNumberFormat="1" applyFont="1" applyBorder="1" applyAlignment="1">
      <alignment horizontal="right" vertical="center" wrapText="1" readingOrder="1"/>
    </xf>
    <xf numFmtId="1" fontId="9" fillId="0" borderId="1" xfId="0" applyNumberFormat="1" applyFont="1" applyBorder="1" applyAlignment="1">
      <alignment horizontal="right" vertical="center" wrapText="1" readingOrder="1"/>
    </xf>
    <xf numFmtId="1" fontId="0" fillId="0" borderId="1" xfId="0" applyNumberFormat="1" applyBorder="1"/>
    <xf numFmtId="2" fontId="9" fillId="0" borderId="1" xfId="0" applyNumberFormat="1" applyFont="1" applyBorder="1" applyAlignment="1">
      <alignment horizontal="right" vertical="center" wrapText="1" readingOrder="1"/>
    </xf>
    <xf numFmtId="43" fontId="23" fillId="0" borderId="1" xfId="1" applyFont="1" applyBorder="1" applyAlignment="1">
      <alignment horizontal="right" vertical="center" readingOrder="1"/>
    </xf>
    <xf numFmtId="0" fontId="11" fillId="7" borderId="1" xfId="0" applyFont="1" applyFill="1" applyBorder="1" applyAlignment="1">
      <alignment horizontal="center" readingOrder="1"/>
    </xf>
    <xf numFmtId="0" fontId="11" fillId="2" borderId="1" xfId="0" applyFont="1" applyFill="1" applyBorder="1" applyAlignment="1">
      <alignment horizontal="center" readingOrder="1"/>
    </xf>
    <xf numFmtId="0" fontId="11" fillId="6" borderId="1" xfId="0" applyFont="1" applyFill="1" applyBorder="1" applyAlignment="1">
      <alignment horizontal="center" readingOrder="1"/>
    </xf>
    <xf numFmtId="165" fontId="0" fillId="0" borderId="0" xfId="0" applyNumberFormat="1"/>
    <xf numFmtId="1" fontId="0" fillId="0" borderId="0" xfId="0" applyNumberFormat="1"/>
    <xf numFmtId="0" fontId="21" fillId="0" borderId="0" xfId="0" applyFont="1" applyAlignment="1">
      <alignment horizontal="left"/>
    </xf>
    <xf numFmtId="2" fontId="0" fillId="0" borderId="6" xfId="0" applyNumberFormat="1" applyFill="1" applyBorder="1"/>
    <xf numFmtId="0" fontId="0" fillId="0" borderId="6" xfId="0" applyFill="1" applyBorder="1"/>
    <xf numFmtId="43" fontId="0" fillId="0" borderId="0" xfId="0" applyNumberFormat="1" applyBorder="1"/>
    <xf numFmtId="0" fontId="0" fillId="0" borderId="0" xfId="0" applyBorder="1"/>
    <xf numFmtId="0" fontId="2" fillId="0" borderId="1" xfId="0" applyFont="1" applyBorder="1" applyAlignment="1">
      <alignment horizontal="center" vertical="center" readingOrder="1"/>
    </xf>
    <xf numFmtId="0" fontId="3" fillId="0" borderId="1" xfId="0" applyFont="1" applyBorder="1" applyAlignment="1">
      <alignment horizontal="center" vertical="center" readingOrder="1"/>
    </xf>
    <xf numFmtId="0" fontId="3" fillId="0" borderId="4" xfId="0" applyFont="1" applyBorder="1" applyAlignment="1">
      <alignment horizontal="center" vertical="center" readingOrder="1"/>
    </xf>
    <xf numFmtId="0" fontId="3" fillId="0" borderId="5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- Style1 10" xfId="3"/>
    <cellStyle name="Percent" xfId="2" builtinId="5"/>
  </cellStyles>
  <dxfs count="0"/>
  <tableStyles count="0" defaultTableStyle="TableStyleMedium2" defaultPivotStyle="PivotStyleLight16"/>
  <colors>
    <mruColors>
      <color rgb="FFFFCF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228328561582193E-2"/>
          <c:y val="6.3492063492063489E-2"/>
          <c:w val="0.89954334287683557"/>
          <c:h val="0.758742379424794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F0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'Slide 9'!$B$6:$D$6</c:f>
              <c:strCache>
                <c:ptCount val="3"/>
                <c:pt idx="0">
                  <c:v>Q3-FY23</c:v>
                </c:pt>
                <c:pt idx="1">
                  <c:v>Q2-FY24</c:v>
                </c:pt>
                <c:pt idx="2">
                  <c:v>Q3-FY24</c:v>
                </c:pt>
              </c:strCache>
            </c:strRef>
          </c:cat>
          <c:val>
            <c:numRef>
              <c:f>'Slide 9'!$B$7:$D$7</c:f>
              <c:numCache>
                <c:formatCode>_ * #,##0_ ;_ * \-#,##0_ ;_ * "-"??_ ;_ @_ </c:formatCode>
                <c:ptCount val="3"/>
                <c:pt idx="0">
                  <c:v>5182.5680000000002</c:v>
                </c:pt>
                <c:pt idx="1">
                  <c:v>5711.4930000000004</c:v>
                </c:pt>
                <c:pt idx="2">
                  <c:v>5575.6350000000002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BA-463C-9644-BDC0EBDA59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-27"/>
        <c:axId val="208130816"/>
        <c:axId val="208133504"/>
      </c:barChart>
      <c:catAx>
        <c:axId val="20813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33504"/>
        <c:crosses val="autoZero"/>
        <c:auto val="1"/>
        <c:lblAlgn val="ctr"/>
        <c:lblOffset val="100"/>
        <c:noMultiLvlLbl val="0"/>
      </c:catAx>
      <c:valAx>
        <c:axId val="208133504"/>
        <c:scaling>
          <c:orientation val="minMax"/>
        </c:scaling>
        <c:delete val="1"/>
        <c:axPos val="l"/>
        <c:numFmt formatCode="_ * #,##0_ ;_ * \-#,##0_ ;_ * &quot;-&quot;??_ ;_ @_ " sourceLinked="1"/>
        <c:majorTickMark val="none"/>
        <c:minorTickMark val="none"/>
        <c:tickLblPos val="nextTo"/>
        <c:crossAx val="208130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F0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'Slide 9'!$B$21:$D$21</c:f>
              <c:strCache>
                <c:ptCount val="3"/>
                <c:pt idx="0">
                  <c:v>Q3-FY23</c:v>
                </c:pt>
                <c:pt idx="1">
                  <c:v>Q2-FY24</c:v>
                </c:pt>
                <c:pt idx="2">
                  <c:v>Q3-FY24</c:v>
                </c:pt>
              </c:strCache>
            </c:strRef>
          </c:cat>
          <c:val>
            <c:numRef>
              <c:f>'Slide 9'!$B$22:$D$22</c:f>
              <c:numCache>
                <c:formatCode>_ * #,##0_ ;_ * \-#,##0_ ;_ * "-"??_ ;_ @_ </c:formatCode>
                <c:ptCount val="3"/>
                <c:pt idx="0">
                  <c:v>400.971</c:v>
                </c:pt>
                <c:pt idx="1">
                  <c:v>1086.126</c:v>
                </c:pt>
                <c:pt idx="2">
                  <c:v>935.96100000000001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8-48CE-83F0-DC638DC86FE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-27"/>
        <c:axId val="208476800"/>
        <c:axId val="208500224"/>
      </c:barChart>
      <c:catAx>
        <c:axId val="20847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500224"/>
        <c:crosses val="autoZero"/>
        <c:auto val="1"/>
        <c:lblAlgn val="ctr"/>
        <c:lblOffset val="100"/>
        <c:noMultiLvlLbl val="0"/>
      </c:catAx>
      <c:valAx>
        <c:axId val="208500224"/>
        <c:scaling>
          <c:orientation val="minMax"/>
        </c:scaling>
        <c:delete val="1"/>
        <c:axPos val="l"/>
        <c:numFmt formatCode="_ * #,##0_ ;_ * \-#,##0_ ;_ * &quot;-&quot;??_ ;_ @_ " sourceLinked="1"/>
        <c:majorTickMark val="none"/>
        <c:minorTickMark val="none"/>
        <c:tickLblPos val="nextTo"/>
        <c:crossAx val="20847680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F0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'Slide 9'!$F$6:$H$6</c:f>
              <c:strCache>
                <c:ptCount val="3"/>
                <c:pt idx="0">
                  <c:v>Q3-FY23</c:v>
                </c:pt>
                <c:pt idx="1">
                  <c:v>Q2-FY24</c:v>
                </c:pt>
                <c:pt idx="2">
                  <c:v>Q3-FY24</c:v>
                </c:pt>
              </c:strCache>
            </c:strRef>
          </c:cat>
          <c:val>
            <c:numRef>
              <c:f>'Slide 9'!$F$7:$H$7</c:f>
              <c:numCache>
                <c:formatCode>_ * #,##0_ ;_ * \-#,##0_ ;_ * "-"??_ ;_ @_ </c:formatCode>
                <c:ptCount val="3"/>
                <c:pt idx="0">
                  <c:v>1984.6110000000001</c:v>
                </c:pt>
                <c:pt idx="1">
                  <c:v>2578.71</c:v>
                </c:pt>
                <c:pt idx="2">
                  <c:v>2444.931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89-43B8-9664-ED1BE2D7CB4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-27"/>
        <c:axId val="208524032"/>
        <c:axId val="208526720"/>
      </c:barChart>
      <c:catAx>
        <c:axId val="20852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526720"/>
        <c:crosses val="autoZero"/>
        <c:auto val="1"/>
        <c:lblAlgn val="ctr"/>
        <c:lblOffset val="100"/>
        <c:noMultiLvlLbl val="0"/>
      </c:catAx>
      <c:valAx>
        <c:axId val="208526720"/>
        <c:scaling>
          <c:orientation val="minMax"/>
        </c:scaling>
        <c:delete val="1"/>
        <c:axPos val="l"/>
        <c:numFmt formatCode="_ * #,##0_ ;_ * \-#,##0_ ;_ * &quot;-&quot;??_ ;_ @_ " sourceLinked="1"/>
        <c:majorTickMark val="none"/>
        <c:minorTickMark val="none"/>
        <c:tickLblPos val="nextTo"/>
        <c:crossAx val="208524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F0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'Slide 9'!$F$21:$H$21</c:f>
              <c:strCache>
                <c:ptCount val="3"/>
                <c:pt idx="0">
                  <c:v>Q3-FY23</c:v>
                </c:pt>
                <c:pt idx="1">
                  <c:v>Q2-FY24</c:v>
                </c:pt>
                <c:pt idx="2">
                  <c:v>Q3-FY24</c:v>
                </c:pt>
              </c:strCache>
            </c:strRef>
          </c:cat>
          <c:val>
            <c:numRef>
              <c:f>'Slide 9'!$F$22:$H$22</c:f>
              <c:numCache>
                <c:formatCode>_ * #,##0_ ;_ * \-#,##0_ ;_ * "-"??_ ;_ @_ </c:formatCode>
                <c:ptCount val="3"/>
                <c:pt idx="0">
                  <c:v>99.275000000000006</c:v>
                </c:pt>
                <c:pt idx="1">
                  <c:v>156.08700000000002</c:v>
                </c:pt>
                <c:pt idx="2">
                  <c:v>145.768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B0-4DA7-8F67-4F8C868663B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-27"/>
        <c:axId val="208644736"/>
        <c:axId val="208651776"/>
      </c:barChart>
      <c:catAx>
        <c:axId val="208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651776"/>
        <c:crosses val="autoZero"/>
        <c:auto val="1"/>
        <c:lblAlgn val="ctr"/>
        <c:lblOffset val="100"/>
        <c:noMultiLvlLbl val="0"/>
      </c:catAx>
      <c:valAx>
        <c:axId val="208651776"/>
        <c:scaling>
          <c:orientation val="minMax"/>
        </c:scaling>
        <c:delete val="1"/>
        <c:axPos val="l"/>
        <c:numFmt formatCode="_ * #,##0_ ;_ * \-#,##0_ ;_ * &quot;-&quot;??_ ;_ @_ " sourceLinked="1"/>
        <c:majorTickMark val="none"/>
        <c:minorTickMark val="none"/>
        <c:tickLblPos val="nextTo"/>
        <c:crossAx val="20864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228328561582193E-2"/>
          <c:y val="6.3492063492063489E-2"/>
          <c:w val="0.89954334287683557"/>
          <c:h val="0.758742379424794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F0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'Slide 9'!$J$6:$L$6</c:f>
              <c:strCache>
                <c:ptCount val="3"/>
                <c:pt idx="0">
                  <c:v>9m-FY23</c:v>
                </c:pt>
                <c:pt idx="1">
                  <c:v>9m-FY24</c:v>
                </c:pt>
                <c:pt idx="2">
                  <c:v>FY23</c:v>
                </c:pt>
              </c:strCache>
            </c:strRef>
          </c:cat>
          <c:val>
            <c:numRef>
              <c:f>'Slide 9'!$J$7:$L$7</c:f>
              <c:numCache>
                <c:formatCode>_ * #,##0_ ;_ * \-#,##0_ ;_ * "-"??_ ;_ @_ </c:formatCode>
                <c:ptCount val="3"/>
                <c:pt idx="0">
                  <c:v>15334.394</c:v>
                </c:pt>
                <c:pt idx="1">
                  <c:v>16656.044000000002</c:v>
                </c:pt>
                <c:pt idx="2">
                  <c:v>20517.534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BA-463C-9644-BDC0EBDA59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-27"/>
        <c:axId val="208665216"/>
        <c:axId val="208692736"/>
      </c:barChart>
      <c:catAx>
        <c:axId val="20866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692736"/>
        <c:crosses val="autoZero"/>
        <c:auto val="1"/>
        <c:lblAlgn val="ctr"/>
        <c:lblOffset val="100"/>
        <c:noMultiLvlLbl val="0"/>
      </c:catAx>
      <c:valAx>
        <c:axId val="208692736"/>
        <c:scaling>
          <c:orientation val="minMax"/>
        </c:scaling>
        <c:delete val="1"/>
        <c:axPos val="l"/>
        <c:numFmt formatCode="_ * #,##0_ ;_ * \-#,##0_ ;_ * &quot;-&quot;??_ ;_ @_ " sourceLinked="1"/>
        <c:majorTickMark val="none"/>
        <c:minorTickMark val="none"/>
        <c:tickLblPos val="nextTo"/>
        <c:crossAx val="208665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F0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'Slide 9'!$J$21:$L$21</c:f>
              <c:strCache>
                <c:ptCount val="3"/>
                <c:pt idx="0">
                  <c:v>9m-FY23</c:v>
                </c:pt>
                <c:pt idx="1">
                  <c:v>9m-FY24</c:v>
                </c:pt>
                <c:pt idx="2">
                  <c:v>FY23</c:v>
                </c:pt>
              </c:strCache>
            </c:strRef>
          </c:cat>
          <c:val>
            <c:numRef>
              <c:f>'Slide 9'!$J$22:$L$22</c:f>
              <c:numCache>
                <c:formatCode>_ * #,##0_ ;_ * \-#,##0_ ;_ * "-"??_ ;_ @_ </c:formatCode>
                <c:ptCount val="3"/>
                <c:pt idx="0">
                  <c:v>1123.847</c:v>
                </c:pt>
                <c:pt idx="1">
                  <c:v>2335.038</c:v>
                </c:pt>
                <c:pt idx="2">
                  <c:v>1501.002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8-48CE-83F0-DC638DC86FE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-27"/>
        <c:axId val="208708352"/>
        <c:axId val="208711040"/>
      </c:barChart>
      <c:catAx>
        <c:axId val="20870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711040"/>
        <c:crosses val="autoZero"/>
        <c:auto val="1"/>
        <c:lblAlgn val="ctr"/>
        <c:lblOffset val="100"/>
        <c:noMultiLvlLbl val="0"/>
      </c:catAx>
      <c:valAx>
        <c:axId val="208711040"/>
        <c:scaling>
          <c:orientation val="minMax"/>
        </c:scaling>
        <c:delete val="1"/>
        <c:axPos val="l"/>
        <c:numFmt formatCode="_ * #,##0_ ;_ * \-#,##0_ ;_ * &quot;-&quot;??_ ;_ @_ " sourceLinked="1"/>
        <c:majorTickMark val="none"/>
        <c:minorTickMark val="none"/>
        <c:tickLblPos val="nextTo"/>
        <c:crossAx val="20870835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F0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'Slide 9'!$O$6:$Q$6</c:f>
              <c:strCache>
                <c:ptCount val="3"/>
                <c:pt idx="0">
                  <c:v>9m-FY23</c:v>
                </c:pt>
                <c:pt idx="1">
                  <c:v>9m-FY24</c:v>
                </c:pt>
                <c:pt idx="2">
                  <c:v>FY23</c:v>
                </c:pt>
              </c:strCache>
            </c:strRef>
          </c:cat>
          <c:val>
            <c:numRef>
              <c:f>'Slide 9'!$O$7:$Q$7</c:f>
              <c:numCache>
                <c:formatCode>_ * #,##0_ ;_ * \-#,##0_ ;_ * "-"??_ ;_ @_ </c:formatCode>
                <c:ptCount val="3"/>
                <c:pt idx="0">
                  <c:v>7009.2110000000002</c:v>
                </c:pt>
                <c:pt idx="1">
                  <c:v>8244.9350000000013</c:v>
                </c:pt>
                <c:pt idx="2">
                  <c:v>9322.1830000000009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89-43B8-9664-ED1BE2D7CB4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-27"/>
        <c:axId val="209004800"/>
        <c:axId val="209015936"/>
      </c:barChart>
      <c:catAx>
        <c:axId val="20900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015936"/>
        <c:crosses val="autoZero"/>
        <c:auto val="1"/>
        <c:lblAlgn val="ctr"/>
        <c:lblOffset val="100"/>
        <c:noMultiLvlLbl val="0"/>
      </c:catAx>
      <c:valAx>
        <c:axId val="209015936"/>
        <c:scaling>
          <c:orientation val="minMax"/>
        </c:scaling>
        <c:delete val="1"/>
        <c:axPos val="l"/>
        <c:numFmt formatCode="_ * #,##0_ ;_ * \-#,##0_ ;_ * &quot;-&quot;??_ ;_ @_ " sourceLinked="1"/>
        <c:majorTickMark val="none"/>
        <c:minorTickMark val="none"/>
        <c:tickLblPos val="nextTo"/>
        <c:crossAx val="209004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F0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'Slide 9'!$O$21:$Q$21</c:f>
              <c:strCache>
                <c:ptCount val="3"/>
                <c:pt idx="0">
                  <c:v>9m-FY23</c:v>
                </c:pt>
                <c:pt idx="1">
                  <c:v>9m-FY24</c:v>
                </c:pt>
                <c:pt idx="2">
                  <c:v>FY23</c:v>
                </c:pt>
              </c:strCache>
            </c:strRef>
          </c:cat>
          <c:val>
            <c:numRef>
              <c:f>'Slide 9'!$O$22:$Q$22</c:f>
              <c:numCache>
                <c:formatCode>_ * #,##0_ ;_ * \-#,##0_ ;_ * "-"??_ ;_ @_ </c:formatCode>
                <c:ptCount val="3"/>
                <c:pt idx="0">
                  <c:v>398.53900000000004</c:v>
                </c:pt>
                <c:pt idx="1">
                  <c:v>561.88600000000008</c:v>
                </c:pt>
                <c:pt idx="2">
                  <c:v>550.09500000000003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B0-4DA7-8F67-4F8C868663B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-27"/>
        <c:axId val="209052032"/>
        <c:axId val="209054720"/>
      </c:barChart>
      <c:catAx>
        <c:axId val="20905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054720"/>
        <c:crosses val="autoZero"/>
        <c:auto val="1"/>
        <c:lblAlgn val="ctr"/>
        <c:lblOffset val="100"/>
        <c:noMultiLvlLbl val="0"/>
      </c:catAx>
      <c:valAx>
        <c:axId val="209054720"/>
        <c:scaling>
          <c:orientation val="minMax"/>
        </c:scaling>
        <c:delete val="1"/>
        <c:axPos val="l"/>
        <c:numFmt formatCode="_ * #,##0_ ;_ * \-#,##0_ ;_ * &quot;-&quot;??_ ;_ @_ " sourceLinked="1"/>
        <c:majorTickMark val="none"/>
        <c:minorTickMark val="none"/>
        <c:tickLblPos val="nextTo"/>
        <c:crossAx val="20905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1809750</xdr:colOff>
      <xdr:row>7</xdr:row>
      <xdr:rowOff>161925</xdr:rowOff>
    </xdr:from>
    <xdr:to>
      <xdr:col>3</xdr:col>
      <xdr:colOff>723900</xdr:colOff>
      <xdr:row>16</xdr:row>
      <xdr:rowOff>152400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1819274</xdr:colOff>
      <xdr:row>23</xdr:row>
      <xdr:rowOff>0</xdr:rowOff>
    </xdr:from>
    <xdr:to>
      <xdr:col>4</xdr:col>
      <xdr:colOff>9524</xdr:colOff>
      <xdr:row>32</xdr:row>
      <xdr:rowOff>38100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</xdr:colOff>
      <xdr:row>7</xdr:row>
      <xdr:rowOff>161924</xdr:rowOff>
    </xdr:from>
    <xdr:to>
      <xdr:col>8</xdr:col>
      <xdr:colOff>0</xdr:colOff>
      <xdr:row>17</xdr:row>
      <xdr:rowOff>38100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733425</xdr:colOff>
      <xdr:row>22</xdr:row>
      <xdr:rowOff>152400</xdr:rowOff>
    </xdr:from>
    <xdr:to>
      <xdr:col>8</xdr:col>
      <xdr:colOff>0</xdr:colOff>
      <xdr:row>32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7</xdr:row>
      <xdr:rowOff>161925</xdr:rowOff>
    </xdr:from>
    <xdr:to>
      <xdr:col>12</xdr:col>
      <xdr:colOff>142875</xdr:colOff>
      <xdr:row>17</xdr:row>
      <xdr:rowOff>57150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23</xdr:row>
      <xdr:rowOff>0</xdr:rowOff>
    </xdr:from>
    <xdr:to>
      <xdr:col>12</xdr:col>
      <xdr:colOff>409575</xdr:colOff>
      <xdr:row>32</xdr:row>
      <xdr:rowOff>38100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19050</xdr:colOff>
      <xdr:row>7</xdr:row>
      <xdr:rowOff>161924</xdr:rowOff>
    </xdr:from>
    <xdr:to>
      <xdr:col>17</xdr:col>
      <xdr:colOff>57150</xdr:colOff>
      <xdr:row>17</xdr:row>
      <xdr:rowOff>38100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28574</xdr:colOff>
      <xdr:row>22</xdr:row>
      <xdr:rowOff>152400</xdr:rowOff>
    </xdr:from>
    <xdr:to>
      <xdr:col>17</xdr:col>
      <xdr:colOff>47624</xdr:colOff>
      <xdr:row>32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showGridLines="0" workbookViewId="0">
      <selection activeCell="I4" sqref="I4"/>
    </sheetView>
  </sheetViews>
  <sheetFormatPr defaultRowHeight="14.25" x14ac:dyDescent="0.45"/>
  <cols>
    <col min="1" max="1" width="12.86328125" customWidth="1"/>
    <col min="2" max="9" width="11.265625" customWidth="1"/>
    <col min="13" max="13" width="3.73046875" customWidth="1"/>
    <col min="15" max="15" width="13.86328125" customWidth="1"/>
    <col min="16" max="16" width="9.1328125" customWidth="1"/>
    <col min="17" max="17" width="7.73046875" customWidth="1"/>
  </cols>
  <sheetData>
    <row r="1" spans="1:17" ht="15.75" x14ac:dyDescent="0.5">
      <c r="A1" s="2" t="s">
        <v>0</v>
      </c>
    </row>
    <row r="5" spans="1:17" x14ac:dyDescent="0.45">
      <c r="B5" s="129" t="s">
        <v>1</v>
      </c>
      <c r="C5" s="129"/>
      <c r="D5" s="129"/>
      <c r="F5" s="4" t="s">
        <v>2</v>
      </c>
      <c r="G5" s="5"/>
      <c r="H5" s="5"/>
      <c r="J5" s="129" t="s">
        <v>1</v>
      </c>
      <c r="K5" s="129"/>
      <c r="L5" s="129"/>
      <c r="O5" s="4" t="s">
        <v>2</v>
      </c>
      <c r="P5" s="5"/>
      <c r="Q5" s="5"/>
    </row>
    <row r="6" spans="1:17" x14ac:dyDescent="0.45">
      <c r="B6" s="7" t="s">
        <v>167</v>
      </c>
      <c r="C6" s="7" t="s">
        <v>162</v>
      </c>
      <c r="D6" s="7" t="s">
        <v>166</v>
      </c>
      <c r="F6" s="7" t="s">
        <v>167</v>
      </c>
      <c r="G6" s="7" t="s">
        <v>162</v>
      </c>
      <c r="H6" s="7" t="s">
        <v>166</v>
      </c>
      <c r="J6" s="7" t="s">
        <v>164</v>
      </c>
      <c r="K6" s="7" t="s">
        <v>163</v>
      </c>
      <c r="L6" s="7" t="s">
        <v>27</v>
      </c>
      <c r="O6" s="7" t="s">
        <v>164</v>
      </c>
      <c r="P6" s="7" t="s">
        <v>163</v>
      </c>
      <c r="Q6" s="7" t="s">
        <v>27</v>
      </c>
    </row>
    <row r="7" spans="1:17" x14ac:dyDescent="0.45">
      <c r="B7" s="8">
        <f>51825.68/10</f>
        <v>5182.5680000000002</v>
      </c>
      <c r="C7" s="8">
        <f>57114.93/10</f>
        <v>5711.4930000000004</v>
      </c>
      <c r="D7" s="8">
        <f>55756.35/10</f>
        <v>5575.6350000000002</v>
      </c>
      <c r="F7" s="8">
        <f>19846.11/10</f>
        <v>1984.6110000000001</v>
      </c>
      <c r="G7" s="8">
        <f>25787.1/10</f>
        <v>2578.71</v>
      </c>
      <c r="H7" s="8">
        <f>24449.31/10</f>
        <v>2444.931</v>
      </c>
      <c r="J7" s="8">
        <f>153343.94/10</f>
        <v>15334.394</v>
      </c>
      <c r="K7" s="8">
        <f>166560.44/10</f>
        <v>16656.044000000002</v>
      </c>
      <c r="L7" s="8">
        <f>205175.34/10</f>
        <v>20517.534</v>
      </c>
      <c r="O7" s="8">
        <f>70092.11/10</f>
        <v>7009.2110000000002</v>
      </c>
      <c r="P7" s="8">
        <f>82449.35/10</f>
        <v>8244.9350000000013</v>
      </c>
      <c r="Q7" s="8">
        <f>93221.83/10</f>
        <v>9322.1830000000009</v>
      </c>
    </row>
    <row r="20" spans="2:17" x14ac:dyDescent="0.45">
      <c r="B20" s="129" t="s">
        <v>3</v>
      </c>
      <c r="C20" s="129"/>
      <c r="D20" s="129"/>
      <c r="F20" s="129" t="s">
        <v>4</v>
      </c>
      <c r="G20" s="129"/>
      <c r="H20" s="129"/>
      <c r="J20" s="129" t="s">
        <v>3</v>
      </c>
      <c r="K20" s="129"/>
      <c r="L20" s="129"/>
      <c r="O20" s="129" t="s">
        <v>4</v>
      </c>
      <c r="P20" s="129"/>
      <c r="Q20" s="129"/>
    </row>
    <row r="21" spans="2:17" x14ac:dyDescent="0.45">
      <c r="B21" s="7" t="s">
        <v>167</v>
      </c>
      <c r="C21" s="7" t="s">
        <v>162</v>
      </c>
      <c r="D21" s="7" t="s">
        <v>166</v>
      </c>
      <c r="F21" s="7" t="s">
        <v>167</v>
      </c>
      <c r="G21" s="7" t="s">
        <v>162</v>
      </c>
      <c r="H21" s="7" t="s">
        <v>166</v>
      </c>
      <c r="J21" s="7" t="s">
        <v>164</v>
      </c>
      <c r="K21" s="7" t="s">
        <v>163</v>
      </c>
      <c r="L21" s="7" t="s">
        <v>27</v>
      </c>
      <c r="O21" s="7" t="s">
        <v>164</v>
      </c>
      <c r="P21" s="7" t="s">
        <v>163</v>
      </c>
      <c r="Q21" s="7" t="s">
        <v>27</v>
      </c>
    </row>
    <row r="22" spans="2:17" x14ac:dyDescent="0.45">
      <c r="B22" s="8">
        <f>4009.71/10</f>
        <v>400.971</v>
      </c>
      <c r="C22" s="8">
        <f>10861.26/10</f>
        <v>1086.126</v>
      </c>
      <c r="D22" s="8">
        <f>9359.61/10</f>
        <v>935.96100000000001</v>
      </c>
      <c r="E22" s="9"/>
      <c r="F22" s="8">
        <f>(183.16+809.59)/10</f>
        <v>99.275000000000006</v>
      </c>
      <c r="G22" s="8">
        <f>(284.47+1276.4)/10</f>
        <v>156.08700000000002</v>
      </c>
      <c r="H22" s="8">
        <f>(274.26+1183.42)/10</f>
        <v>145.768</v>
      </c>
      <c r="J22" s="8">
        <f>11238.47/10</f>
        <v>1123.847</v>
      </c>
      <c r="K22" s="8">
        <f>23350.38/10</f>
        <v>2335.038</v>
      </c>
      <c r="L22" s="8">
        <f>15010.02/10</f>
        <v>1501.002</v>
      </c>
      <c r="O22" s="8">
        <f>(774.22+3211.17)/10</f>
        <v>398.53900000000004</v>
      </c>
      <c r="P22" s="8">
        <f>(1077.31+4541.55)/10</f>
        <v>561.88600000000008</v>
      </c>
      <c r="Q22" s="8">
        <f>(1038.4+4462.55)/10</f>
        <v>550.09500000000003</v>
      </c>
    </row>
  </sheetData>
  <mergeCells count="6">
    <mergeCell ref="O20:Q20"/>
    <mergeCell ref="B5:D5"/>
    <mergeCell ref="B20:D20"/>
    <mergeCell ref="F20:H20"/>
    <mergeCell ref="J5:L5"/>
    <mergeCell ref="J20:L2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B1" workbookViewId="0">
      <selection activeCell="I5" sqref="I5"/>
    </sheetView>
  </sheetViews>
  <sheetFormatPr defaultRowHeight="15.75" customHeight="1" x14ac:dyDescent="0.45"/>
  <cols>
    <col min="1" max="1" width="47.265625" bestFit="1" customWidth="1"/>
    <col min="2" max="2" width="51.3984375" bestFit="1" customWidth="1"/>
    <col min="3" max="3" width="10" customWidth="1"/>
    <col min="4" max="4" width="12.265625" bestFit="1" customWidth="1"/>
    <col min="11" max="11" width="11.1328125" bestFit="1" customWidth="1"/>
  </cols>
  <sheetData>
    <row r="1" spans="1:11" ht="15.75" customHeight="1" x14ac:dyDescent="0.45">
      <c r="A1" s="10" t="s">
        <v>5</v>
      </c>
    </row>
    <row r="4" spans="1:11" ht="15.75" customHeight="1" x14ac:dyDescent="0.45">
      <c r="C4" s="1" t="s">
        <v>46</v>
      </c>
      <c r="D4" s="1" t="s">
        <v>47</v>
      </c>
    </row>
    <row r="5" spans="1:11" ht="15.75" customHeight="1" x14ac:dyDescent="0.5">
      <c r="B5" s="33" t="s">
        <v>23</v>
      </c>
      <c r="C5" s="34" t="s">
        <v>163</v>
      </c>
      <c r="D5" s="119" t="s">
        <v>163</v>
      </c>
      <c r="E5" s="120" t="s">
        <v>164</v>
      </c>
      <c r="F5" s="34" t="s">
        <v>165</v>
      </c>
      <c r="G5" s="121" t="s">
        <v>162</v>
      </c>
      <c r="H5" s="119" t="s">
        <v>166</v>
      </c>
      <c r="I5" s="120" t="s">
        <v>167</v>
      </c>
      <c r="J5" s="34" t="s">
        <v>168</v>
      </c>
      <c r="K5" s="34" t="s">
        <v>169</v>
      </c>
    </row>
    <row r="6" spans="1:11" ht="15.75" customHeight="1" x14ac:dyDescent="0.45">
      <c r="B6" s="11" t="s">
        <v>6</v>
      </c>
      <c r="C6" s="99">
        <f>'Summary Sheet'!J3</f>
        <v>37939.040000000001</v>
      </c>
      <c r="D6" s="6">
        <f>ROUND(C6,0)</f>
        <v>37939</v>
      </c>
      <c r="E6" s="111">
        <v>24230.57</v>
      </c>
      <c r="F6" s="24">
        <f>D6/E6-1</f>
        <v>0.56574938187587009</v>
      </c>
      <c r="G6" s="111">
        <v>9785.52</v>
      </c>
      <c r="H6" s="111">
        <v>9411.02</v>
      </c>
      <c r="I6" s="13">
        <v>7859.86</v>
      </c>
      <c r="J6" s="25">
        <f>H6/I6-1</f>
        <v>0.19735211568653899</v>
      </c>
      <c r="K6" s="25">
        <f>H6/G6-1</f>
        <v>-3.8270832822374312E-2</v>
      </c>
    </row>
    <row r="7" spans="1:11" ht="15.75" customHeight="1" x14ac:dyDescent="0.45">
      <c r="B7" s="12" t="s">
        <v>7</v>
      </c>
      <c r="C7" s="100">
        <f>'Summary Sheet'!J6</f>
        <v>35843.599999999999</v>
      </c>
      <c r="D7" s="6">
        <f t="shared" ref="D7:D20" si="0">ROUND(C7,0)</f>
        <v>35844</v>
      </c>
      <c r="E7" s="13">
        <v>23267.1</v>
      </c>
      <c r="F7" s="25">
        <f>D7/E7-1</f>
        <v>0.54054437381538745</v>
      </c>
      <c r="G7" s="13">
        <v>9314.61</v>
      </c>
      <c r="H7" s="13">
        <v>8891.42</v>
      </c>
      <c r="I7" s="13">
        <v>7534.06</v>
      </c>
      <c r="J7" s="25">
        <f>H7/I7-1</f>
        <v>0.18016315240388314</v>
      </c>
      <c r="K7" s="25">
        <f>H7/G7-1</f>
        <v>-4.5432927411883095E-2</v>
      </c>
    </row>
    <row r="8" spans="1:11" ht="15.75" customHeight="1" x14ac:dyDescent="0.45">
      <c r="B8" s="11" t="s">
        <v>8</v>
      </c>
      <c r="C8" s="22">
        <f t="shared" ref="C8:D8" si="1">C6-C7</f>
        <v>2095.4400000000023</v>
      </c>
      <c r="D8" s="22">
        <f t="shared" si="1"/>
        <v>2095</v>
      </c>
      <c r="E8" s="26">
        <f>E6-E7</f>
        <v>963.47000000000116</v>
      </c>
      <c r="F8" s="24">
        <f>D8/E8-1</f>
        <v>1.1744320009963958</v>
      </c>
      <c r="G8" s="26">
        <f>G6-G7</f>
        <v>470.90999999999985</v>
      </c>
      <c r="H8" s="26">
        <f>H6-H7</f>
        <v>519.60000000000036</v>
      </c>
      <c r="I8" s="27">
        <f>I6-I7</f>
        <v>325.79999999999927</v>
      </c>
      <c r="J8" s="25">
        <f>H8/I8-1</f>
        <v>0.59484346224678175</v>
      </c>
      <c r="K8" s="25">
        <f>H8/G8-1</f>
        <v>0.1033955532904387</v>
      </c>
    </row>
    <row r="9" spans="1:11" ht="15.75" customHeight="1" x14ac:dyDescent="0.45">
      <c r="B9" s="14" t="s">
        <v>9</v>
      </c>
      <c r="C9" s="23">
        <f t="shared" ref="C9:E9" si="2">C8/C6</f>
        <v>5.5231761267549265E-2</v>
      </c>
      <c r="D9" s="23">
        <f t="shared" si="2"/>
        <v>5.522022193521179E-2</v>
      </c>
      <c r="E9" s="28">
        <f t="shared" si="2"/>
        <v>3.9762580905030348E-2</v>
      </c>
      <c r="F9" s="29" t="str">
        <f>+(ROUND(D9*10000,0)-ROUND(E9*10000,0))&amp;" bps"</f>
        <v>154 bps</v>
      </c>
      <c r="G9" s="28">
        <f>G8/G6</f>
        <v>4.8123145218649577E-2</v>
      </c>
      <c r="H9" s="28">
        <f>H8/H6</f>
        <v>5.5211868639106106E-2</v>
      </c>
      <c r="I9" s="28">
        <f>I8/I6</f>
        <v>4.1451119994503627E-2</v>
      </c>
      <c r="J9" s="29" t="str">
        <f>+(ROUND(H9*10000,0)-ROUND(I9*10000,0))&amp;" bps"</f>
        <v>137 bps</v>
      </c>
      <c r="K9" s="29" t="str">
        <f>+(ROUND(H9*10000,0)-ROUND(G9*10000,0))&amp;" bps"</f>
        <v>71 bps</v>
      </c>
    </row>
    <row r="10" spans="1:11" ht="15.75" customHeight="1" x14ac:dyDescent="0.45">
      <c r="B10" s="12" t="s">
        <v>10</v>
      </c>
      <c r="C10" s="100">
        <f>'Summary Sheet'!J19</f>
        <v>608.19000000000005</v>
      </c>
      <c r="D10" s="6">
        <f t="shared" si="0"/>
        <v>608</v>
      </c>
      <c r="E10" s="113">
        <v>415.23</v>
      </c>
      <c r="F10" s="25">
        <f t="shared" ref="F10:F18" si="3">D10/E10-1</f>
        <v>0.46424872961972885</v>
      </c>
      <c r="G10" s="13">
        <v>150.31</v>
      </c>
      <c r="H10" s="13">
        <v>155.22</v>
      </c>
      <c r="I10" s="15">
        <v>142.54</v>
      </c>
      <c r="J10" s="25">
        <f t="shared" ref="J10:J22" si="4">H10/I10-1</f>
        <v>8.8957485618072152E-2</v>
      </c>
      <c r="K10" s="25">
        <f t="shared" ref="K10:K22" si="5">H10/G10-1</f>
        <v>3.2665823963808016E-2</v>
      </c>
    </row>
    <row r="11" spans="1:11" ht="15.75" customHeight="1" x14ac:dyDescent="0.45">
      <c r="B11" s="12" t="s">
        <v>11</v>
      </c>
      <c r="C11" s="100">
        <f>'Summary Sheet'!J20</f>
        <v>90.6</v>
      </c>
      <c r="D11" s="6">
        <f t="shared" si="0"/>
        <v>91</v>
      </c>
      <c r="E11" s="113">
        <v>14.86</v>
      </c>
      <c r="F11" s="25">
        <f t="shared" si="3"/>
        <v>5.123822341857335</v>
      </c>
      <c r="G11" s="13">
        <v>15.41</v>
      </c>
      <c r="H11" s="13">
        <v>17.86</v>
      </c>
      <c r="I11" s="15">
        <v>4.66</v>
      </c>
      <c r="J11" s="25">
        <f t="shared" si="4"/>
        <v>2.8326180257510729</v>
      </c>
      <c r="K11" s="25">
        <f t="shared" si="5"/>
        <v>0.15898767034393257</v>
      </c>
    </row>
    <row r="12" spans="1:11" ht="15.75" customHeight="1" x14ac:dyDescent="0.45">
      <c r="B12" s="12" t="s">
        <v>12</v>
      </c>
      <c r="C12" s="100">
        <f>'Summary Sheet'!J18</f>
        <v>119.65</v>
      </c>
      <c r="D12" s="6">
        <f t="shared" si="0"/>
        <v>120</v>
      </c>
      <c r="E12" s="113">
        <v>87.01</v>
      </c>
      <c r="F12" s="25">
        <f t="shared" si="3"/>
        <v>0.37915182162969763</v>
      </c>
      <c r="G12" s="13">
        <v>17.98</v>
      </c>
      <c r="H12" s="13">
        <v>30.03</v>
      </c>
      <c r="I12" s="15">
        <v>31.56</v>
      </c>
      <c r="J12" s="25">
        <f t="shared" si="4"/>
        <v>-4.8479087452471425E-2</v>
      </c>
      <c r="K12" s="25">
        <f t="shared" si="5"/>
        <v>0.67018909899888768</v>
      </c>
    </row>
    <row r="13" spans="1:11" ht="15.75" customHeight="1" x14ac:dyDescent="0.45">
      <c r="B13" s="12" t="s">
        <v>13</v>
      </c>
      <c r="C13" s="100">
        <f>'Summary Sheet'!J22</f>
        <v>65.430000000000007</v>
      </c>
      <c r="D13" s="6">
        <f t="shared" si="0"/>
        <v>65</v>
      </c>
      <c r="E13" s="113">
        <v>61.26</v>
      </c>
      <c r="F13" s="25">
        <f t="shared" si="3"/>
        <v>6.1051256937642906E-2</v>
      </c>
      <c r="G13" s="13">
        <v>16.36</v>
      </c>
      <c r="H13" s="13">
        <v>16.04</v>
      </c>
      <c r="I13" s="13">
        <v>20</v>
      </c>
      <c r="J13" s="25">
        <f t="shared" si="4"/>
        <v>-0.19800000000000006</v>
      </c>
      <c r="K13" s="25">
        <f t="shared" si="5"/>
        <v>-1.9559902200488977E-2</v>
      </c>
    </row>
    <row r="14" spans="1:11" ht="15.75" customHeight="1" x14ac:dyDescent="0.45">
      <c r="B14" s="11" t="s">
        <v>14</v>
      </c>
      <c r="C14" s="99">
        <f>'Summary Sheet'!J23</f>
        <v>1450.8700000000024</v>
      </c>
      <c r="D14" s="6">
        <f t="shared" si="0"/>
        <v>1451</v>
      </c>
      <c r="E14" s="114">
        <f>E8-E10-E11+E12-E13</f>
        <v>559.13000000000113</v>
      </c>
      <c r="F14" s="24">
        <f t="shared" si="3"/>
        <v>1.5951031066120529</v>
      </c>
      <c r="G14" s="114">
        <f>G8-G10-G11+G12-G13</f>
        <v>306.80999999999983</v>
      </c>
      <c r="H14" s="114">
        <f>H8-H10-H11+H12-H13</f>
        <v>360.51000000000028</v>
      </c>
      <c r="I14" s="114">
        <f>I8-I10-I11+I12-I13</f>
        <v>190.15999999999929</v>
      </c>
      <c r="J14" s="24">
        <f t="shared" si="4"/>
        <v>0.89582456878419037</v>
      </c>
      <c r="K14" s="25">
        <f t="shared" si="5"/>
        <v>0.17502688960594659</v>
      </c>
    </row>
    <row r="15" spans="1:11" ht="15.75" customHeight="1" x14ac:dyDescent="0.45">
      <c r="B15" s="12" t="s">
        <v>15</v>
      </c>
      <c r="C15" s="100">
        <f>'Summary Sheet'!J24</f>
        <v>385.38</v>
      </c>
      <c r="D15" s="6">
        <f t="shared" si="0"/>
        <v>385</v>
      </c>
      <c r="E15" s="115">
        <v>158.69</v>
      </c>
      <c r="F15" s="25">
        <f t="shared" si="3"/>
        <v>1.4261138067931185</v>
      </c>
      <c r="G15" s="30">
        <v>82.64</v>
      </c>
      <c r="H15" s="30">
        <v>91.5</v>
      </c>
      <c r="I15" s="30">
        <v>52.910000000000004</v>
      </c>
      <c r="J15" s="25">
        <f t="shared" si="4"/>
        <v>0.72935172935172932</v>
      </c>
      <c r="K15" s="25">
        <f t="shared" si="5"/>
        <v>0.10721200387221685</v>
      </c>
    </row>
    <row r="16" spans="1:11" ht="15.75" customHeight="1" x14ac:dyDescent="0.45">
      <c r="B16" s="11" t="s">
        <v>16</v>
      </c>
      <c r="C16" s="100">
        <f>'Summary Sheet'!J26</f>
        <v>1065.4900000000025</v>
      </c>
      <c r="D16" s="6">
        <f>D14-D15</f>
        <v>1066</v>
      </c>
      <c r="E16" s="116">
        <f>E14-E15</f>
        <v>400.44000000000113</v>
      </c>
      <c r="F16" s="25">
        <f t="shared" si="3"/>
        <v>1.6620717211067748</v>
      </c>
      <c r="G16" s="6">
        <f>G14-G15</f>
        <v>224.16999999999985</v>
      </c>
      <c r="H16" s="6">
        <f>H14-H15</f>
        <v>269.01000000000028</v>
      </c>
      <c r="I16" s="6">
        <f>I14-I15</f>
        <v>137.24999999999929</v>
      </c>
      <c r="J16" s="25">
        <f t="shared" si="4"/>
        <v>0.96000000000001218</v>
      </c>
      <c r="K16" s="25">
        <f t="shared" si="5"/>
        <v>0.20002676540125996</v>
      </c>
    </row>
    <row r="17" spans="2:11" ht="15.75" customHeight="1" x14ac:dyDescent="0.45">
      <c r="B17" s="12" t="s">
        <v>17</v>
      </c>
      <c r="C17" s="100">
        <f>'Summary Sheet'!J29</f>
        <v>0</v>
      </c>
      <c r="D17" s="6">
        <v>0</v>
      </c>
      <c r="E17" s="30">
        <v>0</v>
      </c>
      <c r="F17" s="25"/>
      <c r="G17" s="30">
        <v>0</v>
      </c>
      <c r="H17" s="30">
        <v>0</v>
      </c>
      <c r="I17" s="30">
        <v>0</v>
      </c>
      <c r="J17" s="25"/>
      <c r="K17" s="25"/>
    </row>
    <row r="18" spans="2:11" ht="15.75" customHeight="1" x14ac:dyDescent="0.45">
      <c r="B18" s="11" t="s">
        <v>18</v>
      </c>
      <c r="C18" s="22">
        <f>C14-C15</f>
        <v>1065.4900000000025</v>
      </c>
      <c r="D18" s="22">
        <f>D14-D15</f>
        <v>1066</v>
      </c>
      <c r="E18" s="26">
        <f>E14-E15</f>
        <v>400.44000000000113</v>
      </c>
      <c r="F18" s="24">
        <f t="shared" si="3"/>
        <v>1.6620717211067748</v>
      </c>
      <c r="G18" s="26">
        <f>G14-G15</f>
        <v>224.16999999999985</v>
      </c>
      <c r="H18" s="26">
        <f>H14-H15</f>
        <v>269.01000000000028</v>
      </c>
      <c r="I18" s="27">
        <f>I14-I15</f>
        <v>137.24999999999929</v>
      </c>
      <c r="J18" s="25">
        <f t="shared" si="4"/>
        <v>0.96000000000001218</v>
      </c>
      <c r="K18" s="25">
        <f t="shared" si="5"/>
        <v>0.20002676540125996</v>
      </c>
    </row>
    <row r="19" spans="2:11" ht="15.75" customHeight="1" x14ac:dyDescent="0.45">
      <c r="B19" s="14" t="s">
        <v>19</v>
      </c>
      <c r="C19" s="23">
        <f>C18/C6</f>
        <v>2.8084263597602958E-2</v>
      </c>
      <c r="D19" s="23">
        <f>D18/D6</f>
        <v>2.8097735839110152E-2</v>
      </c>
      <c r="E19" s="31">
        <f>E18/E6</f>
        <v>1.6526231120440053E-2</v>
      </c>
      <c r="F19" s="29" t="str">
        <f>+(ROUND(D19*10000,0)-ROUND(E19*10000,0))&amp;" bps"</f>
        <v>116 bps</v>
      </c>
      <c r="G19" s="31">
        <f t="shared" ref="G19" si="6">G18/G6</f>
        <v>2.2908338034156574E-2</v>
      </c>
      <c r="H19" s="31">
        <f t="shared" ref="H19" si="7">H18/H6</f>
        <v>2.858457425443791E-2</v>
      </c>
      <c r="I19" s="28">
        <f>I18/I6</f>
        <v>1.7462143091607141E-2</v>
      </c>
      <c r="J19" s="29" t="str">
        <f>+(ROUND(H19*10000,0)-ROUND(I19*10000,0))&amp;" bps"</f>
        <v>111 bps</v>
      </c>
      <c r="K19" s="29" t="str">
        <f>+(ROUND(H19*10000,0)-ROUND(G19*10000,0))&amp;" bps"</f>
        <v>57 bps</v>
      </c>
    </row>
    <row r="20" spans="2:11" ht="15.75" customHeight="1" x14ac:dyDescent="0.45">
      <c r="B20" s="12" t="s">
        <v>20</v>
      </c>
      <c r="C20" s="100">
        <f>'Summary Sheet'!J34</f>
        <v>-10.58</v>
      </c>
      <c r="D20" s="6">
        <f t="shared" si="0"/>
        <v>-11</v>
      </c>
      <c r="E20" s="117">
        <v>-0.08</v>
      </c>
      <c r="F20" s="25" t="s">
        <v>45</v>
      </c>
      <c r="G20" s="112">
        <v>-0.73</v>
      </c>
      <c r="H20" s="112">
        <v>-0.73</v>
      </c>
      <c r="I20" s="30">
        <v>0</v>
      </c>
      <c r="J20" s="25"/>
      <c r="K20" s="25">
        <f t="shared" si="5"/>
        <v>0</v>
      </c>
    </row>
    <row r="21" spans="2:11" ht="15.75" customHeight="1" x14ac:dyDescent="0.45">
      <c r="B21" s="11" t="s">
        <v>21</v>
      </c>
      <c r="C21" s="22">
        <f t="shared" ref="C21:D21" si="8">+C18+C20</f>
        <v>1054.9100000000026</v>
      </c>
      <c r="D21" s="22">
        <f t="shared" si="8"/>
        <v>1055</v>
      </c>
      <c r="E21" s="26">
        <f>E18+E20</f>
        <v>400.36000000000115</v>
      </c>
      <c r="F21" s="24">
        <f>D21/E21-1</f>
        <v>1.6351283844539837</v>
      </c>
      <c r="G21" s="26">
        <f>G18+G20</f>
        <v>223.43999999999986</v>
      </c>
      <c r="H21" s="26">
        <f>H18+H20</f>
        <v>268.28000000000026</v>
      </c>
      <c r="I21" s="26">
        <f>I18+I20</f>
        <v>137.24999999999929</v>
      </c>
      <c r="J21" s="24">
        <f t="shared" si="4"/>
        <v>0.95468123861567689</v>
      </c>
      <c r="K21" s="25">
        <f t="shared" si="5"/>
        <v>0.20068027210884543</v>
      </c>
    </row>
    <row r="22" spans="2:11" ht="15.75" customHeight="1" x14ac:dyDescent="0.45">
      <c r="B22" s="11" t="s">
        <v>22</v>
      </c>
      <c r="C22" s="99"/>
      <c r="D22" s="22">
        <v>7.12</v>
      </c>
      <c r="E22" s="22">
        <v>4.37</v>
      </c>
      <c r="F22" s="24">
        <f>D22/E22-1</f>
        <v>0.62929061784897034</v>
      </c>
      <c r="G22" s="32">
        <v>2.42</v>
      </c>
      <c r="H22" s="32">
        <v>2.9</v>
      </c>
      <c r="I22" s="118">
        <v>1.5</v>
      </c>
      <c r="J22" s="24">
        <f t="shared" si="4"/>
        <v>0.93333333333333335</v>
      </c>
      <c r="K22" s="25">
        <f t="shared" si="5"/>
        <v>0.19834710743801653</v>
      </c>
    </row>
    <row r="23" spans="2:11" ht="15.75" customHeight="1" x14ac:dyDescent="0.45">
      <c r="I23" s="124" t="s">
        <v>160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workbookViewId="0"/>
  </sheetViews>
  <sheetFormatPr defaultRowHeight="14.25" x14ac:dyDescent="0.45"/>
  <cols>
    <col min="1" max="1" width="47" bestFit="1" customWidth="1"/>
    <col min="2" max="2" width="12.3984375" customWidth="1"/>
    <col min="3" max="3" width="10.59765625" bestFit="1" customWidth="1"/>
    <col min="9" max="10" width="16.86328125" bestFit="1" customWidth="1"/>
    <col min="11" max="11" width="9.3984375" bestFit="1" customWidth="1"/>
    <col min="12" max="12" width="10" bestFit="1" customWidth="1"/>
    <col min="13" max="13" width="9.265625" bestFit="1" customWidth="1"/>
    <col min="17" max="17" width="9.73046875" bestFit="1" customWidth="1"/>
    <col min="18" max="20" width="9.265625" bestFit="1" customWidth="1"/>
  </cols>
  <sheetData>
    <row r="1" spans="1:21" ht="15.75" x14ac:dyDescent="0.45">
      <c r="A1" s="10" t="s">
        <v>28</v>
      </c>
      <c r="B1" s="10"/>
    </row>
    <row r="4" spans="1:21" ht="15" customHeight="1" x14ac:dyDescent="0.45">
      <c r="C4" s="130" t="s">
        <v>29</v>
      </c>
      <c r="D4" s="130"/>
      <c r="E4" s="130"/>
      <c r="F4" s="130"/>
      <c r="G4" s="130"/>
      <c r="H4" s="16"/>
      <c r="J4" s="130" t="s">
        <v>30</v>
      </c>
      <c r="K4" s="130"/>
      <c r="L4" s="130"/>
      <c r="M4" s="130"/>
      <c r="N4" s="130"/>
      <c r="O4" s="16"/>
      <c r="Q4" s="130" t="s">
        <v>31</v>
      </c>
      <c r="R4" s="130"/>
      <c r="S4" s="130"/>
      <c r="T4" s="130"/>
      <c r="U4" s="130"/>
    </row>
    <row r="5" spans="1:21" x14ac:dyDescent="0.45">
      <c r="C5" s="7" t="s">
        <v>24</v>
      </c>
      <c r="D5" s="7" t="s">
        <v>25</v>
      </c>
      <c r="E5" s="7" t="s">
        <v>26</v>
      </c>
      <c r="F5" s="7" t="s">
        <v>27</v>
      </c>
      <c r="G5" s="7" t="s">
        <v>163</v>
      </c>
      <c r="H5" s="3"/>
      <c r="I5" s="3"/>
      <c r="J5" s="7" t="s">
        <v>24</v>
      </c>
      <c r="K5" s="7" t="s">
        <v>25</v>
      </c>
      <c r="L5" s="7" t="s">
        <v>26</v>
      </c>
      <c r="M5" s="7" t="s">
        <v>27</v>
      </c>
      <c r="N5" s="7" t="s">
        <v>163</v>
      </c>
      <c r="O5" s="3"/>
      <c r="P5" s="3"/>
      <c r="Q5" s="7" t="s">
        <v>24</v>
      </c>
      <c r="R5" s="7" t="s">
        <v>25</v>
      </c>
      <c r="S5" s="7" t="s">
        <v>26</v>
      </c>
      <c r="T5" s="7" t="s">
        <v>27</v>
      </c>
      <c r="U5" s="7" t="s">
        <v>163</v>
      </c>
    </row>
    <row r="6" spans="1:21" x14ac:dyDescent="0.45">
      <c r="B6" t="s">
        <v>34</v>
      </c>
      <c r="C6" s="8">
        <v>27259</v>
      </c>
      <c r="D6" s="8">
        <v>24731</v>
      </c>
      <c r="E6" s="8">
        <v>26813</v>
      </c>
      <c r="F6" s="8">
        <v>32407</v>
      </c>
      <c r="G6" s="101">
        <f>'Summary Sheet'!J3</f>
        <v>37939.040000000001</v>
      </c>
      <c r="H6" s="19"/>
      <c r="I6" s="9" t="s">
        <v>38</v>
      </c>
      <c r="J6" s="8">
        <f>'Summary Sheet'!F14</f>
        <v>1285.4099999999999</v>
      </c>
      <c r="K6" s="8">
        <f>'Summary Sheet'!G14</f>
        <v>2669.190000000006</v>
      </c>
      <c r="L6" s="8">
        <f>'Summary Sheet'!H14</f>
        <v>1908.3299999999981</v>
      </c>
      <c r="M6" s="8">
        <f>'Summary Sheet'!I14</f>
        <v>1382.5800000000017</v>
      </c>
      <c r="N6" s="101">
        <f>'Summary Sheet'!J14</f>
        <v>2095.4400000000023</v>
      </c>
      <c r="O6" s="19"/>
      <c r="P6" s="9" t="s">
        <v>39</v>
      </c>
      <c r="Q6" s="8">
        <f>'Summary Sheet'!F30</f>
        <v>-1694.0000000000014</v>
      </c>
      <c r="R6" s="8">
        <f>'Summary Sheet'!G30</f>
        <v>1483.0100000000059</v>
      </c>
      <c r="S6" s="8">
        <f>'Summary Sheet'!H30</f>
        <v>960.85999999999797</v>
      </c>
      <c r="T6" s="8">
        <f>'Summary Sheet'!I30</f>
        <v>579.75000000000159</v>
      </c>
      <c r="U6" s="101">
        <f>'Summary Sheet'!J30</f>
        <v>1065.4900000000025</v>
      </c>
    </row>
    <row r="7" spans="1:21" x14ac:dyDescent="0.45">
      <c r="B7" t="s">
        <v>35</v>
      </c>
      <c r="C7" s="18">
        <v>0.184</v>
      </c>
      <c r="D7" s="18">
        <v>0.25700000000000001</v>
      </c>
      <c r="E7" s="18">
        <v>0.223</v>
      </c>
      <c r="F7" s="18">
        <v>0.193</v>
      </c>
      <c r="G7" s="102">
        <v>0.192</v>
      </c>
      <c r="I7" t="s">
        <v>41</v>
      </c>
      <c r="J7" s="17">
        <f>'Summary Sheet'!F15</f>
        <v>4.7155365706202414E-2</v>
      </c>
      <c r="K7" s="17">
        <f>'Summary Sheet'!G15</f>
        <v>0.10792834779486445</v>
      </c>
      <c r="L7" s="17">
        <f>'Summary Sheet'!H15</f>
        <v>7.117237706333425E-2</v>
      </c>
      <c r="M7" s="17">
        <f>'Summary Sheet'!I15</f>
        <v>4.266361049343749E-2</v>
      </c>
      <c r="N7" s="103">
        <f>'Summary Sheet'!J15</f>
        <v>5.5231761267549265E-2</v>
      </c>
      <c r="P7" t="s">
        <v>40</v>
      </c>
      <c r="Q7" s="17">
        <f>'Summary Sheet'!F31</f>
        <v>-6.2144521597238982E-2</v>
      </c>
      <c r="R7" s="17">
        <f>'Summary Sheet'!G31</f>
        <v>5.9965314969433497E-2</v>
      </c>
      <c r="S7" s="17">
        <f>'Summary Sheet'!H31</f>
        <v>3.583588280070809E-2</v>
      </c>
      <c r="T7" s="17">
        <f>'Summary Sheet'!I31</f>
        <v>1.7889907407578891E-2</v>
      </c>
      <c r="U7" s="103">
        <f>'Summary Sheet'!J31</f>
        <v>2.8084263597602958E-2</v>
      </c>
    </row>
    <row r="10" spans="1:21" ht="15" customHeight="1" x14ac:dyDescent="0.45">
      <c r="C10" s="131" t="s">
        <v>32</v>
      </c>
      <c r="D10" s="132"/>
      <c r="E10" s="132"/>
      <c r="F10" s="132"/>
      <c r="G10" s="133"/>
      <c r="H10" s="16"/>
      <c r="J10" s="131" t="s">
        <v>33</v>
      </c>
      <c r="K10" s="132"/>
      <c r="L10" s="132"/>
      <c r="M10" s="132"/>
      <c r="N10" s="133"/>
      <c r="O10" s="16"/>
    </row>
    <row r="11" spans="1:21" x14ac:dyDescent="0.45">
      <c r="C11" s="7" t="s">
        <v>42</v>
      </c>
      <c r="D11" s="7" t="s">
        <v>24</v>
      </c>
      <c r="E11" s="7" t="s">
        <v>25</v>
      </c>
      <c r="F11" s="7" t="s">
        <v>26</v>
      </c>
      <c r="G11" s="7" t="s">
        <v>27</v>
      </c>
      <c r="H11" s="3"/>
      <c r="J11" s="7" t="s">
        <v>42</v>
      </c>
      <c r="K11" s="7" t="s">
        <v>24</v>
      </c>
      <c r="L11" s="7" t="s">
        <v>25</v>
      </c>
      <c r="M11" s="7" t="s">
        <v>26</v>
      </c>
      <c r="N11" s="7" t="s">
        <v>27</v>
      </c>
      <c r="O11" s="3"/>
    </row>
    <row r="12" spans="1:21" x14ac:dyDescent="0.45">
      <c r="C12" s="6">
        <v>0.24</v>
      </c>
      <c r="D12" s="6">
        <v>0.46</v>
      </c>
      <c r="E12" s="97">
        <f>'Summary Sheet'!R77</f>
        <v>0.11473840080628796</v>
      </c>
      <c r="F12" s="97">
        <f>'Summary Sheet'!S77</f>
        <v>2.9278203767295154E-2</v>
      </c>
      <c r="G12" s="97">
        <f>'Summary Sheet'!T77</f>
        <v>0.23139638528821396</v>
      </c>
      <c r="I12" t="s">
        <v>36</v>
      </c>
      <c r="J12" s="17">
        <f>'Summary Sheet'!P75</f>
        <v>0.10143454702651693</v>
      </c>
      <c r="K12" s="17">
        <f>'Summary Sheet'!Q75</f>
        <v>-0.36687631027253692</v>
      </c>
      <c r="L12" s="17">
        <f>'Summary Sheet'!R75</f>
        <v>0.24869657377920754</v>
      </c>
      <c r="M12" s="17">
        <f>'Summary Sheet'!S75</f>
        <v>0.14612640178601272</v>
      </c>
      <c r="N12" s="17">
        <f>'Summary Sheet'!T75</f>
        <v>7.9870003733466546E-2</v>
      </c>
    </row>
    <row r="13" spans="1:21" x14ac:dyDescent="0.45">
      <c r="I13" t="s">
        <v>37</v>
      </c>
      <c r="J13" s="17">
        <f>'Summary Sheet'!P76</f>
        <v>0.11375954273652639</v>
      </c>
      <c r="K13" s="17">
        <f>'Summary Sheet'!Q76</f>
        <v>-0.19471566267931198</v>
      </c>
      <c r="L13" s="17">
        <f>'Summary Sheet'!R76</f>
        <v>0.32949733739375298</v>
      </c>
      <c r="M13" s="17">
        <f>'Summary Sheet'!S76</f>
        <v>0.18838373247214385</v>
      </c>
      <c r="N13" s="17">
        <f>'Summary Sheet'!T76</f>
        <v>0.10955940858770784</v>
      </c>
    </row>
    <row r="16" spans="1:21" x14ac:dyDescent="0.45">
      <c r="J16" s="3"/>
      <c r="K16" s="3"/>
      <c r="L16" s="3"/>
    </row>
    <row r="17" spans="3:14" x14ac:dyDescent="0.45">
      <c r="E17" s="63"/>
      <c r="M17" s="93"/>
      <c r="N17" s="93"/>
    </row>
    <row r="18" spans="3:14" x14ac:dyDescent="0.45">
      <c r="C18" s="96"/>
      <c r="D18" s="96"/>
      <c r="E18" s="63"/>
      <c r="M18" s="93"/>
      <c r="N18" s="93"/>
    </row>
    <row r="19" spans="3:14" x14ac:dyDescent="0.45">
      <c r="M19" s="93"/>
      <c r="N19" s="93"/>
    </row>
    <row r="20" spans="3:14" x14ac:dyDescent="0.45">
      <c r="M20" s="93"/>
      <c r="N20" s="93"/>
    </row>
    <row r="21" spans="3:14" x14ac:dyDescent="0.45">
      <c r="I21" s="1"/>
      <c r="J21" s="93"/>
      <c r="K21" s="93"/>
      <c r="L21" s="93"/>
      <c r="M21" s="93"/>
      <c r="N21" s="93"/>
    </row>
    <row r="22" spans="3:14" x14ac:dyDescent="0.45">
      <c r="M22" s="93"/>
      <c r="N22" s="93"/>
    </row>
    <row r="23" spans="3:14" x14ac:dyDescent="0.45">
      <c r="M23" s="93"/>
      <c r="N23" s="93"/>
    </row>
    <row r="24" spans="3:14" x14ac:dyDescent="0.45">
      <c r="M24" s="93"/>
      <c r="N24" s="93"/>
    </row>
    <row r="25" spans="3:14" x14ac:dyDescent="0.45">
      <c r="M25" s="93"/>
      <c r="N25" s="93"/>
    </row>
    <row r="26" spans="3:14" x14ac:dyDescent="0.45">
      <c r="M26" s="93"/>
      <c r="N26" s="93"/>
    </row>
    <row r="27" spans="3:14" x14ac:dyDescent="0.45">
      <c r="I27" s="1"/>
      <c r="J27" s="93"/>
      <c r="K27" s="93"/>
      <c r="L27" s="93"/>
      <c r="M27" s="93"/>
      <c r="N27" s="93"/>
    </row>
    <row r="29" spans="3:14" x14ac:dyDescent="0.45">
      <c r="I29" s="1"/>
      <c r="J29" s="94"/>
      <c r="K29" s="94"/>
      <c r="L29" s="94"/>
      <c r="M29" s="94"/>
      <c r="N29" s="94"/>
    </row>
    <row r="33" spans="9:14" x14ac:dyDescent="0.45">
      <c r="I33" s="1"/>
      <c r="J33" s="95"/>
      <c r="K33" s="94"/>
      <c r="L33" s="94"/>
      <c r="M33" s="94"/>
      <c r="N33" s="94"/>
    </row>
  </sheetData>
  <mergeCells count="5">
    <mergeCell ref="C4:G4"/>
    <mergeCell ref="J4:N4"/>
    <mergeCell ref="Q4:U4"/>
    <mergeCell ref="C10:G10"/>
    <mergeCell ref="J10:N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1"/>
  <sheetViews>
    <sheetView tabSelected="1" zoomScale="85" zoomScaleNormal="85" workbookViewId="0">
      <selection activeCell="J74" sqref="J74"/>
    </sheetView>
  </sheetViews>
  <sheetFormatPr defaultColWidth="8.73046875" defaultRowHeight="14.25" x14ac:dyDescent="0.45"/>
  <cols>
    <col min="1" max="1" width="46.73046875" bestFit="1" customWidth="1"/>
    <col min="2" max="5" width="16.265625" hidden="1" customWidth="1"/>
    <col min="6" max="7" width="16.265625" bestFit="1" customWidth="1"/>
    <col min="8" max="10" width="16.265625" customWidth="1"/>
    <col min="11" max="11" width="7.73046875" customWidth="1"/>
    <col min="12" max="12" width="44.73046875" customWidth="1"/>
    <col min="13" max="16" width="16.265625" hidden="1" customWidth="1"/>
    <col min="17" max="19" width="16.265625" customWidth="1"/>
    <col min="20" max="20" width="14.73046875" customWidth="1"/>
    <col min="21" max="21" width="12.265625" customWidth="1"/>
    <col min="22" max="23" width="9.73046875" customWidth="1"/>
    <col min="24" max="26" width="8.73046875" customWidth="1"/>
    <col min="27" max="27" width="10.1328125" bestFit="1" customWidth="1"/>
  </cols>
  <sheetData>
    <row r="1" spans="1:21" ht="18.75" customHeight="1" x14ac:dyDescent="0.45">
      <c r="A1" s="134" t="s">
        <v>48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6"/>
    </row>
    <row r="2" spans="1:21" x14ac:dyDescent="0.45">
      <c r="A2" s="35" t="s">
        <v>49</v>
      </c>
      <c r="B2" s="36" t="s">
        <v>50</v>
      </c>
      <c r="C2" s="36" t="s">
        <v>51</v>
      </c>
      <c r="D2" s="36" t="s">
        <v>52</v>
      </c>
      <c r="E2" s="36" t="s">
        <v>42</v>
      </c>
      <c r="F2" s="36" t="s">
        <v>24</v>
      </c>
      <c r="G2" s="36" t="s">
        <v>25</v>
      </c>
      <c r="H2" s="36" t="s">
        <v>26</v>
      </c>
      <c r="I2" s="36" t="s">
        <v>27</v>
      </c>
      <c r="J2" s="36" t="s">
        <v>170</v>
      </c>
      <c r="K2" s="3"/>
      <c r="L2" s="35" t="s">
        <v>49</v>
      </c>
      <c r="M2" s="36" t="s">
        <v>50</v>
      </c>
      <c r="N2" s="36" t="s">
        <v>51</v>
      </c>
      <c r="O2" s="36" t="s">
        <v>52</v>
      </c>
      <c r="P2" s="36" t="s">
        <v>42</v>
      </c>
      <c r="Q2" s="36" t="s">
        <v>24</v>
      </c>
      <c r="R2" s="36" t="s">
        <v>25</v>
      </c>
      <c r="S2" s="36" t="s">
        <v>26</v>
      </c>
      <c r="T2" s="36" t="s">
        <v>27</v>
      </c>
      <c r="U2" s="36" t="s">
        <v>170</v>
      </c>
    </row>
    <row r="3" spans="1:21" x14ac:dyDescent="0.45">
      <c r="A3" s="20" t="s">
        <v>53</v>
      </c>
      <c r="B3" s="37">
        <f>23816.213</f>
        <v>23816.213</v>
      </c>
      <c r="C3" s="38">
        <f>18574.015+375.963</f>
        <v>18949.977999999999</v>
      </c>
      <c r="D3" s="38">
        <v>23734.192999999999</v>
      </c>
      <c r="E3" s="38">
        <v>25147.517</v>
      </c>
      <c r="F3" s="38">
        <v>27259.040000000001</v>
      </c>
      <c r="G3" s="38">
        <v>24731.13</v>
      </c>
      <c r="H3" s="38">
        <v>26812.79</v>
      </c>
      <c r="I3" s="38">
        <v>32406.54</v>
      </c>
      <c r="J3" s="38">
        <v>37939.040000000001</v>
      </c>
      <c r="L3" s="20" t="s">
        <v>54</v>
      </c>
      <c r="M3" s="38">
        <v>231.99</v>
      </c>
      <c r="N3" s="38">
        <v>231.99</v>
      </c>
      <c r="O3" s="38">
        <v>231.99</v>
      </c>
      <c r="P3" s="38">
        <v>231.99</v>
      </c>
      <c r="Q3" s="38">
        <v>231.99</v>
      </c>
      <c r="R3" s="38">
        <v>231.99</v>
      </c>
      <c r="S3" s="38">
        <v>231.99</v>
      </c>
      <c r="T3" s="38">
        <v>463.98</v>
      </c>
      <c r="U3" s="38">
        <v>463.98</v>
      </c>
    </row>
    <row r="4" spans="1:21" x14ac:dyDescent="0.45">
      <c r="A4" s="39" t="s">
        <v>55</v>
      </c>
      <c r="B4" s="40"/>
      <c r="C4" s="40">
        <f t="shared" ref="C4:E4" si="0">C3/B3-1</f>
        <v>-0.20432446585861497</v>
      </c>
      <c r="D4" s="40">
        <f t="shared" si="0"/>
        <v>0.25246546460370567</v>
      </c>
      <c r="E4" s="40">
        <f t="shared" si="0"/>
        <v>5.9548011596602501E-2</v>
      </c>
      <c r="F4" s="40">
        <f>F3/E3-1</f>
        <v>8.396546665024629E-2</v>
      </c>
      <c r="G4" s="40">
        <f>G3/F3-1</f>
        <v>-9.2736574728970678E-2</v>
      </c>
      <c r="H4" s="40">
        <f>H3/G3-1</f>
        <v>8.4171649253390379E-2</v>
      </c>
      <c r="I4" s="40">
        <f>I3/H3-1</f>
        <v>0.20862245219538877</v>
      </c>
      <c r="J4" s="40">
        <f>J3/I3-1</f>
        <v>0.17072171234571787</v>
      </c>
      <c r="K4" s="3"/>
      <c r="L4" s="20" t="s">
        <v>56</v>
      </c>
      <c r="M4" s="38">
        <v>2242.5</v>
      </c>
      <c r="N4" s="38">
        <v>5676.07</v>
      </c>
      <c r="O4" s="38">
        <v>7544.7150000000001</v>
      </c>
      <c r="P4" s="38">
        <v>7793.59</v>
      </c>
      <c r="Q4" s="38">
        <v>4363.8500000000004</v>
      </c>
      <c r="R4" s="38">
        <v>5726.26</v>
      </c>
      <c r="S4" s="38">
        <v>6343.51</v>
      </c>
      <c r="T4" s="38">
        <v>6794.69</v>
      </c>
      <c r="U4" s="44">
        <v>7617.61</v>
      </c>
    </row>
    <row r="5" spans="1:21" x14ac:dyDescent="0.45">
      <c r="A5" s="39" t="s">
        <v>57</v>
      </c>
      <c r="B5" s="41"/>
      <c r="C5" s="41"/>
      <c r="D5" s="41"/>
      <c r="E5" s="40">
        <f t="shared" ref="E5:J5" si="1">((E3/B3)^(1/3)-1)</f>
        <v>1.8296227616330984E-2</v>
      </c>
      <c r="F5" s="40">
        <f t="shared" si="1"/>
        <v>0.12884405189073145</v>
      </c>
      <c r="G5" s="40">
        <f t="shared" si="1"/>
        <v>1.3809827759555082E-2</v>
      </c>
      <c r="H5" s="40">
        <f t="shared" si="1"/>
        <v>2.1603327436413799E-2</v>
      </c>
      <c r="I5" s="40">
        <f t="shared" si="1"/>
        <v>5.9353004180448865E-2</v>
      </c>
      <c r="J5" s="40">
        <f>((J3/G3)^(1/3)-1)</f>
        <v>0.15331372141001753</v>
      </c>
      <c r="K5" s="42"/>
      <c r="L5" s="20" t="s">
        <v>58</v>
      </c>
      <c r="M5" s="38">
        <v>79.59</v>
      </c>
      <c r="N5" s="38">
        <v>106.4</v>
      </c>
      <c r="O5" s="38">
        <v>105.56699999999999</v>
      </c>
      <c r="P5" s="38">
        <v>117.06</v>
      </c>
      <c r="Q5" s="38">
        <v>21.52</v>
      </c>
      <c r="R5" s="38">
        <v>4.88</v>
      </c>
      <c r="S5" s="38">
        <v>0.04</v>
      </c>
      <c r="T5" s="38">
        <v>0</v>
      </c>
      <c r="U5" s="38">
        <v>0</v>
      </c>
    </row>
    <row r="6" spans="1:21" x14ac:dyDescent="0.45">
      <c r="A6" s="43" t="s">
        <v>59</v>
      </c>
      <c r="B6" s="44">
        <f t="shared" ref="B6:J6" si="2">SUM(B7:B13)</f>
        <v>22508.182999999997</v>
      </c>
      <c r="C6" s="44">
        <f t="shared" si="2"/>
        <v>17494.405999999999</v>
      </c>
      <c r="D6" s="44">
        <f t="shared" si="2"/>
        <v>22434.597000000002</v>
      </c>
      <c r="E6" s="44">
        <f t="shared" si="2"/>
        <v>23297.134000000002</v>
      </c>
      <c r="F6" s="44">
        <f t="shared" si="2"/>
        <v>25973.63</v>
      </c>
      <c r="G6" s="44">
        <f t="shared" si="2"/>
        <v>22061.939999999995</v>
      </c>
      <c r="H6" s="44">
        <f t="shared" si="2"/>
        <v>24904.460000000003</v>
      </c>
      <c r="I6" s="44">
        <f t="shared" si="2"/>
        <v>31023.96</v>
      </c>
      <c r="J6" s="44">
        <f>SUM(J7:J13)</f>
        <v>35843.599999999999</v>
      </c>
      <c r="K6" s="45"/>
      <c r="L6" s="46" t="s">
        <v>60</v>
      </c>
      <c r="M6" s="47">
        <f t="shared" ref="M6:U6" si="3">SUM(M3:M5)</f>
        <v>2554.08</v>
      </c>
      <c r="N6" s="47">
        <f t="shared" si="3"/>
        <v>6014.4599999999991</v>
      </c>
      <c r="O6" s="47">
        <f t="shared" si="3"/>
        <v>7882.2719999999999</v>
      </c>
      <c r="P6" s="47">
        <f t="shared" si="3"/>
        <v>8142.64</v>
      </c>
      <c r="Q6" s="47">
        <f t="shared" si="3"/>
        <v>4617.3600000000006</v>
      </c>
      <c r="R6" s="47">
        <f t="shared" si="3"/>
        <v>5963.13</v>
      </c>
      <c r="S6" s="47">
        <f t="shared" si="3"/>
        <v>6575.54</v>
      </c>
      <c r="T6" s="47">
        <f t="shared" si="3"/>
        <v>7258.67</v>
      </c>
      <c r="U6" s="47">
        <f t="shared" si="3"/>
        <v>8081.59</v>
      </c>
    </row>
    <row r="7" spans="1:21" x14ac:dyDescent="0.45">
      <c r="A7" s="48" t="s">
        <v>61</v>
      </c>
      <c r="B7" s="37">
        <v>14137.879000000001</v>
      </c>
      <c r="C7" s="38">
        <f>13773.717+236.821</f>
        <v>14010.538</v>
      </c>
      <c r="D7" s="38">
        <v>18519.445</v>
      </c>
      <c r="E7" s="38">
        <v>18805.035</v>
      </c>
      <c r="F7" s="38">
        <v>22263.41</v>
      </c>
      <c r="G7" s="38">
        <v>18419.759999999998</v>
      </c>
      <c r="H7" s="38">
        <v>20605.18</v>
      </c>
      <c r="I7" s="38">
        <v>27636.81</v>
      </c>
      <c r="J7" s="44">
        <v>28942.880000000001</v>
      </c>
      <c r="K7" s="45"/>
      <c r="L7" s="20"/>
      <c r="M7" s="104"/>
      <c r="N7" s="106"/>
      <c r="O7" s="106"/>
      <c r="P7" s="106"/>
      <c r="Q7" s="106"/>
      <c r="R7" s="106"/>
      <c r="S7" s="106"/>
      <c r="T7" s="106"/>
      <c r="U7" s="20"/>
    </row>
    <row r="8" spans="1:21" x14ac:dyDescent="0.45">
      <c r="A8" s="48" t="s">
        <v>62</v>
      </c>
      <c r="B8" s="37">
        <v>10.38</v>
      </c>
      <c r="C8" s="38">
        <v>8.7230000000000008</v>
      </c>
      <c r="D8" s="38">
        <v>3.3260000000000001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49"/>
      <c r="L8" s="20" t="s">
        <v>63</v>
      </c>
      <c r="M8" s="105">
        <v>652.79</v>
      </c>
      <c r="N8" s="38">
        <v>737.7</v>
      </c>
      <c r="O8" s="38">
        <v>1423.0740000000001</v>
      </c>
      <c r="P8" s="38">
        <v>1665.75</v>
      </c>
      <c r="Q8" s="38">
        <v>1722.25</v>
      </c>
      <c r="R8" s="38">
        <v>340.4</v>
      </c>
      <c r="S8" s="38">
        <v>79.540000000000006</v>
      </c>
      <c r="T8" s="38">
        <v>44.96</v>
      </c>
      <c r="U8" s="20">
        <v>751.47</v>
      </c>
    </row>
    <row r="9" spans="1:21" x14ac:dyDescent="0.45">
      <c r="A9" s="48" t="s">
        <v>64</v>
      </c>
      <c r="B9" s="37">
        <v>4929.6660000000002</v>
      </c>
      <c r="C9" s="38">
        <v>628.44799999999998</v>
      </c>
      <c r="D9" s="38">
        <v>1108.615</v>
      </c>
      <c r="E9" s="38">
        <v>592.4</v>
      </c>
      <c r="F9" s="38">
        <v>119.67</v>
      </c>
      <c r="G9" s="38">
        <v>266.85000000000002</v>
      </c>
      <c r="H9" s="44">
        <v>169.37</v>
      </c>
      <c r="I9" s="44">
        <v>267.27999999999997</v>
      </c>
      <c r="J9" s="20">
        <v>416.09</v>
      </c>
      <c r="K9" s="50"/>
      <c r="L9" s="20" t="s">
        <v>65</v>
      </c>
      <c r="M9" s="105">
        <v>392.52</v>
      </c>
      <c r="N9" s="38">
        <v>658.77</v>
      </c>
      <c r="O9" s="38">
        <v>1041.412</v>
      </c>
      <c r="P9" s="38">
        <v>945.76</v>
      </c>
      <c r="Q9" s="38">
        <v>884.41</v>
      </c>
      <c r="R9" s="38">
        <v>298.93</v>
      </c>
      <c r="S9" s="38">
        <v>37.619999999999997</v>
      </c>
      <c r="T9" s="38">
        <v>1298.54</v>
      </c>
      <c r="U9" s="20">
        <v>176.76</v>
      </c>
    </row>
    <row r="10" spans="1:21" x14ac:dyDescent="0.45">
      <c r="A10" s="48" t="s">
        <v>66</v>
      </c>
      <c r="B10" s="37">
        <v>-280.846</v>
      </c>
      <c r="C10" s="38">
        <v>331.75799999999998</v>
      </c>
      <c r="D10" s="38">
        <v>-433.87799999999999</v>
      </c>
      <c r="E10" s="38">
        <v>332.72399999999999</v>
      </c>
      <c r="F10" s="38">
        <v>-137.53</v>
      </c>
      <c r="G10" s="38">
        <v>-312.95</v>
      </c>
      <c r="H10" s="38">
        <v>60.14</v>
      </c>
      <c r="I10" s="38">
        <v>-1745.79</v>
      </c>
      <c r="J10" s="44">
        <v>712.97</v>
      </c>
      <c r="K10" s="49"/>
      <c r="L10" s="20" t="s">
        <v>161</v>
      </c>
      <c r="M10" s="98">
        <f>(115.29+31.61)/10</f>
        <v>14.690000000000001</v>
      </c>
      <c r="N10" s="107"/>
      <c r="O10" s="108">
        <f>(194.77+153.67)/10</f>
        <v>34.844000000000001</v>
      </c>
      <c r="P10" s="108">
        <f>(133.92+93.44)/10</f>
        <v>22.735999999999997</v>
      </c>
      <c r="Q10" s="108">
        <f>36.09+29.4</f>
        <v>65.490000000000009</v>
      </c>
      <c r="R10" s="107">
        <f>22.36+22.51</f>
        <v>44.870000000000005</v>
      </c>
      <c r="S10">
        <f>47.13+28.23</f>
        <v>75.36</v>
      </c>
      <c r="T10" s="108">
        <f>(287.04+49.09)</f>
        <v>336.13</v>
      </c>
      <c r="U10" s="110">
        <f>343.9+49.54</f>
        <v>393.44</v>
      </c>
    </row>
    <row r="11" spans="1:21" x14ac:dyDescent="0.45">
      <c r="A11" s="48" t="s">
        <v>68</v>
      </c>
      <c r="B11" s="37">
        <v>1399.9110000000001</v>
      </c>
      <c r="C11" s="38">
        <v>997.94500000000005</v>
      </c>
      <c r="D11" s="38">
        <v>1241.829</v>
      </c>
      <c r="E11" s="38">
        <v>1418.27</v>
      </c>
      <c r="F11" s="38">
        <v>1563.9</v>
      </c>
      <c r="G11" s="38">
        <v>1778.87</v>
      </c>
      <c r="H11" s="51">
        <v>1842.88</v>
      </c>
      <c r="I11" s="51">
        <v>2114.89</v>
      </c>
      <c r="J11" s="44">
        <v>2575.4899999999998</v>
      </c>
      <c r="K11" s="45"/>
      <c r="L11" s="46" t="s">
        <v>67</v>
      </c>
      <c r="M11" s="47">
        <f t="shared" ref="M11:U11" si="4">SUM(M8:M10)</f>
        <v>1060</v>
      </c>
      <c r="N11" s="47">
        <f t="shared" si="4"/>
        <v>1396.47</v>
      </c>
      <c r="O11" s="47">
        <f t="shared" si="4"/>
        <v>2499.33</v>
      </c>
      <c r="P11" s="47">
        <f t="shared" si="4"/>
        <v>2634.2460000000001</v>
      </c>
      <c r="Q11" s="47">
        <f>SUM(Q8:Q10)</f>
        <v>2672.1499999999996</v>
      </c>
      <c r="R11" s="47">
        <f t="shared" si="4"/>
        <v>684.19999999999993</v>
      </c>
      <c r="S11" s="47">
        <f t="shared" si="4"/>
        <v>192.51999999999998</v>
      </c>
      <c r="T11" s="47">
        <f t="shared" si="4"/>
        <v>1679.63</v>
      </c>
      <c r="U11" s="47">
        <f t="shared" si="4"/>
        <v>1321.67</v>
      </c>
    </row>
    <row r="12" spans="1:21" x14ac:dyDescent="0.45">
      <c r="A12" s="48" t="s">
        <v>69</v>
      </c>
      <c r="B12" s="53">
        <v>0</v>
      </c>
      <c r="C12" s="38">
        <v>7.0259999999999998</v>
      </c>
      <c r="D12" s="38">
        <v>4.0279999999999996</v>
      </c>
      <c r="E12" s="38">
        <v>36.594999999999999</v>
      </c>
      <c r="F12" s="38">
        <v>7.43</v>
      </c>
      <c r="G12" s="38">
        <v>42.44</v>
      </c>
      <c r="H12" s="38">
        <v>4.24</v>
      </c>
      <c r="I12" s="38">
        <v>2.08</v>
      </c>
      <c r="J12" s="44">
        <v>6.68</v>
      </c>
      <c r="K12" s="54"/>
      <c r="L12" s="21"/>
      <c r="M12" s="52"/>
      <c r="N12" s="52"/>
      <c r="O12" s="52"/>
      <c r="P12" s="52"/>
      <c r="Q12" s="52"/>
      <c r="R12" s="44"/>
      <c r="S12" s="44"/>
      <c r="T12" s="44"/>
      <c r="U12" s="20"/>
    </row>
    <row r="13" spans="1:21" x14ac:dyDescent="0.45">
      <c r="A13" s="48" t="s">
        <v>71</v>
      </c>
      <c r="B13" s="37">
        <f>2016.869+294.324</f>
        <v>2311.1929999999998</v>
      </c>
      <c r="C13" s="38">
        <v>1509.9680000000001</v>
      </c>
      <c r="D13" s="38">
        <v>1991.232</v>
      </c>
      <c r="E13" s="38">
        <v>2112.11</v>
      </c>
      <c r="F13" s="38">
        <v>2156.75</v>
      </c>
      <c r="G13" s="38">
        <v>1866.97</v>
      </c>
      <c r="H13" s="38">
        <v>2222.65</v>
      </c>
      <c r="I13" s="38">
        <v>2748.69</v>
      </c>
      <c r="J13" s="44">
        <v>3189.49</v>
      </c>
      <c r="K13" s="57"/>
      <c r="L13" s="55" t="s">
        <v>70</v>
      </c>
      <c r="M13" s="56">
        <f t="shared" ref="M13:U13" si="5">M6+M8+M59+M10</f>
        <v>3464.98</v>
      </c>
      <c r="N13" s="56">
        <f t="shared" si="5"/>
        <v>7382.1899999999987</v>
      </c>
      <c r="O13" s="56">
        <f t="shared" si="5"/>
        <v>13822.527999999998</v>
      </c>
      <c r="P13" s="56">
        <f t="shared" si="5"/>
        <v>13098.444</v>
      </c>
      <c r="Q13" s="56">
        <f t="shared" si="5"/>
        <v>6714.56</v>
      </c>
      <c r="R13" s="56">
        <f t="shared" si="5"/>
        <v>6728.37</v>
      </c>
      <c r="S13" s="56">
        <f t="shared" si="5"/>
        <v>7228.2599999999993</v>
      </c>
      <c r="T13" s="56">
        <f>T6+T8+T59+T10</f>
        <v>8153.35</v>
      </c>
      <c r="U13" s="56">
        <f t="shared" si="5"/>
        <v>9789.7800000000007</v>
      </c>
    </row>
    <row r="14" spans="1:21" x14ac:dyDescent="0.45">
      <c r="A14" s="46" t="s">
        <v>38</v>
      </c>
      <c r="B14" s="47">
        <f t="shared" ref="B14:J14" si="6">B3-SUM(B7:B13)</f>
        <v>1308.0300000000025</v>
      </c>
      <c r="C14" s="47">
        <f t="shared" si="6"/>
        <v>1455.5720000000001</v>
      </c>
      <c r="D14" s="47">
        <f t="shared" si="6"/>
        <v>1299.5959999999977</v>
      </c>
      <c r="E14" s="47">
        <f t="shared" si="6"/>
        <v>1850.382999999998</v>
      </c>
      <c r="F14" s="47">
        <f t="shared" si="6"/>
        <v>1285.4099999999999</v>
      </c>
      <c r="G14" s="47">
        <f t="shared" si="6"/>
        <v>2669.190000000006</v>
      </c>
      <c r="H14" s="47">
        <f t="shared" si="6"/>
        <v>1908.3299999999981</v>
      </c>
      <c r="I14" s="47">
        <f>I3-SUM(I7:I13)</f>
        <v>1382.5800000000017</v>
      </c>
      <c r="J14" s="47">
        <f>J3-SUM(J7:J13)</f>
        <v>2095.4400000000023</v>
      </c>
      <c r="K14" s="42"/>
      <c r="L14" s="55" t="s">
        <v>72</v>
      </c>
      <c r="M14" s="56">
        <f t="shared" ref="M14:R14" si="7">M64-M53-M9-M61</f>
        <v>3464.98</v>
      </c>
      <c r="N14" s="56">
        <f t="shared" si="7"/>
        <v>7382.19</v>
      </c>
      <c r="O14" s="56">
        <f t="shared" si="7"/>
        <v>13822.528</v>
      </c>
      <c r="P14" s="56">
        <f t="shared" si="7"/>
        <v>13098.444000000001</v>
      </c>
      <c r="Q14" s="56">
        <f t="shared" si="7"/>
        <v>6714.5600000000022</v>
      </c>
      <c r="R14" s="56">
        <f t="shared" si="7"/>
        <v>6728.3700000000008</v>
      </c>
      <c r="S14" s="56">
        <f>S64-S53</f>
        <v>7152.9000000000015</v>
      </c>
      <c r="T14" s="56">
        <f>T64-T53</f>
        <v>7817.2200000000021</v>
      </c>
      <c r="U14" s="56">
        <f>U64-U53</f>
        <v>9396.34</v>
      </c>
    </row>
    <row r="15" spans="1:21" x14ac:dyDescent="0.45">
      <c r="A15" s="39" t="s">
        <v>73</v>
      </c>
      <c r="B15" s="40">
        <f t="shared" ref="B15:J15" si="8">B14/B3</f>
        <v>5.4921829931568147E-2</v>
      </c>
      <c r="C15" s="58">
        <f t="shared" si="8"/>
        <v>7.6811276509133691E-2</v>
      </c>
      <c r="D15" s="58">
        <f t="shared" si="8"/>
        <v>5.4756275050093249E-2</v>
      </c>
      <c r="E15" s="58">
        <f t="shared" si="8"/>
        <v>7.3581141231557692E-2</v>
      </c>
      <c r="F15" s="58">
        <f t="shared" si="8"/>
        <v>4.7155365706202414E-2</v>
      </c>
      <c r="G15" s="58">
        <f t="shared" si="8"/>
        <v>0.10792834779486445</v>
      </c>
      <c r="H15" s="58">
        <f t="shared" si="8"/>
        <v>7.117237706333425E-2</v>
      </c>
      <c r="I15" s="58">
        <f t="shared" si="8"/>
        <v>4.266361049343749E-2</v>
      </c>
      <c r="J15" s="58">
        <f t="shared" si="8"/>
        <v>5.5231761267549265E-2</v>
      </c>
      <c r="K15" s="42"/>
      <c r="L15" s="20"/>
      <c r="M15" s="44"/>
      <c r="N15" s="44"/>
      <c r="O15" s="44"/>
      <c r="P15" s="44"/>
      <c r="Q15" s="44"/>
      <c r="R15" s="44"/>
      <c r="S15" s="44"/>
      <c r="T15" s="44"/>
      <c r="U15" s="20"/>
    </row>
    <row r="16" spans="1:21" x14ac:dyDescent="0.45">
      <c r="A16" s="39" t="s">
        <v>55</v>
      </c>
      <c r="B16" s="40"/>
      <c r="C16" s="40">
        <f t="shared" ref="C16:E16" si="9">C15/B15-1</f>
        <v>0.39855639560516276</v>
      </c>
      <c r="D16" s="40">
        <f t="shared" si="9"/>
        <v>-0.28713233865365928</v>
      </c>
      <c r="E16" s="40">
        <f t="shared" si="9"/>
        <v>0.34379376910212933</v>
      </c>
      <c r="F16" s="40">
        <f>F14/E14-1</f>
        <v>-0.30532759974556556</v>
      </c>
      <c r="G16" s="40">
        <f>G14/F14-1</f>
        <v>1.0765281116530963</v>
      </c>
      <c r="H16" s="40">
        <f>H14/G14-1</f>
        <v>-0.28505276881750874</v>
      </c>
      <c r="I16" s="40">
        <f>I14/H14-1</f>
        <v>-0.27550266463347373</v>
      </c>
      <c r="J16" s="40">
        <f>J14/I14-1</f>
        <v>0.51560126719611143</v>
      </c>
      <c r="K16" s="45"/>
      <c r="L16" s="55" t="s">
        <v>74</v>
      </c>
      <c r="M16" s="56"/>
      <c r="N16" s="56"/>
      <c r="O16" s="56"/>
      <c r="P16" s="56"/>
      <c r="Q16" s="56"/>
      <c r="R16" s="56"/>
      <c r="S16" s="56"/>
      <c r="T16" s="56"/>
      <c r="U16" s="56"/>
    </row>
    <row r="17" spans="1:21" x14ac:dyDescent="0.45">
      <c r="A17" s="39" t="s">
        <v>57</v>
      </c>
      <c r="B17" s="60"/>
      <c r="C17" s="60"/>
      <c r="D17" s="60"/>
      <c r="E17" s="40">
        <f t="shared" ref="E17:J17" si="10">((E14/B14)^(1/3)-1)</f>
        <v>0.12257312735835546</v>
      </c>
      <c r="F17" s="40">
        <f t="shared" si="10"/>
        <v>-4.0593491142953186E-2</v>
      </c>
      <c r="G17" s="40">
        <f t="shared" si="10"/>
        <v>0.27113118754393395</v>
      </c>
      <c r="H17" s="40">
        <f t="shared" si="10"/>
        <v>1.0331629620778493E-2</v>
      </c>
      <c r="I17" s="40">
        <f t="shared" si="10"/>
        <v>2.4588629650472926E-2</v>
      </c>
      <c r="J17" s="40">
        <f t="shared" si="10"/>
        <v>-7.7502395793511147E-2</v>
      </c>
      <c r="K17" s="45"/>
      <c r="L17" s="59" t="s">
        <v>75</v>
      </c>
      <c r="M17" s="44"/>
      <c r="N17" s="44"/>
      <c r="O17" s="44"/>
      <c r="P17" s="44"/>
      <c r="Q17" s="44"/>
      <c r="R17" s="44"/>
      <c r="S17" s="44"/>
      <c r="T17" s="44"/>
      <c r="U17" s="20"/>
    </row>
    <row r="18" spans="1:21" x14ac:dyDescent="0.45">
      <c r="A18" s="20" t="s">
        <v>12</v>
      </c>
      <c r="B18" s="44">
        <v>65.495000000000005</v>
      </c>
      <c r="C18" s="38">
        <f>41.601+2468.102-385.487</f>
        <v>2124.2159999999999</v>
      </c>
      <c r="D18" s="38">
        <f>76.728+3953.707-3870.386</f>
        <v>160.04899999999998</v>
      </c>
      <c r="E18" s="38">
        <f>90.17+1310.985</f>
        <v>1401.155</v>
      </c>
      <c r="F18" s="38">
        <f>88.67+2944.89</f>
        <v>3033.56</v>
      </c>
      <c r="G18" s="38">
        <v>80.33</v>
      </c>
      <c r="H18" s="38">
        <v>112.72</v>
      </c>
      <c r="I18" s="38">
        <v>120.57</v>
      </c>
      <c r="J18" s="38">
        <v>119.65</v>
      </c>
      <c r="K18" s="45"/>
      <c r="L18" s="20" t="s">
        <v>76</v>
      </c>
      <c r="M18" s="38">
        <v>3082.19</v>
      </c>
      <c r="N18" s="38">
        <v>2945.64</v>
      </c>
      <c r="O18" s="38">
        <v>4106.0839999999998</v>
      </c>
      <c r="P18" s="38">
        <v>4610.08</v>
      </c>
      <c r="Q18" s="38">
        <v>4691.25</v>
      </c>
      <c r="R18" s="38">
        <v>5714.08</v>
      </c>
      <c r="S18" s="38">
        <v>5704.52</v>
      </c>
      <c r="T18" s="38">
        <v>6133.26</v>
      </c>
      <c r="U18" s="44">
        <f>6604.42+363.8</f>
        <v>6968.22</v>
      </c>
    </row>
    <row r="19" spans="1:21" x14ac:dyDescent="0.45">
      <c r="A19" s="20" t="s">
        <v>10</v>
      </c>
      <c r="B19" s="37">
        <v>345.12099999999998</v>
      </c>
      <c r="C19" s="38">
        <v>249.71600000000001</v>
      </c>
      <c r="D19" s="38">
        <v>378.26400000000001</v>
      </c>
      <c r="E19" s="38">
        <v>446.55200000000002</v>
      </c>
      <c r="F19" s="38">
        <v>501.33</v>
      </c>
      <c r="G19" s="38">
        <v>462.26</v>
      </c>
      <c r="H19" s="38">
        <v>521.82000000000005</v>
      </c>
      <c r="I19" s="38">
        <v>561.47</v>
      </c>
      <c r="J19" s="38">
        <v>608.19000000000005</v>
      </c>
      <c r="K19" s="45"/>
      <c r="L19" s="20" t="s">
        <v>77</v>
      </c>
      <c r="M19" s="38">
        <v>95.88</v>
      </c>
      <c r="N19" s="38">
        <v>75.61</v>
      </c>
      <c r="O19" s="38">
        <v>87.272999999999996</v>
      </c>
      <c r="P19" s="38">
        <v>417.92</v>
      </c>
      <c r="Q19" s="38">
        <v>757.16</v>
      </c>
      <c r="R19" s="38">
        <v>157.41</v>
      </c>
      <c r="S19" s="38">
        <v>73.989999999999995</v>
      </c>
      <c r="T19" s="38">
        <v>199.33</v>
      </c>
      <c r="U19" s="20">
        <v>200.63</v>
      </c>
    </row>
    <row r="20" spans="1:21" x14ac:dyDescent="0.45">
      <c r="A20" s="20" t="s">
        <v>11</v>
      </c>
      <c r="B20" s="37">
        <v>154.92699999999999</v>
      </c>
      <c r="C20" s="38">
        <v>97.037999999999997</v>
      </c>
      <c r="D20" s="38">
        <v>182.422</v>
      </c>
      <c r="E20" s="38">
        <v>214.833</v>
      </c>
      <c r="F20" s="38">
        <v>226.34</v>
      </c>
      <c r="G20" s="38">
        <v>191.8</v>
      </c>
      <c r="H20" s="38">
        <v>40.07</v>
      </c>
      <c r="I20" s="38">
        <v>39.020000000000003</v>
      </c>
      <c r="J20" s="44">
        <v>90.6</v>
      </c>
      <c r="K20" s="61"/>
      <c r="L20" s="20" t="s">
        <v>78</v>
      </c>
      <c r="M20" s="38">
        <v>12.1</v>
      </c>
      <c r="N20" s="38">
        <v>12.42</v>
      </c>
      <c r="O20" s="38">
        <v>39.720999999999997</v>
      </c>
      <c r="P20" s="38">
        <v>36.93</v>
      </c>
      <c r="Q20" s="38">
        <v>58.51</v>
      </c>
      <c r="R20" s="38">
        <v>45.28</v>
      </c>
      <c r="S20" s="38">
        <v>44.2</v>
      </c>
      <c r="T20" s="38">
        <v>43.12</v>
      </c>
      <c r="U20" s="20">
        <v>42.04</v>
      </c>
    </row>
    <row r="21" spans="1:21" x14ac:dyDescent="0.45">
      <c r="A21" s="62" t="s">
        <v>43</v>
      </c>
      <c r="B21" s="44">
        <v>13.695</v>
      </c>
      <c r="C21" s="38">
        <v>0</v>
      </c>
      <c r="D21" s="38">
        <v>0</v>
      </c>
      <c r="E21" s="38">
        <v>1310.9849999999999</v>
      </c>
      <c r="F21" s="38">
        <v>5116.0600000000004</v>
      </c>
      <c r="G21" s="38">
        <v>48.12</v>
      </c>
      <c r="H21" s="44">
        <v>91.4</v>
      </c>
      <c r="I21" s="44">
        <v>0</v>
      </c>
      <c r="J21" s="73" t="s">
        <v>171</v>
      </c>
      <c r="K21" s="61"/>
      <c r="L21" s="20" t="s">
        <v>79</v>
      </c>
      <c r="M21" s="38">
        <v>16.41</v>
      </c>
      <c r="N21" s="38">
        <v>4.8899999999999997</v>
      </c>
      <c r="O21" s="38">
        <v>184.76400000000001</v>
      </c>
      <c r="P21" s="38">
        <v>108.64</v>
      </c>
      <c r="Q21" s="38">
        <v>61.13</v>
      </c>
      <c r="R21" s="38">
        <v>38.950000000000003</v>
      </c>
      <c r="S21" s="38">
        <v>44.39</v>
      </c>
      <c r="T21" s="38">
        <v>39.83</v>
      </c>
      <c r="U21" s="110">
        <v>34.4</v>
      </c>
    </row>
    <row r="22" spans="1:21" x14ac:dyDescent="0.45">
      <c r="A22" s="62" t="s">
        <v>81</v>
      </c>
      <c r="B22" s="44">
        <f>0.009-0.004</f>
        <v>4.9999999999999992E-3</v>
      </c>
      <c r="C22" s="38">
        <v>8.9999999999999993E-3</v>
      </c>
      <c r="D22" s="38">
        <v>0.94799999999999995</v>
      </c>
      <c r="E22" s="38">
        <v>3.9279999999999999</v>
      </c>
      <c r="F22" s="38">
        <v>9.01</v>
      </c>
      <c r="G22" s="38">
        <v>22.16</v>
      </c>
      <c r="H22" s="44">
        <v>60.34</v>
      </c>
      <c r="I22" s="44">
        <v>85.23</v>
      </c>
      <c r="J22" s="44">
        <v>65.430000000000007</v>
      </c>
      <c r="K22" s="63"/>
      <c r="L22" s="20" t="s">
        <v>80</v>
      </c>
      <c r="M22" s="38">
        <v>0</v>
      </c>
      <c r="N22" s="38">
        <v>0</v>
      </c>
      <c r="O22" s="38">
        <v>0</v>
      </c>
      <c r="P22" s="38">
        <v>0</v>
      </c>
      <c r="Q22" s="38">
        <v>15.81</v>
      </c>
      <c r="R22" s="38">
        <v>25.77</v>
      </c>
      <c r="S22" s="38">
        <v>6.4</v>
      </c>
      <c r="T22" s="38">
        <v>1.06</v>
      </c>
      <c r="U22" s="44">
        <v>0</v>
      </c>
    </row>
    <row r="23" spans="1:21" x14ac:dyDescent="0.45">
      <c r="A23" s="64" t="s">
        <v>44</v>
      </c>
      <c r="B23" s="65">
        <f t="shared" ref="B23:J23" si="11">B14+B18-SUM(B19:B22)</f>
        <v>859.77700000000232</v>
      </c>
      <c r="C23" s="65">
        <f t="shared" si="11"/>
        <v>3233.0250000000001</v>
      </c>
      <c r="D23" s="65">
        <f t="shared" si="11"/>
        <v>898.01099999999769</v>
      </c>
      <c r="E23" s="65">
        <f t="shared" si="11"/>
        <v>1275.2399999999977</v>
      </c>
      <c r="F23" s="65">
        <f t="shared" si="11"/>
        <v>-1533.7700000000013</v>
      </c>
      <c r="G23" s="65">
        <f t="shared" si="11"/>
        <v>2025.180000000006</v>
      </c>
      <c r="H23" s="65">
        <f t="shared" si="11"/>
        <v>1307.419999999998</v>
      </c>
      <c r="I23" s="65">
        <f t="shared" si="11"/>
        <v>817.43000000000166</v>
      </c>
      <c r="J23" s="65">
        <f>J14+J18-SUM(J19:J22)</f>
        <v>1450.8700000000024</v>
      </c>
      <c r="K23" s="66"/>
      <c r="L23" s="43" t="s">
        <v>82</v>
      </c>
      <c r="M23" s="38"/>
      <c r="N23" s="38"/>
      <c r="O23" s="38"/>
      <c r="P23" s="38"/>
      <c r="Q23" s="38"/>
      <c r="R23" s="38"/>
      <c r="S23" s="44"/>
      <c r="T23" s="44"/>
      <c r="U23" s="20"/>
    </row>
    <row r="24" spans="1:21" x14ac:dyDescent="0.45">
      <c r="A24" s="20" t="s">
        <v>15</v>
      </c>
      <c r="B24" s="37">
        <f>308.65-1.806-1.334</f>
        <v>305.51</v>
      </c>
      <c r="C24" s="38">
        <f>270.154+53.828</f>
        <v>323.98199999999997</v>
      </c>
      <c r="D24" s="38">
        <f>279.964-8.747</f>
        <v>271.21699999999998</v>
      </c>
      <c r="E24" s="38">
        <f>425.926+20.864</f>
        <v>446.78999999999996</v>
      </c>
      <c r="F24" s="38">
        <f>185.94-32.48</f>
        <v>153.46</v>
      </c>
      <c r="G24" s="38">
        <f>516.4+18.28</f>
        <v>534.67999999999995</v>
      </c>
      <c r="H24" s="38">
        <f>343.59-1.38</f>
        <v>342.21</v>
      </c>
      <c r="I24" s="38">
        <f>228.33+9.34</f>
        <v>237.67000000000002</v>
      </c>
      <c r="J24" s="38">
        <f>375.21+10.17</f>
        <v>385.38</v>
      </c>
      <c r="K24" s="61"/>
      <c r="L24" s="48" t="s">
        <v>83</v>
      </c>
      <c r="M24" s="38">
        <v>5.64</v>
      </c>
      <c r="N24" s="38">
        <v>5.63</v>
      </c>
      <c r="O24" s="38">
        <v>5.6779999999999999</v>
      </c>
      <c r="P24" s="38">
        <v>86.75</v>
      </c>
      <c r="Q24" s="38">
        <v>81.8</v>
      </c>
      <c r="R24" s="38">
        <v>129.06</v>
      </c>
      <c r="S24" s="44">
        <v>173.87</v>
      </c>
      <c r="T24" s="44">
        <v>144.13999999999999</v>
      </c>
      <c r="U24" s="110">
        <v>176.71</v>
      </c>
    </row>
    <row r="25" spans="1:21" x14ac:dyDescent="0.45">
      <c r="A25" s="39" t="s">
        <v>85</v>
      </c>
      <c r="B25" s="40">
        <f t="shared" ref="B25:F25" si="12">B24/B23</f>
        <v>0.35533632558209766</v>
      </c>
      <c r="C25" s="40">
        <f t="shared" si="12"/>
        <v>0.10021017468160623</v>
      </c>
      <c r="D25" s="40">
        <f t="shared" si="12"/>
        <v>0.30201968572768118</v>
      </c>
      <c r="E25" s="40">
        <f t="shared" si="12"/>
        <v>0.35035757974969478</v>
      </c>
      <c r="F25" s="40">
        <f t="shared" si="12"/>
        <v>-0.10005411502376489</v>
      </c>
      <c r="G25" s="40">
        <f>G24/G23</f>
        <v>0.2640160380805649</v>
      </c>
      <c r="H25" s="40">
        <f>H24/H23</f>
        <v>0.26174450444386693</v>
      </c>
      <c r="I25" s="40">
        <f>I24/I23</f>
        <v>0.29075272500397531</v>
      </c>
      <c r="J25" s="40">
        <f>J24/J23</f>
        <v>0.26561993838179809</v>
      </c>
      <c r="K25" s="67"/>
      <c r="L25" s="48" t="s">
        <v>84</v>
      </c>
      <c r="M25" s="38">
        <v>3.11</v>
      </c>
      <c r="N25" s="38">
        <v>4774.46</v>
      </c>
      <c r="O25" s="38">
        <v>10011.540999999999</v>
      </c>
      <c r="P25" s="38">
        <v>8263.41</v>
      </c>
      <c r="Q25" s="38">
        <v>1441.36</v>
      </c>
      <c r="R25" s="38">
        <v>2.85</v>
      </c>
      <c r="S25" s="44">
        <v>2.93</v>
      </c>
      <c r="T25" s="44">
        <v>3.02</v>
      </c>
      <c r="U25" s="110">
        <v>3.2</v>
      </c>
    </row>
    <row r="26" spans="1:21" x14ac:dyDescent="0.45">
      <c r="A26" s="46" t="s">
        <v>87</v>
      </c>
      <c r="B26" s="47">
        <f t="shared" ref="B26:F26" si="13">B23-B24</f>
        <v>554.26700000000233</v>
      </c>
      <c r="C26" s="47">
        <f t="shared" si="13"/>
        <v>2909.0430000000001</v>
      </c>
      <c r="D26" s="47">
        <f t="shared" si="13"/>
        <v>626.79399999999771</v>
      </c>
      <c r="E26" s="47">
        <f t="shared" si="13"/>
        <v>828.44999999999777</v>
      </c>
      <c r="F26" s="47">
        <f t="shared" si="13"/>
        <v>-1687.2300000000014</v>
      </c>
      <c r="G26" s="47">
        <f>G23-G24</f>
        <v>1490.5000000000059</v>
      </c>
      <c r="H26" s="47">
        <f>H23-H24</f>
        <v>965.20999999999799</v>
      </c>
      <c r="I26" s="47">
        <f>I23-I24</f>
        <v>579.76000000000158</v>
      </c>
      <c r="J26" s="47">
        <f>J23-J24</f>
        <v>1065.4900000000025</v>
      </c>
      <c r="K26" s="50"/>
      <c r="L26" s="48" t="s">
        <v>86</v>
      </c>
      <c r="M26" s="38">
        <v>220.01</v>
      </c>
      <c r="N26" s="38">
        <v>40.090000000000003</v>
      </c>
      <c r="O26" s="38">
        <v>41.24</v>
      </c>
      <c r="P26" s="38">
        <v>46.32</v>
      </c>
      <c r="Q26" s="38">
        <v>53.85</v>
      </c>
      <c r="R26" s="38">
        <v>0</v>
      </c>
      <c r="S26" s="44">
        <v>0</v>
      </c>
      <c r="T26" s="44">
        <v>0</v>
      </c>
      <c r="U26" s="44">
        <v>0</v>
      </c>
    </row>
    <row r="27" spans="1:21" x14ac:dyDescent="0.45">
      <c r="A27" s="64" t="s">
        <v>89</v>
      </c>
      <c r="B27" s="65">
        <v>-216.38499999999999</v>
      </c>
      <c r="C27" s="65">
        <v>-140.16</v>
      </c>
      <c r="D27" s="65">
        <v>1.1040000000000001</v>
      </c>
      <c r="E27" s="65">
        <v>-1.863</v>
      </c>
      <c r="F27" s="65">
        <v>-6.77</v>
      </c>
      <c r="G27" s="65">
        <v>-7.49</v>
      </c>
      <c r="H27" s="68">
        <v>-4.3499999999999996</v>
      </c>
      <c r="I27" s="68">
        <v>-0.01</v>
      </c>
      <c r="J27" s="68">
        <v>0</v>
      </c>
      <c r="K27" s="61"/>
      <c r="L27" s="48" t="s">
        <v>88</v>
      </c>
      <c r="M27" s="38">
        <v>6.31</v>
      </c>
      <c r="N27" s="38">
        <v>7.25</v>
      </c>
      <c r="O27" s="38">
        <v>7.5220000000000002</v>
      </c>
      <c r="P27" s="38">
        <v>7.02</v>
      </c>
      <c r="Q27" s="38">
        <v>5.24</v>
      </c>
      <c r="R27" s="38">
        <v>55.26</v>
      </c>
      <c r="S27" s="38">
        <v>64.099999999999994</v>
      </c>
      <c r="T27" s="38">
        <v>103.66</v>
      </c>
      <c r="U27" s="20">
        <v>111.46</v>
      </c>
    </row>
    <row r="28" spans="1:21" x14ac:dyDescent="0.45">
      <c r="A28" s="20" t="s">
        <v>15</v>
      </c>
      <c r="B28" s="44">
        <v>-74.608999999999995</v>
      </c>
      <c r="C28" s="44">
        <v>-8.8089999999999993</v>
      </c>
      <c r="D28" s="44">
        <v>0.57199999999999995</v>
      </c>
      <c r="E28" s="44">
        <v>0.64200000000000002</v>
      </c>
      <c r="F28" s="44">
        <v>0</v>
      </c>
      <c r="G28" s="44">
        <v>0</v>
      </c>
      <c r="H28" s="51">
        <v>0</v>
      </c>
      <c r="I28" s="51">
        <v>0</v>
      </c>
      <c r="J28" s="51">
        <v>0</v>
      </c>
      <c r="K28" s="61"/>
      <c r="L28" s="20" t="s">
        <v>90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</row>
    <row r="29" spans="1:21" x14ac:dyDescent="0.45">
      <c r="A29" s="46" t="s">
        <v>92</v>
      </c>
      <c r="B29" s="47">
        <f t="shared" ref="B29:G29" si="14">B27-B28</f>
        <v>-141.77600000000001</v>
      </c>
      <c r="C29" s="47">
        <f t="shared" si="14"/>
        <v>-131.351</v>
      </c>
      <c r="D29" s="47">
        <f t="shared" si="14"/>
        <v>0.53200000000000014</v>
      </c>
      <c r="E29" s="47">
        <f t="shared" si="14"/>
        <v>-2.5049999999999999</v>
      </c>
      <c r="F29" s="47">
        <f t="shared" si="14"/>
        <v>-6.77</v>
      </c>
      <c r="G29" s="47">
        <f t="shared" si="14"/>
        <v>-7.49</v>
      </c>
      <c r="H29" s="47">
        <f>H27+H28</f>
        <v>-4.3499999999999996</v>
      </c>
      <c r="I29" s="47">
        <f>I27+I28</f>
        <v>-0.01</v>
      </c>
      <c r="J29" s="47">
        <f>J27+J28</f>
        <v>0</v>
      </c>
      <c r="K29" s="57"/>
      <c r="L29" s="20" t="s">
        <v>91</v>
      </c>
      <c r="M29" s="38">
        <v>17.68</v>
      </c>
      <c r="N29" s="38">
        <v>21.05</v>
      </c>
      <c r="O29" s="38">
        <v>42.247999999999998</v>
      </c>
      <c r="P29" s="38">
        <v>18.72</v>
      </c>
      <c r="Q29" s="38">
        <v>29.09</v>
      </c>
      <c r="R29" s="38">
        <v>21.88</v>
      </c>
      <c r="S29" s="38">
        <v>3.84</v>
      </c>
      <c r="T29" s="38">
        <v>49.88</v>
      </c>
      <c r="U29" s="20">
        <v>24.55</v>
      </c>
    </row>
    <row r="30" spans="1:21" x14ac:dyDescent="0.45">
      <c r="A30" s="46" t="s">
        <v>93</v>
      </c>
      <c r="B30" s="47">
        <f>B28-B29</f>
        <v>67.167000000000016</v>
      </c>
      <c r="C30" s="47">
        <f t="shared" ref="C30:E30" si="15">C26+C29</f>
        <v>2777.692</v>
      </c>
      <c r="D30" s="47">
        <f t="shared" si="15"/>
        <v>627.32599999999775</v>
      </c>
      <c r="E30" s="47">
        <f t="shared" si="15"/>
        <v>825.94499999999778</v>
      </c>
      <c r="F30" s="47">
        <f>F26+F29</f>
        <v>-1694.0000000000014</v>
      </c>
      <c r="G30" s="47">
        <f>G26+G29</f>
        <v>1483.0100000000059</v>
      </c>
      <c r="H30" s="47">
        <f>H26+H29</f>
        <v>960.85999999999797</v>
      </c>
      <c r="I30" s="47">
        <f>I26+I29</f>
        <v>579.75000000000159</v>
      </c>
      <c r="J30" s="47">
        <f>J26+J29</f>
        <v>1065.4900000000025</v>
      </c>
      <c r="K30" s="42"/>
      <c r="L30" s="69" t="s">
        <v>75</v>
      </c>
      <c r="M30" s="47">
        <f t="shared" ref="M30:U30" si="16">SUM(M18:M29)</f>
        <v>3459.33</v>
      </c>
      <c r="N30" s="47">
        <f t="shared" si="16"/>
        <v>7887.04</v>
      </c>
      <c r="O30" s="47">
        <f t="shared" si="16"/>
        <v>14526.070999999998</v>
      </c>
      <c r="P30" s="47">
        <f t="shared" si="16"/>
        <v>13595.789999999999</v>
      </c>
      <c r="Q30" s="47">
        <f t="shared" si="16"/>
        <v>7195.2000000000007</v>
      </c>
      <c r="R30" s="47">
        <f t="shared" si="16"/>
        <v>6190.5400000000009</v>
      </c>
      <c r="S30" s="47">
        <f t="shared" si="16"/>
        <v>6118.2400000000007</v>
      </c>
      <c r="T30" s="47">
        <f t="shared" si="16"/>
        <v>6717.3000000000011</v>
      </c>
      <c r="U30" s="47">
        <f t="shared" si="16"/>
        <v>7561.21</v>
      </c>
    </row>
    <row r="31" spans="1:21" x14ac:dyDescent="0.45">
      <c r="A31" s="39" t="s">
        <v>94</v>
      </c>
      <c r="B31" s="40">
        <f>B26/B3</f>
        <v>2.3272675634871183E-2</v>
      </c>
      <c r="C31" s="58">
        <f t="shared" ref="C31:I31" si="17">C30/C3</f>
        <v>0.14658022294273904</v>
      </c>
      <c r="D31" s="58">
        <f t="shared" si="17"/>
        <v>2.643131788807809E-2</v>
      </c>
      <c r="E31" s="58">
        <f t="shared" si="17"/>
        <v>3.2843998077424413E-2</v>
      </c>
      <c r="F31" s="58">
        <f t="shared" si="17"/>
        <v>-6.2144521597238982E-2</v>
      </c>
      <c r="G31" s="58">
        <f t="shared" si="17"/>
        <v>5.9965314969433497E-2</v>
      </c>
      <c r="H31" s="58">
        <f t="shared" si="17"/>
        <v>3.583588280070809E-2</v>
      </c>
      <c r="I31" s="58">
        <f t="shared" si="17"/>
        <v>1.7889907407578891E-2</v>
      </c>
      <c r="J31" s="58">
        <f t="shared" ref="J31" si="18">J30/J3</f>
        <v>2.8084263597602958E-2</v>
      </c>
      <c r="K31" s="42"/>
      <c r="L31" s="20"/>
      <c r="M31" s="52"/>
      <c r="N31" s="52"/>
      <c r="O31" s="52"/>
      <c r="P31" s="52"/>
      <c r="Q31" s="52"/>
      <c r="R31" s="44"/>
      <c r="S31" s="44"/>
      <c r="T31" s="44"/>
      <c r="U31" s="20"/>
    </row>
    <row r="32" spans="1:21" x14ac:dyDescent="0.45">
      <c r="A32" s="39" t="s">
        <v>55</v>
      </c>
      <c r="B32" s="40"/>
      <c r="C32" s="40">
        <f t="shared" ref="C32:D32" si="19">C31/B31-1</f>
        <v>5.2983829295118507</v>
      </c>
      <c r="D32" s="40">
        <f t="shared" si="19"/>
        <v>-0.81968019042784934</v>
      </c>
      <c r="E32" s="40">
        <f>E31/D31-1</f>
        <v>0.24261674035704361</v>
      </c>
      <c r="F32" s="40">
        <f>F26/E26-1</f>
        <v>-3.0366105377512294</v>
      </c>
      <c r="G32" s="40">
        <f>G26/F26-1</f>
        <v>-1.8834006033557991</v>
      </c>
      <c r="H32" s="40">
        <f>H26/G26-1</f>
        <v>-0.3524253606172465</v>
      </c>
      <c r="I32" s="40">
        <f>I26/H26-1</f>
        <v>-0.39934314812320348</v>
      </c>
      <c r="J32" s="40">
        <f>J26/I26-1</f>
        <v>0.83781219815095831</v>
      </c>
      <c r="K32" s="45"/>
      <c r="L32" s="59" t="s">
        <v>95</v>
      </c>
      <c r="M32" s="44"/>
      <c r="N32" s="44"/>
      <c r="O32" s="44"/>
      <c r="P32" s="44"/>
      <c r="Q32" s="44"/>
      <c r="R32" s="44"/>
      <c r="S32" s="44"/>
      <c r="T32" s="44"/>
      <c r="U32" s="20"/>
    </row>
    <row r="33" spans="1:22" x14ac:dyDescent="0.45">
      <c r="A33" s="39" t="s">
        <v>57</v>
      </c>
      <c r="B33" s="41"/>
      <c r="C33" s="41"/>
      <c r="D33" s="41"/>
      <c r="E33" s="40">
        <f t="shared" ref="E33:J33" si="20">((E26/B26)^(1/3)-1)</f>
        <v>0.14335850500104641</v>
      </c>
      <c r="F33" s="40">
        <f t="shared" si="20"/>
        <v>-1.8339526300668165</v>
      </c>
      <c r="G33" s="40">
        <f t="shared" si="20"/>
        <v>0.33475754132276858</v>
      </c>
      <c r="H33" s="40">
        <f t="shared" si="20"/>
        <v>5.2248955896093685E-2</v>
      </c>
      <c r="I33" s="40">
        <f t="shared" si="20"/>
        <v>-1.700419109639737</v>
      </c>
      <c r="J33" s="40">
        <f t="shared" si="20"/>
        <v>-0.10585943291810829</v>
      </c>
      <c r="K33" s="61"/>
      <c r="L33" s="20" t="s">
        <v>96</v>
      </c>
      <c r="M33" s="38">
        <v>1449.11</v>
      </c>
      <c r="N33" s="38">
        <v>1226.9000000000001</v>
      </c>
      <c r="O33" s="38">
        <v>1547.492</v>
      </c>
      <c r="P33" s="38">
        <v>1383.63</v>
      </c>
      <c r="Q33" s="38">
        <v>1446.75</v>
      </c>
      <c r="R33" s="38">
        <v>1982.7</v>
      </c>
      <c r="S33" s="38">
        <v>2058.39</v>
      </c>
      <c r="T33" s="38">
        <v>3789.45</v>
      </c>
      <c r="U33" s="38">
        <v>2619.13</v>
      </c>
      <c r="V33" s="70"/>
    </row>
    <row r="34" spans="1:22" x14ac:dyDescent="0.45">
      <c r="A34" s="20" t="s">
        <v>20</v>
      </c>
      <c r="B34" s="44">
        <v>0</v>
      </c>
      <c r="C34" s="38">
        <v>823.05899999999997</v>
      </c>
      <c r="D34" s="38">
        <v>1310.9480000000001</v>
      </c>
      <c r="E34" s="38">
        <v>-453.59100000000001</v>
      </c>
      <c r="F34" s="38">
        <f>-5.83-1705.99</f>
        <v>-1711.82</v>
      </c>
      <c r="G34" s="38">
        <f>-3.84-17.23</f>
        <v>-21.07</v>
      </c>
      <c r="H34" s="38">
        <f>-0.53+0.07</f>
        <v>-0.46</v>
      </c>
      <c r="I34" s="38">
        <f>-2.88+0.09</f>
        <v>-2.79</v>
      </c>
      <c r="J34" s="38">
        <f>-10.76+0.18</f>
        <v>-10.58</v>
      </c>
      <c r="K34" s="42"/>
      <c r="L34" s="43" t="s">
        <v>97</v>
      </c>
      <c r="M34" s="38"/>
      <c r="N34" s="38"/>
      <c r="O34" s="38"/>
      <c r="P34" s="38"/>
      <c r="Q34" s="38"/>
      <c r="R34" s="38"/>
      <c r="S34" s="44"/>
      <c r="T34" s="44"/>
      <c r="U34" s="110"/>
    </row>
    <row r="35" spans="1:22" x14ac:dyDescent="0.45">
      <c r="A35" s="71" t="s">
        <v>99</v>
      </c>
      <c r="B35" s="72">
        <f>B26+B34</f>
        <v>554.26700000000233</v>
      </c>
      <c r="C35" s="72">
        <f t="shared" ref="C35:F35" si="21">C30+C34</f>
        <v>3600.7510000000002</v>
      </c>
      <c r="D35" s="72">
        <f t="shared" si="21"/>
        <v>1938.2739999999978</v>
      </c>
      <c r="E35" s="72">
        <f t="shared" si="21"/>
        <v>372.35399999999777</v>
      </c>
      <c r="F35" s="72">
        <f t="shared" si="21"/>
        <v>-3405.8200000000015</v>
      </c>
      <c r="G35" s="72">
        <f>G30+G34</f>
        <v>1461.940000000006</v>
      </c>
      <c r="H35" s="72">
        <f>H30+H34</f>
        <v>960.39999999999793</v>
      </c>
      <c r="I35" s="72">
        <f>I30+I34</f>
        <v>576.96000000000163</v>
      </c>
      <c r="J35" s="72">
        <f>J30+J34</f>
        <v>1054.9100000000026</v>
      </c>
      <c r="K35" s="42"/>
      <c r="L35" s="48" t="s">
        <v>98</v>
      </c>
      <c r="M35" s="38">
        <v>0.17</v>
      </c>
      <c r="N35" s="38">
        <v>0.12</v>
      </c>
      <c r="O35" s="38">
        <v>4.2000000000000003E-2</v>
      </c>
      <c r="P35" s="38">
        <v>0.03</v>
      </c>
      <c r="Q35" s="38">
        <v>0.04</v>
      </c>
      <c r="R35" s="38">
        <v>0.04</v>
      </c>
      <c r="S35" s="44">
        <v>0.03</v>
      </c>
      <c r="T35" s="44">
        <v>0.03</v>
      </c>
      <c r="U35" s="110">
        <v>1221.8599999999999</v>
      </c>
    </row>
    <row r="36" spans="1:22" x14ac:dyDescent="0.45">
      <c r="A36" s="39" t="s">
        <v>55</v>
      </c>
      <c r="B36" s="40"/>
      <c r="C36" s="40">
        <f t="shared" ref="C36:E36" si="22">C35/B35-1</f>
        <v>5.496419595610031</v>
      </c>
      <c r="D36" s="40">
        <f t="shared" si="22"/>
        <v>-0.46170285032205849</v>
      </c>
      <c r="E36" s="40">
        <f t="shared" si="22"/>
        <v>-0.80789403355769196</v>
      </c>
      <c r="F36" s="40">
        <f>F35/E35-1</f>
        <v>-10.146725965076303</v>
      </c>
      <c r="G36" s="40">
        <f>G35/F35-1</f>
        <v>-1.4292475820800881</v>
      </c>
      <c r="H36" s="40">
        <f>H35/G35-1</f>
        <v>-0.34306469485752222</v>
      </c>
      <c r="I36" s="40">
        <f>I35/H35-1</f>
        <v>-0.39925031236984287</v>
      </c>
      <c r="J36" s="40">
        <f>J35/I35-1</f>
        <v>0.82839364947309968</v>
      </c>
      <c r="L36" s="48" t="s">
        <v>100</v>
      </c>
      <c r="M36" s="38">
        <v>285.12</v>
      </c>
      <c r="N36" s="38">
        <v>154.81</v>
      </c>
      <c r="O36" s="38">
        <v>128.94200000000001</v>
      </c>
      <c r="P36" s="38">
        <v>423.52</v>
      </c>
      <c r="Q36" s="38">
        <v>218.92</v>
      </c>
      <c r="R36" s="38">
        <v>152.19999999999999</v>
      </c>
      <c r="S36" s="38">
        <v>184.8</v>
      </c>
      <c r="T36" s="38">
        <v>280.06</v>
      </c>
      <c r="U36" s="110">
        <v>287.06</v>
      </c>
    </row>
    <row r="37" spans="1:22" x14ac:dyDescent="0.45">
      <c r="A37" s="39" t="s">
        <v>57</v>
      </c>
      <c r="B37" s="41"/>
      <c r="C37" s="41"/>
      <c r="D37" s="41"/>
      <c r="E37" s="40">
        <f t="shared" ref="E37:J37" si="23">((E35/B35)^(1/3)-1)</f>
        <v>-0.12418509129933808</v>
      </c>
      <c r="F37" s="40">
        <f t="shared" si="23"/>
        <v>-1.9816187994128143</v>
      </c>
      <c r="G37" s="40">
        <f t="shared" si="23"/>
        <v>-8.9727422410087021E-2</v>
      </c>
      <c r="H37" s="40">
        <f t="shared" si="23"/>
        <v>0.37140388658184387</v>
      </c>
      <c r="I37" s="40">
        <f t="shared" si="23"/>
        <v>-1.5533178378197912</v>
      </c>
      <c r="J37" s="40">
        <f t="shared" si="23"/>
        <v>-0.10306297161815758</v>
      </c>
      <c r="L37" s="48" t="s">
        <v>101</v>
      </c>
      <c r="M37" s="38">
        <v>445.88</v>
      </c>
      <c r="N37" s="38">
        <v>459.72</v>
      </c>
      <c r="O37" s="38">
        <v>602.12099999999998</v>
      </c>
      <c r="P37" s="38">
        <v>633.49</v>
      </c>
      <c r="Q37" s="38">
        <v>558.34</v>
      </c>
      <c r="R37" s="38">
        <v>218.26</v>
      </c>
      <c r="S37" s="38">
        <v>331.11</v>
      </c>
      <c r="T37" s="38">
        <v>163.36000000000001</v>
      </c>
      <c r="U37" s="110">
        <v>785.08</v>
      </c>
    </row>
    <row r="38" spans="1:22" x14ac:dyDescent="0.45">
      <c r="A38" s="20" t="s">
        <v>103</v>
      </c>
      <c r="B38" s="44"/>
      <c r="C38" s="44"/>
      <c r="D38" s="44"/>
      <c r="E38" s="44"/>
      <c r="F38" s="44"/>
      <c r="G38" s="44"/>
      <c r="H38" s="20"/>
      <c r="I38" s="20"/>
      <c r="J38" s="20"/>
      <c r="L38" s="48" t="s">
        <v>102</v>
      </c>
      <c r="M38" s="38">
        <v>68.14</v>
      </c>
      <c r="N38" s="38">
        <v>89.7</v>
      </c>
      <c r="O38" s="38">
        <v>86.123999999999995</v>
      </c>
      <c r="P38" s="38">
        <v>113.98</v>
      </c>
      <c r="Q38" s="38">
        <v>24.13</v>
      </c>
      <c r="R38" s="38">
        <v>17.3</v>
      </c>
      <c r="S38" s="38">
        <v>25.01</v>
      </c>
      <c r="T38" s="38">
        <v>28.26</v>
      </c>
      <c r="U38" s="110">
        <v>53.15</v>
      </c>
    </row>
    <row r="39" spans="1:22" x14ac:dyDescent="0.45">
      <c r="A39" s="48" t="s">
        <v>104</v>
      </c>
      <c r="B39" s="44">
        <v>23.89</v>
      </c>
      <c r="C39" s="44">
        <v>59.59</v>
      </c>
      <c r="D39" s="44">
        <v>13.53</v>
      </c>
      <c r="E39" s="44">
        <v>9.0299999999999994</v>
      </c>
      <c r="F39" s="44">
        <v>-18.510000000000002</v>
      </c>
      <c r="G39" s="73">
        <v>16.21</v>
      </c>
      <c r="H39" s="44">
        <v>10.55</v>
      </c>
      <c r="I39" s="44">
        <v>6.33</v>
      </c>
      <c r="J39" s="44">
        <v>11.48</v>
      </c>
      <c r="K39" s="42"/>
      <c r="L39" s="48" t="s">
        <v>86</v>
      </c>
      <c r="M39" s="38">
        <v>45.83</v>
      </c>
      <c r="N39" s="38">
        <v>46.78</v>
      </c>
      <c r="O39" s="38">
        <v>43.74</v>
      </c>
      <c r="P39" s="38">
        <v>23.67</v>
      </c>
      <c r="Q39" s="38">
        <v>28.24</v>
      </c>
      <c r="R39" s="38">
        <v>8.9</v>
      </c>
      <c r="S39" s="38">
        <v>0.89</v>
      </c>
      <c r="T39" s="38">
        <v>0.31</v>
      </c>
      <c r="U39" s="110">
        <v>0.24</v>
      </c>
    </row>
    <row r="40" spans="1:22" x14ac:dyDescent="0.45">
      <c r="A40" s="48" t="s">
        <v>106</v>
      </c>
      <c r="B40" s="44">
        <v>23.89</v>
      </c>
      <c r="C40" s="44">
        <v>59.29</v>
      </c>
      <c r="D40" s="44">
        <v>13.53</v>
      </c>
      <c r="E40" s="44">
        <v>9.0299999999999994</v>
      </c>
      <c r="F40" s="44">
        <v>-18.510000000000002</v>
      </c>
      <c r="G40" s="73">
        <v>16.21</v>
      </c>
      <c r="H40" s="44">
        <v>10.55</v>
      </c>
      <c r="I40" s="44">
        <v>6.33</v>
      </c>
      <c r="J40" s="44">
        <v>11.48</v>
      </c>
      <c r="K40" s="42"/>
      <c r="L40" s="48" t="s">
        <v>105</v>
      </c>
      <c r="M40" s="38">
        <v>2.2999999999999998</v>
      </c>
      <c r="N40" s="38">
        <v>0.49</v>
      </c>
      <c r="O40" s="38">
        <v>2.8370000000000002</v>
      </c>
      <c r="P40" s="38">
        <v>8.94</v>
      </c>
      <c r="Q40" s="38">
        <v>4.2</v>
      </c>
      <c r="R40" s="38">
        <v>31.59</v>
      </c>
      <c r="S40" s="38">
        <v>45.76</v>
      </c>
      <c r="T40" s="38">
        <v>105.51</v>
      </c>
      <c r="U40" s="125">
        <v>127.38</v>
      </c>
    </row>
    <row r="41" spans="1:22" x14ac:dyDescent="0.45">
      <c r="A41" s="39" t="s">
        <v>55</v>
      </c>
      <c r="B41" s="40"/>
      <c r="C41" s="40"/>
      <c r="D41" s="40">
        <f t="shared" ref="D41:J41" si="24">D40/C40-1</f>
        <v>-0.7717996289424861</v>
      </c>
      <c r="E41" s="40">
        <f t="shared" si="24"/>
        <v>-0.33259423503325947</v>
      </c>
      <c r="F41" s="40">
        <f t="shared" si="24"/>
        <v>-3.0498338870431896</v>
      </c>
      <c r="G41" s="40">
        <f t="shared" si="24"/>
        <v>-1.8757428417071853</v>
      </c>
      <c r="H41" s="40">
        <f t="shared" si="24"/>
        <v>-0.34916718075262188</v>
      </c>
      <c r="I41" s="40">
        <f t="shared" si="24"/>
        <v>-0.4</v>
      </c>
      <c r="J41" s="40">
        <f t="shared" si="24"/>
        <v>0.81358609794628767</v>
      </c>
      <c r="L41" s="20" t="s">
        <v>107</v>
      </c>
      <c r="M41" s="38">
        <v>0</v>
      </c>
      <c r="N41" s="38">
        <v>0.76</v>
      </c>
      <c r="O41" s="38">
        <v>5.86</v>
      </c>
      <c r="P41" s="38">
        <v>11.77</v>
      </c>
      <c r="Q41" s="38">
        <v>13.77</v>
      </c>
      <c r="R41" s="38">
        <v>25.78</v>
      </c>
      <c r="S41" s="38">
        <v>36.049999999999997</v>
      </c>
      <c r="T41" s="38">
        <v>36.090000000000003</v>
      </c>
      <c r="U41" s="110">
        <v>46.77</v>
      </c>
    </row>
    <row r="42" spans="1:22" x14ac:dyDescent="0.45">
      <c r="A42" s="39" t="s">
        <v>57</v>
      </c>
      <c r="B42" s="41"/>
      <c r="C42" s="41"/>
      <c r="D42" s="41"/>
      <c r="E42" s="40">
        <f>((E40/B40)^(1/3)-1)</f>
        <v>-0.27696853036386726</v>
      </c>
      <c r="F42" s="40">
        <f>((F40/C40)^(1/3)-1)</f>
        <v>-1.6783830520564442</v>
      </c>
      <c r="G42" s="40">
        <f>((G40/D40)^(1/3)-1)</f>
        <v>6.2091026188196397E-2</v>
      </c>
      <c r="H42" s="40">
        <f>((H40/E40)^(1/3)-1)</f>
        <v>5.3225995604419651E-2</v>
      </c>
      <c r="I42" s="40">
        <f>-((I40/F40)^(1/3)-1)</f>
        <v>1.69930359962982</v>
      </c>
      <c r="J42" s="40">
        <f>-((J40/G40)^(1/3)-1)</f>
        <v>0.10864037636992674</v>
      </c>
      <c r="L42" s="20" t="s">
        <v>108</v>
      </c>
      <c r="M42" s="38">
        <v>43.21</v>
      </c>
      <c r="N42" s="38">
        <f>52.88+0.85</f>
        <v>53.730000000000004</v>
      </c>
      <c r="O42" s="38">
        <v>86.674000000000007</v>
      </c>
      <c r="P42" s="38">
        <v>127.57</v>
      </c>
      <c r="Q42" s="38">
        <v>166.52</v>
      </c>
      <c r="R42" s="38">
        <v>145.99</v>
      </c>
      <c r="S42" s="38">
        <v>221.07</v>
      </c>
      <c r="T42" s="38">
        <v>129.80000000000001</v>
      </c>
      <c r="U42" s="125">
        <v>109.11</v>
      </c>
    </row>
    <row r="43" spans="1:22" x14ac:dyDescent="0.45">
      <c r="A43" s="20"/>
      <c r="B43" s="20"/>
      <c r="C43" s="20"/>
      <c r="D43" s="20"/>
      <c r="E43" s="20"/>
      <c r="F43" s="20"/>
      <c r="G43" s="20"/>
      <c r="H43" s="20"/>
      <c r="I43" s="20"/>
      <c r="J43" s="20"/>
      <c r="L43" s="69" t="s">
        <v>95</v>
      </c>
      <c r="M43" s="47">
        <f t="shared" ref="M43:S43" si="25">SUM(M33:M42)</f>
        <v>2339.7600000000002</v>
      </c>
      <c r="N43" s="47">
        <f t="shared" si="25"/>
        <v>2033.01</v>
      </c>
      <c r="O43" s="47">
        <f t="shared" si="25"/>
        <v>2503.8319999999994</v>
      </c>
      <c r="P43" s="47">
        <f t="shared" si="25"/>
        <v>2726.6000000000004</v>
      </c>
      <c r="Q43" s="47">
        <f t="shared" si="25"/>
        <v>2460.91</v>
      </c>
      <c r="R43" s="47">
        <f t="shared" si="25"/>
        <v>2582.7600000000002</v>
      </c>
      <c r="S43" s="47">
        <f t="shared" si="25"/>
        <v>2903.110000000001</v>
      </c>
      <c r="T43" s="47">
        <f>SUM(T33:T42)</f>
        <v>4532.8700000000008</v>
      </c>
      <c r="U43" s="47">
        <f>SUM(U33:U42)</f>
        <v>5249.78</v>
      </c>
    </row>
    <row r="44" spans="1:22" x14ac:dyDescent="0.45">
      <c r="A44" s="74" t="s">
        <v>109</v>
      </c>
      <c r="B44" s="36" t="s">
        <v>50</v>
      </c>
      <c r="C44" s="36" t="s">
        <v>51</v>
      </c>
      <c r="D44" s="36" t="s">
        <v>52</v>
      </c>
      <c r="E44" s="36" t="s">
        <v>42</v>
      </c>
      <c r="F44" s="36" t="s">
        <v>24</v>
      </c>
      <c r="G44" s="36" t="s">
        <v>25</v>
      </c>
      <c r="H44" s="36" t="s">
        <v>26</v>
      </c>
      <c r="I44" s="36" t="s">
        <v>27</v>
      </c>
      <c r="J44" s="36" t="s">
        <v>170</v>
      </c>
      <c r="L44" s="20"/>
      <c r="M44" s="44"/>
      <c r="N44" s="44"/>
      <c r="O44" s="44"/>
      <c r="P44" s="44"/>
      <c r="Q44" s="44"/>
      <c r="R44" s="44"/>
      <c r="S44" s="44"/>
      <c r="T44" s="44"/>
      <c r="U44" s="20"/>
    </row>
    <row r="45" spans="1:22" x14ac:dyDescent="0.45">
      <c r="A45" s="20" t="s">
        <v>111</v>
      </c>
      <c r="B45" s="37">
        <v>400.39299999999997</v>
      </c>
      <c r="C45" s="38">
        <f>65.071-60.201</f>
        <v>4.8699999999999974</v>
      </c>
      <c r="D45" s="38">
        <f>(C50)</f>
        <v>-172.69899999999996</v>
      </c>
      <c r="E45" s="38">
        <f t="shared" ref="E45:J45" si="26">(D50)</f>
        <v>-406.53499999999985</v>
      </c>
      <c r="F45" s="38">
        <f t="shared" si="26"/>
        <v>-291.07199999999995</v>
      </c>
      <c r="G45" s="38">
        <f t="shared" si="26"/>
        <v>-311.50200000000007</v>
      </c>
      <c r="H45" s="38">
        <f t="shared" si="26"/>
        <v>202.928</v>
      </c>
      <c r="I45" s="38">
        <f t="shared" si="26"/>
        <v>331.10800000000006</v>
      </c>
      <c r="J45" s="38">
        <f t="shared" si="26"/>
        <v>163.35800000000006</v>
      </c>
      <c r="L45" s="55" t="s">
        <v>110</v>
      </c>
      <c r="M45" s="56">
        <v>23.61</v>
      </c>
      <c r="N45" s="56">
        <v>38.090000000000003</v>
      </c>
      <c r="O45" s="56">
        <v>36.216999999999999</v>
      </c>
      <c r="P45" s="56">
        <v>22.79</v>
      </c>
      <c r="Q45" s="56">
        <v>225.94</v>
      </c>
      <c r="R45" s="56">
        <v>11.81</v>
      </c>
      <c r="S45" s="56">
        <v>4.46</v>
      </c>
      <c r="T45" s="56">
        <v>0</v>
      </c>
      <c r="U45" s="56">
        <v>0</v>
      </c>
    </row>
    <row r="46" spans="1:22" x14ac:dyDescent="0.45">
      <c r="A46" s="48" t="s">
        <v>112</v>
      </c>
      <c r="B46" s="37">
        <v>1249.162</v>
      </c>
      <c r="C46" s="38">
        <v>1146.665</v>
      </c>
      <c r="D46" s="38">
        <v>1211.9480000000001</v>
      </c>
      <c r="E46" s="38">
        <v>1479.5129999999999</v>
      </c>
      <c r="F46" s="38">
        <v>1167.1199999999999</v>
      </c>
      <c r="G46" s="38">
        <v>1739.24</v>
      </c>
      <c r="H46" s="38">
        <v>1479.18</v>
      </c>
      <c r="I46" s="38">
        <v>-605.04999999999995</v>
      </c>
      <c r="J46" s="38">
        <v>3898.75</v>
      </c>
      <c r="L46" s="20"/>
      <c r="M46" s="44"/>
      <c r="N46" s="44"/>
      <c r="O46" s="44"/>
      <c r="P46" s="44"/>
      <c r="Q46" s="44"/>
      <c r="R46" s="44"/>
      <c r="S46" s="44"/>
      <c r="T46" s="44"/>
      <c r="U46" s="20"/>
    </row>
    <row r="47" spans="1:22" x14ac:dyDescent="0.45">
      <c r="A47" s="48" t="s">
        <v>114</v>
      </c>
      <c r="B47" s="37">
        <v>-658.64099999999996</v>
      </c>
      <c r="C47" s="38">
        <v>-1198.0419999999999</v>
      </c>
      <c r="D47" s="38">
        <v>-2000.434</v>
      </c>
      <c r="E47" s="38">
        <v>-1331.154</v>
      </c>
      <c r="F47" s="38">
        <v>-970.59</v>
      </c>
      <c r="G47" s="38">
        <v>688.28</v>
      </c>
      <c r="H47" s="38">
        <v>-424.45</v>
      </c>
      <c r="I47" s="38">
        <v>-826.24</v>
      </c>
      <c r="J47" s="38">
        <v>-2517.73</v>
      </c>
      <c r="L47" s="43" t="s">
        <v>113</v>
      </c>
      <c r="M47" s="44"/>
      <c r="N47" s="44"/>
      <c r="O47" s="44"/>
      <c r="P47" s="44"/>
      <c r="Q47" s="44"/>
      <c r="R47" s="44"/>
      <c r="S47" s="44"/>
      <c r="T47" s="44"/>
      <c r="U47" s="20"/>
    </row>
    <row r="48" spans="1:22" x14ac:dyDescent="0.45">
      <c r="A48" s="48" t="s">
        <v>116</v>
      </c>
      <c r="B48" s="37">
        <v>-545.71900000000005</v>
      </c>
      <c r="C48" s="38">
        <v>-126.19199999999999</v>
      </c>
      <c r="D48" s="38">
        <v>554.65</v>
      </c>
      <c r="E48" s="38">
        <v>-32.896000000000001</v>
      </c>
      <c r="F48" s="38">
        <v>-216.96</v>
      </c>
      <c r="G48" s="38">
        <v>-1913.09</v>
      </c>
      <c r="H48" s="38">
        <v>-926.55</v>
      </c>
      <c r="I48" s="38">
        <v>1263.54</v>
      </c>
      <c r="J48" s="38">
        <v>-759.3</v>
      </c>
      <c r="L48" s="20" t="s">
        <v>115</v>
      </c>
      <c r="M48" s="38">
        <v>840.39</v>
      </c>
      <c r="N48" s="38">
        <v>601.51</v>
      </c>
      <c r="O48" s="38">
        <v>669.62900000000002</v>
      </c>
      <c r="P48" s="38">
        <v>685.69</v>
      </c>
      <c r="Q48" s="38">
        <v>599.48</v>
      </c>
      <c r="R48" s="38">
        <v>354.59</v>
      </c>
      <c r="S48" s="38">
        <f>77.02+441.66</f>
        <v>518.68000000000006</v>
      </c>
      <c r="T48" s="38">
        <f>63.77+706.72</f>
        <v>770.49</v>
      </c>
      <c r="U48" s="126">
        <f>91.03+1358.8</f>
        <v>1449.83</v>
      </c>
    </row>
    <row r="49" spans="1:23" x14ac:dyDescent="0.45">
      <c r="A49" s="75" t="s">
        <v>118</v>
      </c>
      <c r="B49" s="76">
        <f t="shared" ref="B49" si="27">SUM(B46:B48)</f>
        <v>44.802000000000021</v>
      </c>
      <c r="C49" s="76">
        <f>SUM(C46:C48)</f>
        <v>-177.56899999999996</v>
      </c>
      <c r="D49" s="76">
        <f t="shared" ref="D49:J49" si="28">SUM(D46:D48)</f>
        <v>-233.8359999999999</v>
      </c>
      <c r="E49" s="76">
        <f t="shared" si="28"/>
        <v>115.46299999999992</v>
      </c>
      <c r="F49" s="76">
        <f t="shared" si="28"/>
        <v>-20.430000000000149</v>
      </c>
      <c r="G49" s="76">
        <f t="shared" si="28"/>
        <v>514.43000000000006</v>
      </c>
      <c r="H49" s="76">
        <f t="shared" si="28"/>
        <v>128.18000000000006</v>
      </c>
      <c r="I49" s="76">
        <f t="shared" si="28"/>
        <v>-167.75</v>
      </c>
      <c r="J49" s="76">
        <f t="shared" si="28"/>
        <v>621.72</v>
      </c>
      <c r="L49" s="20" t="s">
        <v>117</v>
      </c>
      <c r="M49" s="38">
        <f>972.37-M10</f>
        <v>957.68</v>
      </c>
      <c r="N49" s="38">
        <f>1162.69</f>
        <v>1162.69</v>
      </c>
      <c r="O49" s="38">
        <f>1389.668-(153.67/10)</f>
        <v>1374.3009999999999</v>
      </c>
      <c r="P49" s="38">
        <f>1476.57-(93.44/10)</f>
        <v>1467.2259999999999</v>
      </c>
      <c r="Q49" s="38">
        <f>1516.01-29.4</f>
        <v>1486.61</v>
      </c>
      <c r="R49" s="38">
        <f>1194.34-22.51</f>
        <v>1171.83</v>
      </c>
      <c r="S49" s="38">
        <f>1035.09+6.73</f>
        <v>1041.82</v>
      </c>
      <c r="T49" s="38">
        <f>709.34+6.73</f>
        <v>716.07</v>
      </c>
      <c r="U49" s="82">
        <f>1034.24+6.73</f>
        <v>1040.97</v>
      </c>
      <c r="V49" s="77"/>
      <c r="W49" s="77"/>
    </row>
    <row r="50" spans="1:23" x14ac:dyDescent="0.45">
      <c r="A50" s="46" t="s">
        <v>120</v>
      </c>
      <c r="B50" s="47">
        <f t="shared" ref="B50:F50" si="29">B45+B49</f>
        <v>445.19499999999999</v>
      </c>
      <c r="C50" s="47">
        <f t="shared" si="29"/>
        <v>-172.69899999999996</v>
      </c>
      <c r="D50" s="47">
        <f t="shared" si="29"/>
        <v>-406.53499999999985</v>
      </c>
      <c r="E50" s="47">
        <f t="shared" si="29"/>
        <v>-291.07199999999995</v>
      </c>
      <c r="F50" s="47">
        <f t="shared" si="29"/>
        <v>-311.50200000000007</v>
      </c>
      <c r="G50" s="47">
        <f>G45+G49</f>
        <v>202.928</v>
      </c>
      <c r="H50" s="47">
        <f>H45+H49</f>
        <v>331.10800000000006</v>
      </c>
      <c r="I50" s="47">
        <f>I45+I49</f>
        <v>163.35800000000006</v>
      </c>
      <c r="J50" s="47">
        <f>J45+J49</f>
        <v>785.07800000000009</v>
      </c>
      <c r="L50" s="20" t="s">
        <v>119</v>
      </c>
      <c r="M50" s="38">
        <f>81.28+0.02</f>
        <v>81.3</v>
      </c>
      <c r="N50" s="38">
        <v>74.64</v>
      </c>
      <c r="O50" s="38">
        <v>70.293999999999997</v>
      </c>
      <c r="P50" s="38">
        <v>62.05</v>
      </c>
      <c r="Q50" s="38">
        <v>80.489999999999995</v>
      </c>
      <c r="R50" s="38">
        <v>101.88</v>
      </c>
      <c r="S50" s="38">
        <v>116.66</v>
      </c>
      <c r="T50" s="38">
        <v>222.11</v>
      </c>
      <c r="U50" s="20">
        <v>245.8</v>
      </c>
      <c r="V50" s="105"/>
      <c r="W50" s="127"/>
    </row>
    <row r="51" spans="1:23" x14ac:dyDescent="0.45">
      <c r="A51" s="20"/>
      <c r="B51" s="20"/>
      <c r="C51" s="20"/>
      <c r="D51" s="20"/>
      <c r="E51" s="20"/>
      <c r="F51" s="20"/>
      <c r="G51" s="20"/>
      <c r="H51" s="20"/>
      <c r="I51" s="20"/>
      <c r="J51" s="20"/>
      <c r="L51" s="20" t="s">
        <v>121</v>
      </c>
      <c r="M51" s="38">
        <v>57.95</v>
      </c>
      <c r="N51" s="38">
        <v>60.87</v>
      </c>
      <c r="O51" s="38">
        <v>72.897000000000006</v>
      </c>
      <c r="P51" s="38">
        <v>81.87</v>
      </c>
      <c r="Q51" s="38">
        <v>112.47</v>
      </c>
      <c r="R51" s="38">
        <v>127.72</v>
      </c>
      <c r="S51" s="38">
        <v>82.77</v>
      </c>
      <c r="T51" s="38">
        <v>89.61</v>
      </c>
      <c r="U51" s="20">
        <v>107.85</v>
      </c>
      <c r="V51" s="105"/>
      <c r="W51" s="128"/>
    </row>
    <row r="52" spans="1:23" x14ac:dyDescent="0.45">
      <c r="A52" s="74" t="s">
        <v>123</v>
      </c>
      <c r="B52" s="36" t="s">
        <v>50</v>
      </c>
      <c r="C52" s="36" t="s">
        <v>51</v>
      </c>
      <c r="D52" s="36" t="s">
        <v>52</v>
      </c>
      <c r="E52" s="36" t="s">
        <v>42</v>
      </c>
      <c r="F52" s="36" t="s">
        <v>24</v>
      </c>
      <c r="G52" s="36" t="s">
        <v>25</v>
      </c>
      <c r="H52" s="36" t="s">
        <v>26</v>
      </c>
      <c r="I52" s="36" t="s">
        <v>27</v>
      </c>
      <c r="J52" s="36" t="s">
        <v>170</v>
      </c>
      <c r="L52" s="20" t="s">
        <v>122</v>
      </c>
      <c r="M52" s="38">
        <v>16.5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78">
        <v>0</v>
      </c>
      <c r="T52" s="78">
        <v>0</v>
      </c>
      <c r="U52" s="78">
        <v>0</v>
      </c>
    </row>
    <row r="53" spans="1:23" x14ac:dyDescent="0.45">
      <c r="A53" s="20" t="s">
        <v>124</v>
      </c>
      <c r="B53" s="44">
        <f t="shared" ref="B53:F53" si="30">B46</f>
        <v>1249.162</v>
      </c>
      <c r="C53" s="44">
        <f t="shared" si="30"/>
        <v>1146.665</v>
      </c>
      <c r="D53" s="44">
        <f t="shared" si="30"/>
        <v>1211.9480000000001</v>
      </c>
      <c r="E53" s="44">
        <f t="shared" si="30"/>
        <v>1479.5129999999999</v>
      </c>
      <c r="F53" s="44">
        <f t="shared" si="30"/>
        <v>1167.1199999999999</v>
      </c>
      <c r="G53" s="44">
        <f>G46</f>
        <v>1739.24</v>
      </c>
      <c r="H53" s="44">
        <f>H46</f>
        <v>1479.18</v>
      </c>
      <c r="I53" s="44">
        <f>I46</f>
        <v>-605.04999999999995</v>
      </c>
      <c r="J53" s="44">
        <f>J46</f>
        <v>3898.75</v>
      </c>
      <c r="L53" s="46" t="s">
        <v>113</v>
      </c>
      <c r="M53" s="47">
        <f t="shared" ref="M53:R53" si="31">SUM(M48:M52)</f>
        <v>1953.82</v>
      </c>
      <c r="N53" s="47">
        <f t="shared" si="31"/>
        <v>1899.71</v>
      </c>
      <c r="O53" s="47">
        <f t="shared" si="31"/>
        <v>2187.1209999999996</v>
      </c>
      <c r="P53" s="47">
        <f t="shared" si="31"/>
        <v>2296.8360000000002</v>
      </c>
      <c r="Q53" s="47">
        <f t="shared" si="31"/>
        <v>2279.0499999999997</v>
      </c>
      <c r="R53" s="47">
        <f t="shared" si="31"/>
        <v>1756.0199999999998</v>
      </c>
      <c r="S53" s="79">
        <f>SUM(S48:S52)+S9+S10</f>
        <v>1872.9099999999999</v>
      </c>
      <c r="T53" s="79">
        <f>SUM(T48:T52)+T9+T10</f>
        <v>3432.95</v>
      </c>
      <c r="U53" s="79">
        <f>SUM(U48:U52)+U9+U10</f>
        <v>3414.65</v>
      </c>
    </row>
    <row r="54" spans="1:23" x14ac:dyDescent="0.45">
      <c r="A54" s="80" t="s">
        <v>126</v>
      </c>
      <c r="B54" s="81">
        <f>2781.79-M18</f>
        <v>-300.40000000000009</v>
      </c>
      <c r="C54" s="81">
        <f t="shared" ref="C54:H54" si="32">M18-N18</f>
        <v>136.55000000000018</v>
      </c>
      <c r="D54" s="81">
        <f t="shared" si="32"/>
        <v>-1160.444</v>
      </c>
      <c r="E54" s="81">
        <f t="shared" si="32"/>
        <v>-503.99600000000009</v>
      </c>
      <c r="F54" s="81">
        <f t="shared" si="32"/>
        <v>-81.170000000000073</v>
      </c>
      <c r="G54" s="81">
        <f t="shared" si="32"/>
        <v>-1022.8299999999999</v>
      </c>
      <c r="H54" s="81">
        <f t="shared" si="32"/>
        <v>9.5599999999994907</v>
      </c>
      <c r="I54" s="81">
        <v>-833.53</v>
      </c>
      <c r="J54" s="81">
        <f>-1272.77+39.38</f>
        <v>-1233.3899999999999</v>
      </c>
      <c r="L54" s="46" t="s">
        <v>125</v>
      </c>
      <c r="M54" s="47">
        <f t="shared" ref="M54:U54" si="33">M43-M53</f>
        <v>385.94000000000028</v>
      </c>
      <c r="N54" s="47">
        <f t="shared" si="33"/>
        <v>133.29999999999995</v>
      </c>
      <c r="O54" s="47">
        <f t="shared" si="33"/>
        <v>316.71099999999979</v>
      </c>
      <c r="P54" s="47">
        <f t="shared" si="33"/>
        <v>429.76400000000012</v>
      </c>
      <c r="Q54" s="47">
        <f t="shared" si="33"/>
        <v>181.86000000000013</v>
      </c>
      <c r="R54" s="47">
        <f t="shared" si="33"/>
        <v>826.74000000000046</v>
      </c>
      <c r="S54" s="47">
        <f t="shared" si="33"/>
        <v>1030.2000000000012</v>
      </c>
      <c r="T54" s="47">
        <f t="shared" si="33"/>
        <v>1099.920000000001</v>
      </c>
      <c r="U54" s="47">
        <f t="shared" si="33"/>
        <v>1835.1299999999997</v>
      </c>
    </row>
    <row r="55" spans="1:23" x14ac:dyDescent="0.45">
      <c r="A55" s="46" t="s">
        <v>127</v>
      </c>
      <c r="B55" s="47">
        <f>SUM(B53:B54)</f>
        <v>948.76199999999994</v>
      </c>
      <c r="C55" s="47">
        <f t="shared" ref="C55:G55" si="34">SUM(C53:C54)</f>
        <v>1283.2150000000001</v>
      </c>
      <c r="D55" s="47">
        <f t="shared" si="34"/>
        <v>51.504000000000133</v>
      </c>
      <c r="E55" s="47">
        <f t="shared" si="34"/>
        <v>975.51699999999983</v>
      </c>
      <c r="F55" s="47">
        <f t="shared" si="34"/>
        <v>1085.9499999999998</v>
      </c>
      <c r="G55" s="47">
        <f t="shared" si="34"/>
        <v>716.41000000000008</v>
      </c>
      <c r="H55" s="47">
        <f>SUM(H53:H54)</f>
        <v>1488.7399999999996</v>
      </c>
      <c r="I55" s="47">
        <f>SUM(I53:I54)</f>
        <v>-1438.58</v>
      </c>
      <c r="J55" s="47">
        <f>SUM(J53:J54)</f>
        <v>2665.36</v>
      </c>
      <c r="L55" s="20"/>
      <c r="M55" s="44"/>
      <c r="N55" s="44"/>
      <c r="O55" s="44"/>
      <c r="P55" s="44"/>
      <c r="Q55" s="44"/>
      <c r="R55" s="44"/>
      <c r="S55" s="44"/>
      <c r="T55" s="44"/>
      <c r="U55" s="20"/>
    </row>
    <row r="56" spans="1:23" x14ac:dyDescent="0.45">
      <c r="A56" s="20"/>
      <c r="B56" s="20"/>
      <c r="C56" s="20"/>
      <c r="D56" s="20"/>
      <c r="E56" s="20"/>
      <c r="F56" s="20"/>
      <c r="G56" s="20"/>
      <c r="H56" s="20"/>
      <c r="I56" s="20"/>
      <c r="J56" s="20"/>
      <c r="L56" s="20" t="s">
        <v>128</v>
      </c>
      <c r="M56" s="38">
        <v>183.79</v>
      </c>
      <c r="N56" s="38">
        <v>193.8</v>
      </c>
      <c r="O56" s="38">
        <v>186.06399999999999</v>
      </c>
      <c r="P56" s="38">
        <v>263.43</v>
      </c>
      <c r="Q56" s="38">
        <v>223.58</v>
      </c>
      <c r="R56" s="38">
        <v>240.57</v>
      </c>
      <c r="S56" s="44">
        <v>239.02</v>
      </c>
      <c r="T56" s="44">
        <v>247.39</v>
      </c>
      <c r="U56" s="20">
        <v>261.33</v>
      </c>
    </row>
    <row r="57" spans="1:23" x14ac:dyDescent="0.45">
      <c r="A57" s="74" t="s">
        <v>123</v>
      </c>
      <c r="B57" s="36" t="s">
        <v>50</v>
      </c>
      <c r="C57" s="36" t="s">
        <v>51</v>
      </c>
      <c r="D57" s="36" t="s">
        <v>52</v>
      </c>
      <c r="E57" s="36" t="s">
        <v>42</v>
      </c>
      <c r="F57" s="36" t="s">
        <v>24</v>
      </c>
      <c r="G57" s="36" t="s">
        <v>25</v>
      </c>
      <c r="H57" s="36" t="s">
        <v>26</v>
      </c>
      <c r="I57" s="36" t="s">
        <v>27</v>
      </c>
      <c r="J57" s="36" t="s">
        <v>170</v>
      </c>
      <c r="L57" s="20" t="s">
        <v>129</v>
      </c>
      <c r="M57" s="38">
        <v>4.4800000000000004</v>
      </c>
      <c r="N57" s="38">
        <v>386.53</v>
      </c>
      <c r="O57" s="38">
        <f>4256.748-(194.77/10)</f>
        <v>4237.2709999999997</v>
      </c>
      <c r="P57" s="38">
        <f>2945.65-(133.92/10)</f>
        <v>2932.2580000000003</v>
      </c>
      <c r="Q57" s="38">
        <f>39.96-36.09</f>
        <v>3.8699999999999974</v>
      </c>
      <c r="R57" s="38">
        <f>35.67</f>
        <v>35.67</v>
      </c>
      <c r="S57" s="38">
        <f>7.07+86.28</f>
        <v>93.35</v>
      </c>
      <c r="T57" s="38">
        <f>5.37+79.55</f>
        <v>84.92</v>
      </c>
      <c r="U57" s="20">
        <f>3.67+72.81</f>
        <v>76.48</v>
      </c>
    </row>
    <row r="58" spans="1:23" x14ac:dyDescent="0.45">
      <c r="A58" s="20" t="s">
        <v>131</v>
      </c>
      <c r="B58" s="44">
        <f>23199000/1000000</f>
        <v>23.199000000000002</v>
      </c>
      <c r="C58" s="82">
        <f>23199000/1000000</f>
        <v>23.199000000000002</v>
      </c>
      <c r="D58" s="82">
        <f t="shared" ref="D58:H58" si="35">46398000/1000000</f>
        <v>46.398000000000003</v>
      </c>
      <c r="E58" s="82">
        <f t="shared" si="35"/>
        <v>46.398000000000003</v>
      </c>
      <c r="F58" s="82">
        <f t="shared" si="35"/>
        <v>46.398000000000003</v>
      </c>
      <c r="G58" s="82">
        <f t="shared" si="35"/>
        <v>46.398000000000003</v>
      </c>
      <c r="H58" s="44">
        <f t="shared" si="35"/>
        <v>46.398000000000003</v>
      </c>
      <c r="I58" s="44">
        <f>(46398000/1000000)*2</f>
        <v>92.796000000000006</v>
      </c>
      <c r="J58" s="44">
        <f>92796000/1000000</f>
        <v>92.796000000000006</v>
      </c>
      <c r="L58" s="20" t="s">
        <v>130</v>
      </c>
      <c r="M58" s="38">
        <v>55.15</v>
      </c>
      <c r="N58" s="38">
        <v>49.7</v>
      </c>
      <c r="O58" s="38">
        <v>59.003</v>
      </c>
      <c r="P58" s="38">
        <v>71.63</v>
      </c>
      <c r="Q58" s="38">
        <v>82.01</v>
      </c>
      <c r="R58" s="38">
        <v>103.73</v>
      </c>
      <c r="S58" s="38">
        <v>165.45</v>
      </c>
      <c r="T58" s="38">
        <v>181.28</v>
      </c>
      <c r="U58" s="20">
        <v>225.47</v>
      </c>
    </row>
    <row r="59" spans="1:23" x14ac:dyDescent="0.45">
      <c r="A59" s="20" t="s">
        <v>132</v>
      </c>
      <c r="B59" s="44">
        <v>10</v>
      </c>
      <c r="C59" s="82">
        <v>10</v>
      </c>
      <c r="D59" s="82">
        <v>5</v>
      </c>
      <c r="E59" s="82">
        <v>5</v>
      </c>
      <c r="F59" s="82">
        <v>5</v>
      </c>
      <c r="G59" s="82">
        <v>5</v>
      </c>
      <c r="H59" s="44">
        <v>5</v>
      </c>
      <c r="I59" s="44">
        <v>5</v>
      </c>
      <c r="J59" s="44">
        <v>5</v>
      </c>
      <c r="L59" s="20"/>
      <c r="M59" s="72">
        <f t="shared" ref="M59:O59" si="36">SUM(M56:M58)</f>
        <v>243.42</v>
      </c>
      <c r="N59" s="72">
        <f t="shared" si="36"/>
        <v>630.03</v>
      </c>
      <c r="O59" s="72">
        <f t="shared" si="36"/>
        <v>4482.3379999999997</v>
      </c>
      <c r="P59" s="72">
        <f t="shared" ref="P59:U59" si="37">SUM(P56:P58)</f>
        <v>3267.3180000000002</v>
      </c>
      <c r="Q59" s="72">
        <f t="shared" si="37"/>
        <v>309.46000000000004</v>
      </c>
      <c r="R59" s="72">
        <f t="shared" si="37"/>
        <v>379.97</v>
      </c>
      <c r="S59" s="72">
        <f t="shared" si="37"/>
        <v>497.82</v>
      </c>
      <c r="T59" s="72">
        <f t="shared" si="37"/>
        <v>513.59</v>
      </c>
      <c r="U59" s="72">
        <f t="shared" si="37"/>
        <v>563.28</v>
      </c>
    </row>
    <row r="60" spans="1:23" x14ac:dyDescent="0.45">
      <c r="A60" s="80" t="s">
        <v>133</v>
      </c>
      <c r="B60" s="81">
        <f t="shared" ref="B60:J60" si="38">B58*M67</f>
        <v>11854.689</v>
      </c>
      <c r="C60" s="81">
        <f t="shared" si="38"/>
        <v>24971.403600000005</v>
      </c>
      <c r="D60" s="81">
        <f t="shared" si="38"/>
        <v>31991.421000000002</v>
      </c>
      <c r="E60" s="81">
        <f t="shared" si="38"/>
        <v>25270.670700000002</v>
      </c>
      <c r="F60" s="81">
        <f t="shared" si="38"/>
        <v>9889.7337000000007</v>
      </c>
      <c r="G60" s="81">
        <f t="shared" si="38"/>
        <v>13622.452800000003</v>
      </c>
      <c r="H60" s="81">
        <f t="shared" si="38"/>
        <v>14838.080400000001</v>
      </c>
      <c r="I60" s="81">
        <f t="shared" si="38"/>
        <v>13404.3822</v>
      </c>
      <c r="J60" s="81">
        <f>J58*U67</f>
        <v>31267.6122</v>
      </c>
      <c r="L60" s="20"/>
      <c r="M60" s="52"/>
      <c r="N60" s="52"/>
      <c r="O60" s="52"/>
      <c r="P60" s="52"/>
      <c r="Q60" s="52"/>
      <c r="R60" s="52"/>
      <c r="S60" s="52"/>
      <c r="T60" s="52"/>
      <c r="U60" s="52"/>
    </row>
    <row r="61" spans="1:23" x14ac:dyDescent="0.45">
      <c r="A61" s="80" t="s">
        <v>135</v>
      </c>
      <c r="B61" s="81">
        <f t="shared" ref="B61:J61" si="39">M11</f>
        <v>1060</v>
      </c>
      <c r="C61" s="81">
        <f t="shared" si="39"/>
        <v>1396.47</v>
      </c>
      <c r="D61" s="81">
        <f t="shared" si="39"/>
        <v>2499.33</v>
      </c>
      <c r="E61" s="81">
        <f t="shared" si="39"/>
        <v>2634.2460000000001</v>
      </c>
      <c r="F61" s="81">
        <f t="shared" si="39"/>
        <v>2672.1499999999996</v>
      </c>
      <c r="G61" s="81">
        <f t="shared" si="39"/>
        <v>684.19999999999993</v>
      </c>
      <c r="H61" s="81">
        <f t="shared" si="39"/>
        <v>192.51999999999998</v>
      </c>
      <c r="I61" s="81">
        <f t="shared" si="39"/>
        <v>1679.63</v>
      </c>
      <c r="J61" s="81">
        <f t="shared" si="39"/>
        <v>1321.67</v>
      </c>
      <c r="L61" s="20" t="s">
        <v>134</v>
      </c>
      <c r="M61" s="83">
        <v>11.38</v>
      </c>
      <c r="N61" s="83">
        <v>17.47</v>
      </c>
      <c r="O61" s="83">
        <v>15.058999999999999</v>
      </c>
      <c r="P61" s="83">
        <v>4.1399999999999997</v>
      </c>
      <c r="Q61" s="83">
        <v>4.03</v>
      </c>
      <c r="R61" s="83">
        <v>1.79</v>
      </c>
      <c r="S61" s="83">
        <v>0</v>
      </c>
      <c r="T61" s="83">
        <v>0</v>
      </c>
      <c r="U61" s="83">
        <v>0</v>
      </c>
    </row>
    <row r="62" spans="1:23" x14ac:dyDescent="0.45">
      <c r="A62" s="80" t="s">
        <v>136</v>
      </c>
      <c r="B62" s="81">
        <f t="shared" ref="B62:J62" si="40">M37+M38</f>
        <v>514.02</v>
      </c>
      <c r="C62" s="81">
        <f t="shared" si="40"/>
        <v>549.42000000000007</v>
      </c>
      <c r="D62" s="81">
        <f t="shared" si="40"/>
        <v>688.245</v>
      </c>
      <c r="E62" s="81">
        <f t="shared" si="40"/>
        <v>747.47</v>
      </c>
      <c r="F62" s="81">
        <f t="shared" si="40"/>
        <v>582.47</v>
      </c>
      <c r="G62" s="81">
        <f t="shared" si="40"/>
        <v>235.56</v>
      </c>
      <c r="H62" s="81">
        <f t="shared" si="40"/>
        <v>356.12</v>
      </c>
      <c r="I62" s="81">
        <f t="shared" si="40"/>
        <v>191.62</v>
      </c>
      <c r="J62" s="81">
        <f t="shared" si="40"/>
        <v>838.23</v>
      </c>
      <c r="L62" s="20"/>
      <c r="M62" s="44"/>
      <c r="N62" s="44"/>
      <c r="O62" s="44"/>
      <c r="P62" s="44"/>
      <c r="Q62" s="44"/>
      <c r="R62" s="44"/>
      <c r="S62" s="44"/>
      <c r="T62" s="44"/>
      <c r="U62" s="52"/>
    </row>
    <row r="63" spans="1:23" x14ac:dyDescent="0.45">
      <c r="A63" s="46" t="s">
        <v>138</v>
      </c>
      <c r="B63" s="47">
        <f>SUM(B60:B61)-B62</f>
        <v>12400.669</v>
      </c>
      <c r="C63" s="47">
        <f t="shared" ref="C63:F63" si="41">SUM(C60:C61)-C62</f>
        <v>25818.453600000008</v>
      </c>
      <c r="D63" s="47">
        <f t="shared" si="41"/>
        <v>33802.506000000001</v>
      </c>
      <c r="E63" s="47">
        <f t="shared" si="41"/>
        <v>27157.4467</v>
      </c>
      <c r="F63" s="47">
        <f t="shared" si="41"/>
        <v>11979.413700000001</v>
      </c>
      <c r="G63" s="47">
        <f t="shared" ref="G63" si="42">SUM(G60:G61)-G62</f>
        <v>14071.092800000004</v>
      </c>
      <c r="H63" s="47">
        <f t="shared" ref="H63:J63" si="43">SUM(H60:H61)-H62</f>
        <v>14674.4804</v>
      </c>
      <c r="I63" s="47">
        <f t="shared" si="43"/>
        <v>14892.3922</v>
      </c>
      <c r="J63" s="47">
        <f t="shared" si="43"/>
        <v>31751.052200000002</v>
      </c>
      <c r="L63" s="55" t="s">
        <v>137</v>
      </c>
      <c r="M63" s="56">
        <f t="shared" ref="M63:R63" si="44">M6+M11+M53+M59+M61</f>
        <v>5822.7</v>
      </c>
      <c r="N63" s="56">
        <f t="shared" si="44"/>
        <v>9958.14</v>
      </c>
      <c r="O63" s="56">
        <f t="shared" si="44"/>
        <v>17066.12</v>
      </c>
      <c r="P63" s="56">
        <f t="shared" si="44"/>
        <v>16345.18</v>
      </c>
      <c r="Q63" s="56">
        <f t="shared" si="44"/>
        <v>9882.0500000000011</v>
      </c>
      <c r="R63" s="56">
        <f t="shared" si="44"/>
        <v>8785.11</v>
      </c>
      <c r="S63" s="56">
        <f>S6+S8+S53+S59+S61</f>
        <v>9025.81</v>
      </c>
      <c r="T63" s="56">
        <f>T6+T59+T53+T8</f>
        <v>11250.169999999998</v>
      </c>
      <c r="U63" s="56">
        <f>U6+U59+U53+U8</f>
        <v>12810.99</v>
      </c>
      <c r="W63" s="70"/>
    </row>
    <row r="64" spans="1:23" x14ac:dyDescent="0.45">
      <c r="L64" s="55" t="s">
        <v>139</v>
      </c>
      <c r="M64" s="56">
        <f t="shared" ref="M64:U64" si="45">M30+M43+M45</f>
        <v>5822.7</v>
      </c>
      <c r="N64" s="56">
        <f t="shared" si="45"/>
        <v>9958.14</v>
      </c>
      <c r="O64" s="56">
        <f t="shared" si="45"/>
        <v>17066.12</v>
      </c>
      <c r="P64" s="56">
        <f t="shared" si="45"/>
        <v>16345.18</v>
      </c>
      <c r="Q64" s="56">
        <f t="shared" si="45"/>
        <v>9882.0500000000011</v>
      </c>
      <c r="R64" s="56">
        <f t="shared" si="45"/>
        <v>8785.11</v>
      </c>
      <c r="S64" s="56">
        <f t="shared" si="45"/>
        <v>9025.8100000000013</v>
      </c>
      <c r="T64" s="56">
        <f t="shared" si="45"/>
        <v>11250.170000000002</v>
      </c>
      <c r="U64" s="56">
        <f t="shared" si="45"/>
        <v>12810.99</v>
      </c>
    </row>
    <row r="65" spans="1:23" x14ac:dyDescent="0.45">
      <c r="A65" s="84"/>
      <c r="L65" s="20"/>
      <c r="M65" s="109">
        <f t="shared" ref="M65:U65" si="46">M63-M64</f>
        <v>0</v>
      </c>
      <c r="N65" s="109">
        <f t="shared" si="46"/>
        <v>0</v>
      </c>
      <c r="O65" s="109">
        <f t="shared" si="46"/>
        <v>0</v>
      </c>
      <c r="P65" s="109">
        <f t="shared" si="46"/>
        <v>0</v>
      </c>
      <c r="Q65" s="109">
        <f t="shared" si="46"/>
        <v>0</v>
      </c>
      <c r="R65" s="109">
        <f t="shared" si="46"/>
        <v>0</v>
      </c>
      <c r="S65" s="109">
        <f t="shared" si="46"/>
        <v>0</v>
      </c>
      <c r="T65" s="109">
        <f t="shared" si="46"/>
        <v>0</v>
      </c>
      <c r="U65" s="109">
        <f t="shared" si="46"/>
        <v>0</v>
      </c>
    </row>
    <row r="66" spans="1:23" x14ac:dyDescent="0.45">
      <c r="C66" s="85"/>
      <c r="D66" s="85"/>
      <c r="E66" s="85"/>
      <c r="F66" s="85"/>
      <c r="L66" s="74" t="s">
        <v>123</v>
      </c>
      <c r="M66" s="36" t="s">
        <v>50</v>
      </c>
      <c r="N66" s="36" t="s">
        <v>51</v>
      </c>
      <c r="O66" s="36" t="s">
        <v>52</v>
      </c>
      <c r="P66" s="36" t="s">
        <v>42</v>
      </c>
      <c r="Q66" s="36" t="s">
        <v>24</v>
      </c>
      <c r="R66" s="36" t="s">
        <v>25</v>
      </c>
      <c r="S66" s="36" t="s">
        <v>26</v>
      </c>
      <c r="T66" s="36" t="s">
        <v>27</v>
      </c>
      <c r="U66" s="36" t="s">
        <v>170</v>
      </c>
    </row>
    <row r="67" spans="1:23" x14ac:dyDescent="0.45">
      <c r="C67" s="77"/>
      <c r="D67" s="77"/>
      <c r="E67" s="77"/>
      <c r="F67" s="77"/>
      <c r="L67" s="20" t="s">
        <v>140</v>
      </c>
      <c r="M67" s="44">
        <v>511</v>
      </c>
      <c r="N67" s="44">
        <v>1076.4000000000001</v>
      </c>
      <c r="O67" s="44">
        <v>689.5</v>
      </c>
      <c r="P67" s="44">
        <v>544.65</v>
      </c>
      <c r="Q67" s="44">
        <v>213.15</v>
      </c>
      <c r="R67" s="44">
        <v>293.60000000000002</v>
      </c>
      <c r="S67" s="82">
        <v>319.8</v>
      </c>
      <c r="T67" s="82">
        <v>144.44999999999999</v>
      </c>
      <c r="U67" s="82">
        <v>336.95</v>
      </c>
    </row>
    <row r="68" spans="1:23" x14ac:dyDescent="0.45">
      <c r="L68" s="80" t="s">
        <v>141</v>
      </c>
      <c r="M68" s="81">
        <f t="shared" ref="M68:U68" si="47">B40</f>
        <v>23.89</v>
      </c>
      <c r="N68" s="81">
        <f t="shared" si="47"/>
        <v>59.29</v>
      </c>
      <c r="O68" s="81">
        <f t="shared" si="47"/>
        <v>13.53</v>
      </c>
      <c r="P68" s="81">
        <f t="shared" si="47"/>
        <v>9.0299999999999994</v>
      </c>
      <c r="Q68" s="81">
        <f t="shared" si="47"/>
        <v>-18.510000000000002</v>
      </c>
      <c r="R68" s="86">
        <f t="shared" si="47"/>
        <v>16.21</v>
      </c>
      <c r="S68" s="81">
        <f t="shared" si="47"/>
        <v>10.55</v>
      </c>
      <c r="T68" s="81">
        <f t="shared" si="47"/>
        <v>6.33</v>
      </c>
      <c r="U68" s="81">
        <f t="shared" si="47"/>
        <v>11.48</v>
      </c>
    </row>
    <row r="69" spans="1:23" x14ac:dyDescent="0.45">
      <c r="L69" s="80" t="s">
        <v>142</v>
      </c>
      <c r="M69" s="81">
        <f t="shared" ref="M69:U69" si="48">M6/B58</f>
        <v>110.0944006207164</v>
      </c>
      <c r="N69" s="81">
        <f t="shared" si="48"/>
        <v>259.25514030777185</v>
      </c>
      <c r="O69" s="81">
        <f t="shared" si="48"/>
        <v>169.88387430492693</v>
      </c>
      <c r="P69" s="81">
        <f t="shared" si="48"/>
        <v>175.4954954954955</v>
      </c>
      <c r="Q69" s="81">
        <f t="shared" si="48"/>
        <v>99.516358463726888</v>
      </c>
      <c r="R69" s="81">
        <f t="shared" si="48"/>
        <v>128.52127246864089</v>
      </c>
      <c r="S69" s="81">
        <f t="shared" si="48"/>
        <v>141.72033277296435</v>
      </c>
      <c r="T69" s="81">
        <f t="shared" si="48"/>
        <v>78.221798353377295</v>
      </c>
      <c r="U69" s="81">
        <f t="shared" si="48"/>
        <v>87.089853010905642</v>
      </c>
    </row>
    <row r="70" spans="1:23" x14ac:dyDescent="0.45">
      <c r="L70" s="20" t="s">
        <v>143</v>
      </c>
      <c r="M70" s="44">
        <f>30%*B59</f>
        <v>3</v>
      </c>
      <c r="N70" s="44">
        <f>30%*C59</f>
        <v>3</v>
      </c>
      <c r="O70" s="44">
        <f>(40%*D59)+(20%*D59)</f>
        <v>3</v>
      </c>
      <c r="P70" s="44">
        <f>40%*E59</f>
        <v>2</v>
      </c>
      <c r="Q70" s="44">
        <f>50%*F59</f>
        <v>2.5</v>
      </c>
      <c r="R70" s="44">
        <f>100%*G59</f>
        <v>5</v>
      </c>
      <c r="S70" s="82">
        <f>(50%*H59)+(50%*H59)</f>
        <v>5</v>
      </c>
      <c r="T70" s="82">
        <v>2.5</v>
      </c>
      <c r="U70" s="82">
        <v>2.5</v>
      </c>
    </row>
    <row r="71" spans="1:23" x14ac:dyDescent="0.45">
      <c r="L71" s="80" t="s">
        <v>144</v>
      </c>
      <c r="M71" s="81">
        <f t="shared" ref="M71:R71" si="49">M67/M68</f>
        <v>21.38970280452072</v>
      </c>
      <c r="N71" s="81">
        <f t="shared" si="49"/>
        <v>18.15483218080621</v>
      </c>
      <c r="O71" s="81">
        <f t="shared" si="49"/>
        <v>50.960827790096083</v>
      </c>
      <c r="P71" s="81">
        <f t="shared" si="49"/>
        <v>60.315614617940199</v>
      </c>
      <c r="Q71" s="81">
        <f t="shared" si="49"/>
        <v>-11.515397082658023</v>
      </c>
      <c r="R71" s="81">
        <f t="shared" si="49"/>
        <v>18.1122763726095</v>
      </c>
      <c r="S71" s="86">
        <f>S67/S68</f>
        <v>30.312796208530806</v>
      </c>
      <c r="T71" s="86">
        <f>T67/T68</f>
        <v>22.81990521327014</v>
      </c>
      <c r="U71" s="86">
        <f>U67/U68</f>
        <v>29.351045296167246</v>
      </c>
    </row>
    <row r="72" spans="1:23" x14ac:dyDescent="0.45">
      <c r="E72" s="87"/>
      <c r="L72" s="80" t="s">
        <v>145</v>
      </c>
      <c r="M72" s="81">
        <f t="shared" ref="M72:U72" si="50">M67/M69</f>
        <v>4.6414712929900404</v>
      </c>
      <c r="N72" s="81">
        <f t="shared" si="50"/>
        <v>4.1518945341726452</v>
      </c>
      <c r="O72" s="81">
        <f t="shared" si="50"/>
        <v>4.0586547888730555</v>
      </c>
      <c r="P72" s="81">
        <f t="shared" si="50"/>
        <v>3.1034984599589319</v>
      </c>
      <c r="Q72" s="81">
        <f t="shared" si="50"/>
        <v>2.1418589193825044</v>
      </c>
      <c r="R72" s="81">
        <f t="shared" si="50"/>
        <v>2.2844467251258989</v>
      </c>
      <c r="S72" s="86">
        <f t="shared" si="50"/>
        <v>2.2565569367686913</v>
      </c>
      <c r="T72" s="86">
        <f t="shared" si="50"/>
        <v>1.8466719385231729</v>
      </c>
      <c r="U72" s="86">
        <f t="shared" si="50"/>
        <v>3.8689926363500251</v>
      </c>
    </row>
    <row r="73" spans="1:23" x14ac:dyDescent="0.45">
      <c r="E73" s="87"/>
      <c r="L73" s="80" t="s">
        <v>146</v>
      </c>
      <c r="M73" s="81">
        <f t="shared" ref="M73:U73" si="51">B63/B14</f>
        <v>9.4804163513069089</v>
      </c>
      <c r="N73" s="81">
        <f t="shared" si="51"/>
        <v>17.737668490462859</v>
      </c>
      <c r="O73" s="81">
        <f t="shared" si="51"/>
        <v>26.010010803357396</v>
      </c>
      <c r="P73" s="81">
        <f t="shared" si="51"/>
        <v>14.676662453124585</v>
      </c>
      <c r="Q73" s="81">
        <f t="shared" si="51"/>
        <v>9.319527388148531</v>
      </c>
      <c r="R73" s="81">
        <f t="shared" si="51"/>
        <v>5.2716714808612251</v>
      </c>
      <c r="S73" s="86">
        <f t="shared" si="51"/>
        <v>7.6896974841877528</v>
      </c>
      <c r="T73" s="86">
        <f t="shared" si="51"/>
        <v>10.77145062130219</v>
      </c>
      <c r="U73" s="86">
        <f t="shared" si="51"/>
        <v>15.152451131981811</v>
      </c>
    </row>
    <row r="74" spans="1:23" x14ac:dyDescent="0.45">
      <c r="E74" s="87"/>
      <c r="L74" s="80" t="s">
        <v>147</v>
      </c>
      <c r="M74" s="81"/>
      <c r="N74" s="81">
        <f t="shared" ref="N74:S74" si="52">C3/SUM(N18:N22)</f>
        <v>6.2364995260913059</v>
      </c>
      <c r="O74" s="81">
        <f t="shared" si="52"/>
        <v>5.3723498939074785</v>
      </c>
      <c r="P74" s="81">
        <f t="shared" si="52"/>
        <v>4.8607667432739863</v>
      </c>
      <c r="Q74" s="81">
        <f t="shared" si="52"/>
        <v>4.8817556314090966</v>
      </c>
      <c r="R74" s="81">
        <f t="shared" si="52"/>
        <v>4.134610272691253</v>
      </c>
      <c r="S74" s="81">
        <f t="shared" si="52"/>
        <v>4.5650446922618544</v>
      </c>
      <c r="T74" s="81">
        <f>I3/SUM(T18:T19)</f>
        <v>5.1174227290887302</v>
      </c>
      <c r="U74" s="81">
        <f>J3/SUM(U18:U19)</f>
        <v>5.2922072577889061</v>
      </c>
    </row>
    <row r="75" spans="1:23" x14ac:dyDescent="0.45">
      <c r="L75" s="80" t="s">
        <v>148</v>
      </c>
      <c r="M75" s="88">
        <f>B26/M6</f>
        <v>0.21701238802230249</v>
      </c>
      <c r="N75" s="88">
        <f t="shared" ref="N75:U75" si="53">C30/N6</f>
        <v>0.46183564276759681</v>
      </c>
      <c r="O75" s="88">
        <f t="shared" si="53"/>
        <v>7.9586951579442802E-2</v>
      </c>
      <c r="P75" s="88">
        <f t="shared" si="53"/>
        <v>0.10143454702651693</v>
      </c>
      <c r="Q75" s="88">
        <f t="shared" si="53"/>
        <v>-0.36687631027253692</v>
      </c>
      <c r="R75" s="88">
        <f t="shared" si="53"/>
        <v>0.24869657377920754</v>
      </c>
      <c r="S75" s="88">
        <f t="shared" si="53"/>
        <v>0.14612640178601272</v>
      </c>
      <c r="T75" s="89">
        <f t="shared" si="53"/>
        <v>7.9870003733466546E-2</v>
      </c>
      <c r="U75" s="89">
        <f t="shared" si="53"/>
        <v>0.13184163017426057</v>
      </c>
    </row>
    <row r="76" spans="1:23" x14ac:dyDescent="0.45">
      <c r="E76" s="87"/>
      <c r="L76" s="80" t="s">
        <v>149</v>
      </c>
      <c r="M76" s="88">
        <f t="shared" ref="M76:U76" si="54">(B23+B20)/M14</f>
        <v>0.29284555755011638</v>
      </c>
      <c r="N76" s="88">
        <f t="shared" si="54"/>
        <v>0.45109418749720614</v>
      </c>
      <c r="O76" s="88">
        <f t="shared" si="54"/>
        <v>7.8164645425207152E-2</v>
      </c>
      <c r="P76" s="88">
        <f t="shared" si="54"/>
        <v>0.11375954273652639</v>
      </c>
      <c r="Q76" s="88">
        <f t="shared" si="54"/>
        <v>-0.19471566267931198</v>
      </c>
      <c r="R76" s="88">
        <f t="shared" si="54"/>
        <v>0.32949733739375298</v>
      </c>
      <c r="S76" s="88">
        <f t="shared" si="54"/>
        <v>0.18838373247214385</v>
      </c>
      <c r="T76" s="88">
        <f t="shared" si="54"/>
        <v>0.10955940858770784</v>
      </c>
      <c r="U76" s="88">
        <f t="shared" si="54"/>
        <v>0.16405004501752835</v>
      </c>
    </row>
    <row r="77" spans="1:23" x14ac:dyDescent="0.45">
      <c r="E77" s="87"/>
      <c r="L77" s="80" t="s">
        <v>150</v>
      </c>
      <c r="M77" s="81">
        <f t="shared" ref="M77:U77" si="55">M11/M6</f>
        <v>0.41502223892751988</v>
      </c>
      <c r="N77" s="81">
        <f t="shared" si="55"/>
        <v>0.23218543310621406</v>
      </c>
      <c r="O77" s="81">
        <f t="shared" si="55"/>
        <v>0.3170824351151546</v>
      </c>
      <c r="P77" s="81">
        <f t="shared" si="55"/>
        <v>0.32351252173742179</v>
      </c>
      <c r="Q77" s="81">
        <f t="shared" si="55"/>
        <v>0.57871814196857063</v>
      </c>
      <c r="R77" s="81">
        <f t="shared" si="55"/>
        <v>0.11473840080628796</v>
      </c>
      <c r="S77" s="81">
        <f t="shared" si="55"/>
        <v>2.9278203767295154E-2</v>
      </c>
      <c r="T77" s="81">
        <f t="shared" si="55"/>
        <v>0.23139638528821396</v>
      </c>
      <c r="U77" s="81">
        <f t="shared" si="55"/>
        <v>0.16354083787967466</v>
      </c>
    </row>
    <row r="78" spans="1:23" x14ac:dyDescent="0.45">
      <c r="E78" s="87"/>
      <c r="L78" s="80" t="s">
        <v>151</v>
      </c>
      <c r="M78" s="81">
        <f t="shared" ref="M78:U78" si="56">(M11-M37-M38)/M6</f>
        <v>0.21376777548079937</v>
      </c>
      <c r="N78" s="81">
        <f t="shared" si="56"/>
        <v>0.14083558623716844</v>
      </c>
      <c r="O78" s="81">
        <f t="shared" si="56"/>
        <v>0.22976687432253035</v>
      </c>
      <c r="P78" s="81">
        <f t="shared" si="56"/>
        <v>0.23171551241366437</v>
      </c>
      <c r="Q78" s="81">
        <f t="shared" si="56"/>
        <v>0.45257029991163761</v>
      </c>
      <c r="R78" s="81">
        <f t="shared" si="56"/>
        <v>7.5235656442170451E-2</v>
      </c>
      <c r="S78" s="81">
        <f t="shared" si="56"/>
        <v>-2.488008589408627E-2</v>
      </c>
      <c r="T78" s="81">
        <f t="shared" si="56"/>
        <v>0.2049976097549551</v>
      </c>
      <c r="U78" s="81">
        <f t="shared" si="56"/>
        <v>5.9819911675796478E-2</v>
      </c>
    </row>
    <row r="79" spans="1:23" x14ac:dyDescent="0.45">
      <c r="E79" s="87"/>
      <c r="L79" s="80" t="s">
        <v>152</v>
      </c>
      <c r="M79" s="89">
        <f t="shared" ref="M79:U79" si="57">M70/M67</f>
        <v>5.8708414872798431E-3</v>
      </c>
      <c r="N79" s="89">
        <f t="shared" si="57"/>
        <v>2.7870680044593085E-3</v>
      </c>
      <c r="O79" s="89">
        <f t="shared" si="57"/>
        <v>4.3509789702683103E-3</v>
      </c>
      <c r="P79" s="89">
        <f t="shared" si="57"/>
        <v>3.6720829890755534E-3</v>
      </c>
      <c r="Q79" s="89">
        <f t="shared" si="57"/>
        <v>1.172882946281961E-2</v>
      </c>
      <c r="R79" s="89">
        <f t="shared" si="57"/>
        <v>1.7029972752043595E-2</v>
      </c>
      <c r="S79" s="89">
        <f t="shared" si="57"/>
        <v>1.5634771732332707E-2</v>
      </c>
      <c r="T79" s="89">
        <f t="shared" si="57"/>
        <v>1.7307026652821047E-2</v>
      </c>
      <c r="U79" s="89">
        <f t="shared" si="57"/>
        <v>7.4194984419053275E-3</v>
      </c>
    </row>
    <row r="80" spans="1:23" x14ac:dyDescent="0.45">
      <c r="E80" s="87"/>
      <c r="L80" s="80" t="s">
        <v>153</v>
      </c>
      <c r="M80" s="81"/>
      <c r="N80" s="81">
        <f t="shared" ref="N80:U80" si="58">AVERAGE(M36:N36)/C3*365</f>
        <v>4.236797794699287</v>
      </c>
      <c r="O80" s="81">
        <f t="shared" si="58"/>
        <v>2.1818622609161391</v>
      </c>
      <c r="P80" s="81">
        <f t="shared" si="58"/>
        <v>4.0093149156634427</v>
      </c>
      <c r="Q80" s="81">
        <f t="shared" si="58"/>
        <v>4.3011529386214624</v>
      </c>
      <c r="R80" s="81">
        <f t="shared" si="58"/>
        <v>2.7386294115958307</v>
      </c>
      <c r="S80" s="81">
        <f t="shared" si="58"/>
        <v>2.2937747246743068</v>
      </c>
      <c r="T80" s="81">
        <f t="shared" si="58"/>
        <v>2.6178959555694621</v>
      </c>
      <c r="U80" s="81">
        <f>AVERAGE(T36:U36)/J3*365</f>
        <v>2.728044779203691</v>
      </c>
      <c r="W80" s="123"/>
    </row>
    <row r="81" spans="12:27" x14ac:dyDescent="0.45">
      <c r="L81" s="80" t="s">
        <v>154</v>
      </c>
      <c r="M81" s="81"/>
      <c r="N81" s="81">
        <f t="shared" ref="N81:U81" si="59">AVERAGE(M48:N48)/(SUM(C7:C13))*365</f>
        <v>15.041765350592645</v>
      </c>
      <c r="O81" s="81">
        <f t="shared" si="59"/>
        <v>10.340407162205766</v>
      </c>
      <c r="P81" s="81">
        <f t="shared" si="59"/>
        <v>10.617001966851372</v>
      </c>
      <c r="Q81" s="81">
        <f t="shared" ref="Q81:T81" si="60">AVERAGE(P48:Q48)/(SUM(F7:F10))*365</f>
        <v>10.543390700612035</v>
      </c>
      <c r="R81" s="81">
        <f t="shared" si="60"/>
        <v>9.4764883534363875</v>
      </c>
      <c r="S81" s="81">
        <f t="shared" si="60"/>
        <v>7.6493470745185084</v>
      </c>
      <c r="T81" s="81">
        <f t="shared" si="60"/>
        <v>8.9942207635817315</v>
      </c>
      <c r="U81" s="81">
        <f>AVERAGE(T48:U48)/(SUM(J7:J10))*365</f>
        <v>13.474634493152085</v>
      </c>
      <c r="W81" s="123"/>
    </row>
    <row r="82" spans="12:27" x14ac:dyDescent="0.45">
      <c r="L82" s="80" t="s">
        <v>155</v>
      </c>
      <c r="M82" s="81"/>
      <c r="N82" s="81">
        <f t="shared" ref="N82:U82" si="61">AVERAGE(M33:N33)/(SUM(C7:C13))*365</f>
        <v>27.915884940591873</v>
      </c>
      <c r="O82" s="81">
        <f t="shared" si="61"/>
        <v>22.569005362565679</v>
      </c>
      <c r="P82" s="81">
        <f t="shared" si="61"/>
        <v>22.961183336971832</v>
      </c>
      <c r="Q82" s="81">
        <f t="shared" ref="Q82:T82" si="62">AVERAGE(P33:Q33)/(SUM(F7:F10))*365</f>
        <v>23.220120428580099</v>
      </c>
      <c r="R82" s="81">
        <f t="shared" si="62"/>
        <v>34.063688181886469</v>
      </c>
      <c r="S82" s="81">
        <f t="shared" si="62"/>
        <v>35.397643305467952</v>
      </c>
      <c r="T82" s="81">
        <f t="shared" si="62"/>
        <v>40.798935710653979</v>
      </c>
      <c r="U82" s="81">
        <f>AVERAGE(T33:U33)/(SUM(J7:J10))*365</f>
        <v>38.892264682624401</v>
      </c>
      <c r="W82" s="123"/>
    </row>
    <row r="83" spans="12:27" x14ac:dyDescent="0.45">
      <c r="L83" s="80" t="s">
        <v>156</v>
      </c>
      <c r="M83" s="81"/>
      <c r="N83" s="81">
        <f>N80+N82-N81</f>
        <v>17.110917384698514</v>
      </c>
      <c r="O83" s="81">
        <f t="shared" ref="O83:U83" si="63">O80+O82-O81</f>
        <v>14.410460461276051</v>
      </c>
      <c r="P83" s="81">
        <f t="shared" si="63"/>
        <v>16.353496285783901</v>
      </c>
      <c r="Q83" s="81">
        <f t="shared" si="63"/>
        <v>16.977882666589529</v>
      </c>
      <c r="R83" s="81">
        <f t="shared" si="63"/>
        <v>27.325829240045913</v>
      </c>
      <c r="S83" s="81">
        <f t="shared" si="63"/>
        <v>30.04207095562375</v>
      </c>
      <c r="T83" s="81">
        <f t="shared" si="63"/>
        <v>34.422610902641708</v>
      </c>
      <c r="U83" s="81">
        <f t="shared" si="63"/>
        <v>28.145674968676008</v>
      </c>
    </row>
    <row r="84" spans="12:27" x14ac:dyDescent="0.45">
      <c r="L84" s="80" t="s">
        <v>157</v>
      </c>
      <c r="M84" s="81"/>
      <c r="N84" s="81">
        <f t="shared" ref="N84:U84" si="64">AVERAGE(M54:N54)/C3*365</f>
        <v>5.0006021115169661</v>
      </c>
      <c r="O84" s="81">
        <f t="shared" si="64"/>
        <v>3.4602822813482623</v>
      </c>
      <c r="P84" s="81">
        <f t="shared" si="64"/>
        <v>5.4173017359924636</v>
      </c>
      <c r="Q84" s="81">
        <f t="shared" si="64"/>
        <v>4.0948389965310605</v>
      </c>
      <c r="R84" s="81">
        <f t="shared" si="64"/>
        <v>7.4428261062070398</v>
      </c>
      <c r="S84" s="81">
        <f t="shared" si="64"/>
        <v>12.639175184678665</v>
      </c>
      <c r="T84" s="81">
        <f t="shared" si="64"/>
        <v>11.995939708466265</v>
      </c>
      <c r="U84" s="81">
        <f t="shared" si="64"/>
        <v>14.118613043450759</v>
      </c>
    </row>
    <row r="85" spans="12:27" x14ac:dyDescent="0.45">
      <c r="L85" s="80" t="s">
        <v>158</v>
      </c>
      <c r="M85" s="88">
        <f t="shared" ref="M85:U85" si="65">B20/M11</f>
        <v>0.1461575471698113</v>
      </c>
      <c r="N85" s="88">
        <f t="shared" si="65"/>
        <v>6.9488066338696849E-2</v>
      </c>
      <c r="O85" s="88">
        <f t="shared" si="65"/>
        <v>7.298836088071603E-2</v>
      </c>
      <c r="P85" s="88">
        <f t="shared" si="65"/>
        <v>8.1553886766839542E-2</v>
      </c>
      <c r="Q85" s="88">
        <f t="shared" si="65"/>
        <v>8.4703328780195736E-2</v>
      </c>
      <c r="R85" s="88">
        <f t="shared" si="65"/>
        <v>0.28032738965214854</v>
      </c>
      <c r="S85" s="88">
        <f t="shared" si="65"/>
        <v>0.20813421982131727</v>
      </c>
      <c r="T85" s="88">
        <f t="shared" si="65"/>
        <v>2.3231306894970917E-2</v>
      </c>
      <c r="U85" s="88">
        <f t="shared" si="65"/>
        <v>6.8549637958037923E-2</v>
      </c>
    </row>
    <row r="86" spans="12:27" x14ac:dyDescent="0.45">
      <c r="L86" s="90" t="s">
        <v>159</v>
      </c>
      <c r="M86" s="91">
        <f t="shared" ref="M86:U86" si="66">(B23+B20)/B20</f>
        <v>6.5495620518050588</v>
      </c>
      <c r="N86" s="91">
        <f t="shared" si="66"/>
        <v>34.317102578371362</v>
      </c>
      <c r="O86" s="91">
        <f t="shared" si="66"/>
        <v>5.9227121728738732</v>
      </c>
      <c r="P86" s="91">
        <f t="shared" si="66"/>
        <v>6.9359595592855747</v>
      </c>
      <c r="Q86" s="91">
        <f t="shared" si="66"/>
        <v>-5.7763983387823687</v>
      </c>
      <c r="R86" s="91">
        <f t="shared" si="66"/>
        <v>11.558811261731</v>
      </c>
      <c r="S86" s="91">
        <f t="shared" si="66"/>
        <v>33.628400299475864</v>
      </c>
      <c r="T86" s="91">
        <f t="shared" si="66"/>
        <v>21.949000512557703</v>
      </c>
      <c r="U86" s="91">
        <f t="shared" si="66"/>
        <v>17.014017660044175</v>
      </c>
      <c r="AA86" s="122"/>
    </row>
    <row r="87" spans="12:27" x14ac:dyDescent="0.45">
      <c r="R87" s="77"/>
    </row>
    <row r="89" spans="12:27" x14ac:dyDescent="0.45">
      <c r="M89" s="77"/>
      <c r="N89" s="70"/>
      <c r="O89" s="70"/>
      <c r="P89" s="70"/>
      <c r="Q89" s="70"/>
      <c r="R89" s="77"/>
      <c r="S89" s="77"/>
      <c r="T89" s="77"/>
      <c r="U89" s="77"/>
    </row>
    <row r="90" spans="12:27" x14ac:dyDescent="0.45">
      <c r="M90" s="77"/>
      <c r="N90" s="70"/>
      <c r="O90" s="70"/>
      <c r="P90" s="70"/>
      <c r="Q90" s="70"/>
      <c r="R90" s="77"/>
      <c r="S90" s="77"/>
      <c r="T90" s="77"/>
      <c r="U90" s="77"/>
    </row>
    <row r="91" spans="12:27" x14ac:dyDescent="0.45">
      <c r="M91" s="70"/>
      <c r="N91" s="92"/>
      <c r="O91" s="92"/>
      <c r="P91" s="92"/>
      <c r="Q91" s="92"/>
      <c r="R91" s="92"/>
      <c r="S91" s="92"/>
      <c r="T91" s="92"/>
      <c r="U91" s="92"/>
    </row>
  </sheetData>
  <mergeCells count="1">
    <mergeCell ref="A1:U1"/>
  </mergeCells>
  <pageMargins left="0.7" right="0.7" top="0.75" bottom="0.75" header="0.3" footer="0.3"/>
  <pageSetup paperSize="9" orientation="portrait" verticalDpi="0" r:id="rId1"/>
  <ignoredErrors>
    <ignoredError sqref="T74 Q80:T80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Slide 9</vt:lpstr>
      <vt:lpstr>Slide 14</vt:lpstr>
      <vt:lpstr>Slide 18</vt:lpstr>
      <vt:lpstr>Summary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DELL</cp:lastModifiedBy>
  <dcterms:created xsi:type="dcterms:W3CDTF">2023-07-26T09:17:12Z</dcterms:created>
  <dcterms:modified xsi:type="dcterms:W3CDTF">2024-06-20T07:32:52Z</dcterms:modified>
</cp:coreProperties>
</file>