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v15\Downloads\"/>
    </mc:Choice>
  </mc:AlternateContent>
  <xr:revisionPtr revIDLastSave="0" documentId="13_ncr:1_{CC887927-808B-40A8-B1B3-424C3DBF33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ummary Sheet" sheetId="1" r:id="rId1"/>
    <sheet name="Sheet1" sheetId="4" r:id="rId2"/>
    <sheet name="Peer working" sheetId="3" state="hidden" r:id="rId3"/>
    <sheet name="Peers" sheetId="2" state="hidden" r:id="rId4"/>
  </sheets>
  <definedNames>
    <definedName name="_xlnm.Print_Area" localSheetId="0">'Summary Sheet'!$A$1:$U$83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7" i="1" l="1"/>
  <c r="I29" i="1"/>
  <c r="I11" i="1"/>
  <c r="I8" i="1"/>
  <c r="H55" i="1"/>
  <c r="I20" i="1" l="1"/>
  <c r="I27" i="1"/>
  <c r="I35" i="1" s="1"/>
  <c r="I23" i="1"/>
  <c r="P76" i="1"/>
  <c r="Q76" i="1"/>
  <c r="R76" i="1"/>
  <c r="S76" i="1"/>
  <c r="T76" i="1"/>
  <c r="U76" i="1"/>
  <c r="O76" i="1"/>
  <c r="I34" i="1" l="1"/>
  <c r="I41" i="1"/>
  <c r="I36" i="1"/>
  <c r="T22" i="1"/>
  <c r="H62" i="1" l="1"/>
  <c r="U77" i="1"/>
  <c r="T77" i="1"/>
  <c r="U66" i="1"/>
  <c r="U69" i="1" s="1"/>
  <c r="U45" i="1"/>
  <c r="U26" i="1"/>
  <c r="H46" i="1"/>
  <c r="H45" i="1"/>
  <c r="H11" i="1"/>
  <c r="U79" i="1" s="1"/>
  <c r="F46" i="1"/>
  <c r="G46" i="1"/>
  <c r="E46" i="1"/>
  <c r="U78" i="1" l="1"/>
  <c r="U80" i="1" s="1"/>
  <c r="U8" i="1"/>
  <c r="U67" i="1" l="1"/>
  <c r="U70" i="1" s="1"/>
  <c r="U13" i="1"/>
  <c r="G62" i="1"/>
  <c r="S66" i="1" l="1"/>
  <c r="S69" i="1" s="1"/>
  <c r="H69" i="1"/>
  <c r="G69" i="1"/>
  <c r="F62" i="1"/>
  <c r="H61" i="1"/>
  <c r="G61" i="1"/>
  <c r="G63" i="1" s="1"/>
  <c r="T58" i="1"/>
  <c r="T46" i="1"/>
  <c r="T32" i="1"/>
  <c r="T12" i="1"/>
  <c r="T82" i="1" s="1"/>
  <c r="T8" i="1"/>
  <c r="T13" i="1" s="1"/>
  <c r="T74" i="1" l="1"/>
  <c r="T75" i="1"/>
  <c r="T67" i="1"/>
  <c r="T70" i="1" s="1"/>
  <c r="T14" i="1"/>
  <c r="T33" i="1"/>
  <c r="H63" i="1"/>
  <c r="T59" i="1"/>
  <c r="U22" i="1"/>
  <c r="U32" i="1"/>
  <c r="H67" i="1" l="1"/>
  <c r="H29" i="1"/>
  <c r="H8" i="1"/>
  <c r="S26" i="1"/>
  <c r="T66" i="1"/>
  <c r="T69" i="1" s="1"/>
  <c r="G11" i="1"/>
  <c r="F11" i="1"/>
  <c r="G45" i="1"/>
  <c r="T79" i="1" l="1"/>
  <c r="T80" i="1" s="1"/>
  <c r="T78" i="1"/>
  <c r="H20" i="1"/>
  <c r="S46" i="1"/>
  <c r="U73" i="1" l="1"/>
  <c r="H23" i="1"/>
  <c r="H27" i="1"/>
  <c r="H35" i="1" s="1"/>
  <c r="G67" i="1"/>
  <c r="U58" i="1"/>
  <c r="U46" i="1"/>
  <c r="U12" i="1"/>
  <c r="G55" i="1"/>
  <c r="G29" i="1"/>
  <c r="G8" i="1"/>
  <c r="H9" i="1" s="1"/>
  <c r="F8" i="1"/>
  <c r="U82" i="1" l="1"/>
  <c r="U75" i="1"/>
  <c r="U74" i="1"/>
  <c r="H41" i="1"/>
  <c r="U72" i="1"/>
  <c r="U33" i="1"/>
  <c r="H34" i="1"/>
  <c r="G68" i="1"/>
  <c r="G70" i="1" s="1"/>
  <c r="H68" i="1"/>
  <c r="H36" i="1"/>
  <c r="U60" i="1"/>
  <c r="U14" i="1" s="1"/>
  <c r="U59" i="1"/>
  <c r="U81" i="1" s="1"/>
  <c r="G9" i="1"/>
  <c r="G20" i="1"/>
  <c r="E45" i="1"/>
  <c r="F45" i="1"/>
  <c r="T73" i="1" l="1"/>
  <c r="H21" i="1"/>
  <c r="H70" i="1"/>
  <c r="U71" i="1" s="1"/>
  <c r="T71" i="1"/>
  <c r="U61" i="1"/>
  <c r="G23" i="1"/>
  <c r="G27" i="1"/>
  <c r="G35" i="1" s="1"/>
  <c r="T72" i="1" s="1"/>
  <c r="E11" i="4"/>
  <c r="B9" i="4"/>
  <c r="B8" i="4"/>
  <c r="G34" i="1" l="1"/>
  <c r="G41" i="1"/>
  <c r="H42" i="1" s="1"/>
  <c r="G36" i="1"/>
  <c r="E62" i="1"/>
  <c r="S77" i="1" l="1"/>
  <c r="R77" i="1"/>
  <c r="S22" i="1"/>
  <c r="S58" i="1"/>
  <c r="S32" i="1"/>
  <c r="S12" i="1"/>
  <c r="S8" i="1"/>
  <c r="R66" i="1"/>
  <c r="R69" i="1" s="1"/>
  <c r="Q66" i="1"/>
  <c r="Q69" i="1" s="1"/>
  <c r="P66" i="1"/>
  <c r="F67" i="1"/>
  <c r="E67" i="1"/>
  <c r="D67" i="1"/>
  <c r="F69" i="1"/>
  <c r="E69" i="1"/>
  <c r="F61" i="1"/>
  <c r="F63" i="1" s="1"/>
  <c r="F55" i="1"/>
  <c r="S79" i="1"/>
  <c r="S67" i="1" l="1"/>
  <c r="S70" i="1" s="1"/>
  <c r="S13" i="1"/>
  <c r="S82" i="1"/>
  <c r="S75" i="1"/>
  <c r="S74" i="1"/>
  <c r="S33" i="1"/>
  <c r="S60" i="1"/>
  <c r="S14" i="1" s="1"/>
  <c r="S78" i="1"/>
  <c r="S80" i="1" s="1"/>
  <c r="S59" i="1"/>
  <c r="T81" i="1" s="1"/>
  <c r="F68" i="1"/>
  <c r="F70" i="1" s="1"/>
  <c r="R58" i="1"/>
  <c r="R46" i="1"/>
  <c r="R32" i="1"/>
  <c r="R22" i="1"/>
  <c r="R12" i="1"/>
  <c r="R8" i="1"/>
  <c r="S61" i="1" l="1"/>
  <c r="R60" i="1"/>
  <c r="R14" i="1" s="1"/>
  <c r="R82" i="1"/>
  <c r="E68" i="1"/>
  <c r="E70" i="1" s="1"/>
  <c r="R33" i="1"/>
  <c r="R13" i="1"/>
  <c r="R67" i="1"/>
  <c r="R70" i="1" s="1"/>
  <c r="R74" i="1"/>
  <c r="R75" i="1"/>
  <c r="R59" i="1"/>
  <c r="F29" i="1"/>
  <c r="E61" i="1"/>
  <c r="E55" i="1"/>
  <c r="E29" i="1"/>
  <c r="E11" i="1"/>
  <c r="E8" i="1"/>
  <c r="H10" i="1" s="1"/>
  <c r="R61" i="1" l="1"/>
  <c r="R79" i="1"/>
  <c r="E63" i="1"/>
  <c r="E20" i="1"/>
  <c r="H22" i="1" s="1"/>
  <c r="R73" i="1" l="1"/>
  <c r="E23" i="1"/>
  <c r="E27" i="1"/>
  <c r="D45" i="1"/>
  <c r="C45" i="1"/>
  <c r="E34" i="1" l="1"/>
  <c r="E35" i="1"/>
  <c r="R72" i="1" s="1"/>
  <c r="E41" i="1" l="1"/>
  <c r="H43" i="1" s="1"/>
  <c r="E36" i="1"/>
  <c r="K18" i="3"/>
  <c r="K17" i="3"/>
  <c r="K16" i="3"/>
  <c r="K14" i="3"/>
  <c r="K12" i="3"/>
  <c r="K11" i="3"/>
  <c r="K10" i="3"/>
  <c r="K9" i="3"/>
  <c r="K5" i="3"/>
  <c r="M20" i="3"/>
  <c r="L20" i="3"/>
  <c r="J20" i="3"/>
  <c r="J18" i="3"/>
  <c r="J8" i="3"/>
  <c r="N77" i="1"/>
  <c r="I16" i="3"/>
  <c r="I14" i="3"/>
  <c r="I12" i="3"/>
  <c r="K20" i="3" l="1"/>
  <c r="I6" i="3"/>
  <c r="I7" i="3"/>
  <c r="D25" i="3"/>
  <c r="D24" i="3"/>
  <c r="D21" i="3"/>
  <c r="D22" i="3"/>
  <c r="D19" i="3"/>
  <c r="D18" i="3"/>
  <c r="D16" i="3"/>
  <c r="D15" i="3"/>
  <c r="D12" i="3"/>
  <c r="D9" i="3"/>
  <c r="D6" i="3"/>
  <c r="D5" i="3"/>
  <c r="D11" i="3" s="1"/>
  <c r="D26" i="3" l="1"/>
  <c r="I8" i="3"/>
  <c r="C26" i="3"/>
  <c r="C11" i="3"/>
  <c r="B28" i="3" l="1"/>
  <c r="B19" i="3"/>
  <c r="B18" i="3"/>
  <c r="B16" i="3"/>
  <c r="B15" i="3"/>
  <c r="F13" i="3"/>
  <c r="E13" i="3"/>
  <c r="D13" i="3"/>
  <c r="C13" i="3"/>
  <c r="B6" i="3"/>
  <c r="B5" i="3"/>
  <c r="F7" i="3"/>
  <c r="E7" i="3"/>
  <c r="D7" i="3"/>
  <c r="C7" i="3"/>
  <c r="M46" i="1"/>
  <c r="M58" i="1"/>
  <c r="M60" i="1" l="1"/>
  <c r="B7" i="3"/>
  <c r="M59" i="1" l="1"/>
  <c r="M22" i="1"/>
  <c r="M32" i="1"/>
  <c r="M12" i="1"/>
  <c r="M8" i="1"/>
  <c r="M13" i="1" s="1"/>
  <c r="M14" i="1" l="1"/>
  <c r="M33" i="1"/>
  <c r="M61" i="1" s="1"/>
  <c r="Q77" i="1" l="1"/>
  <c r="P77" i="1"/>
  <c r="O77" i="1"/>
  <c r="D69" i="1"/>
  <c r="C69" i="1"/>
  <c r="C67" i="1"/>
  <c r="B67" i="1"/>
  <c r="D61" i="1"/>
  <c r="D63" i="1" s="1"/>
  <c r="C61" i="1"/>
  <c r="C63" i="1" s="1"/>
  <c r="B61" i="1"/>
  <c r="B63" i="1" s="1"/>
  <c r="D55" i="1" l="1"/>
  <c r="C55" i="1"/>
  <c r="B55" i="1"/>
  <c r="O66" i="1"/>
  <c r="N66" i="1"/>
  <c r="O32" i="1"/>
  <c r="N32" i="1"/>
  <c r="Q22" i="1"/>
  <c r="P22" i="1"/>
  <c r="O22" i="1"/>
  <c r="N22" i="1"/>
  <c r="Q12" i="1"/>
  <c r="D68" i="1" s="1"/>
  <c r="D70" i="1" s="1"/>
  <c r="P12" i="1"/>
  <c r="P82" i="1" s="1"/>
  <c r="O12" i="1"/>
  <c r="O82" i="1" s="1"/>
  <c r="N12" i="1"/>
  <c r="N82" i="1" s="1"/>
  <c r="Q8" i="1"/>
  <c r="P8" i="1"/>
  <c r="O8" i="1"/>
  <c r="N8" i="1"/>
  <c r="I5" i="3" l="1"/>
  <c r="Q67" i="1"/>
  <c r="Q70" i="1" s="1"/>
  <c r="Q82" i="1"/>
  <c r="R71" i="1"/>
  <c r="O13" i="1"/>
  <c r="O67" i="1"/>
  <c r="O70" i="1" s="1"/>
  <c r="N74" i="1"/>
  <c r="N75" i="1"/>
  <c r="Q74" i="1"/>
  <c r="Q75" i="1"/>
  <c r="N69" i="1"/>
  <c r="N76" i="1"/>
  <c r="C68" i="1"/>
  <c r="C70" i="1" s="1"/>
  <c r="P75" i="1"/>
  <c r="P74" i="1"/>
  <c r="P13" i="1"/>
  <c r="P67" i="1"/>
  <c r="P70" i="1" s="1"/>
  <c r="P69" i="1"/>
  <c r="N13" i="1"/>
  <c r="N67" i="1"/>
  <c r="N70" i="1" s="1"/>
  <c r="Q13" i="1"/>
  <c r="I9" i="3" s="1"/>
  <c r="O75" i="1"/>
  <c r="O74" i="1"/>
  <c r="O69" i="1"/>
  <c r="N33" i="1"/>
  <c r="O33" i="1"/>
  <c r="B68" i="1"/>
  <c r="B70" i="1" s="1"/>
  <c r="B57" i="1"/>
  <c r="C51" i="1" s="1"/>
  <c r="C57" i="1" s="1"/>
  <c r="D51" i="1" s="1"/>
  <c r="D57" i="1" s="1"/>
  <c r="E51" i="1" s="1"/>
  <c r="E57" i="1" s="1"/>
  <c r="F51" i="1" s="1"/>
  <c r="F57" i="1" s="1"/>
  <c r="O58" i="1"/>
  <c r="O59" i="1" s="1"/>
  <c r="N58" i="1"/>
  <c r="N59" i="1" s="1"/>
  <c r="N46" i="1"/>
  <c r="O46" i="1"/>
  <c r="Q58" i="1"/>
  <c r="I11" i="3" s="1"/>
  <c r="P58" i="1"/>
  <c r="Q46" i="1"/>
  <c r="I10" i="3" s="1"/>
  <c r="P46" i="1"/>
  <c r="Q26" i="1"/>
  <c r="R78" i="1" s="1"/>
  <c r="R80" i="1" s="1"/>
  <c r="P26" i="1"/>
  <c r="G51" i="1" l="1"/>
  <c r="G57" i="1" s="1"/>
  <c r="H51" i="1" s="1"/>
  <c r="H57" i="1" s="1"/>
  <c r="Q32" i="1"/>
  <c r="Q59" i="1" s="1"/>
  <c r="R81" i="1" s="1"/>
  <c r="I18" i="3"/>
  <c r="P32" i="1"/>
  <c r="P33" i="1" s="1"/>
  <c r="O60" i="1"/>
  <c r="P60" i="1"/>
  <c r="N60" i="1"/>
  <c r="Q60" i="1"/>
  <c r="Q33" i="1" l="1"/>
  <c r="Q61" i="1" s="1"/>
  <c r="I17" i="3"/>
  <c r="I20" i="3" s="1"/>
  <c r="P59" i="1"/>
  <c r="Q14" i="1"/>
  <c r="N14" i="1"/>
  <c r="N61" i="1"/>
  <c r="P61" i="1"/>
  <c r="P14" i="1"/>
  <c r="O14" i="1"/>
  <c r="O61" i="1"/>
  <c r="D40" i="1"/>
  <c r="C40" i="1"/>
  <c r="B40" i="1"/>
  <c r="D29" i="1" l="1"/>
  <c r="C29" i="1"/>
  <c r="B29" i="1"/>
  <c r="F9" i="1"/>
  <c r="D8" i="1"/>
  <c r="G10" i="1" s="1"/>
  <c r="C8" i="1"/>
  <c r="F10" i="1" s="1"/>
  <c r="B8" i="1"/>
  <c r="E10" i="1" s="1"/>
  <c r="D11" i="1"/>
  <c r="B9" i="3" s="1"/>
  <c r="C11" i="1"/>
  <c r="B11" i="1"/>
  <c r="E9" i="1" l="1"/>
  <c r="S81" i="1"/>
  <c r="P81" i="1"/>
  <c r="C9" i="1"/>
  <c r="Q81" i="1"/>
  <c r="D9" i="1"/>
  <c r="O81" i="1"/>
  <c r="N78" i="1"/>
  <c r="N79" i="1"/>
  <c r="Q79" i="1"/>
  <c r="Q78" i="1"/>
  <c r="P78" i="1"/>
  <c r="P79" i="1"/>
  <c r="O79" i="1"/>
  <c r="O78" i="1"/>
  <c r="F20" i="1"/>
  <c r="D20" i="1"/>
  <c r="G22" i="1" s="1"/>
  <c r="C20" i="1"/>
  <c r="B20" i="1"/>
  <c r="E22" i="1" s="1"/>
  <c r="F22" i="1" l="1"/>
  <c r="C21" i="1"/>
  <c r="F21" i="1"/>
  <c r="G21" i="1"/>
  <c r="Q73" i="1"/>
  <c r="E21" i="1"/>
  <c r="B7" i="4"/>
  <c r="B11" i="4" s="1"/>
  <c r="C15" i="4" s="1"/>
  <c r="O73" i="1"/>
  <c r="S73" i="1"/>
  <c r="S71" i="1"/>
  <c r="P73" i="1"/>
  <c r="N80" i="1"/>
  <c r="B11" i="3"/>
  <c r="D21" i="1"/>
  <c r="B12" i="3"/>
  <c r="O80" i="1"/>
  <c r="Q80" i="1"/>
  <c r="P80" i="1"/>
  <c r="B27" i="1"/>
  <c r="B35" i="1" s="1"/>
  <c r="O72" i="1" s="1"/>
  <c r="O71" i="1"/>
  <c r="C23" i="1"/>
  <c r="P71" i="1"/>
  <c r="D23" i="1"/>
  <c r="Q71" i="1"/>
  <c r="F27" i="1"/>
  <c r="F35" i="1" s="1"/>
  <c r="S72" i="1" s="1"/>
  <c r="F23" i="1"/>
  <c r="B23" i="1"/>
  <c r="D27" i="1"/>
  <c r="C27" i="1"/>
  <c r="C34" i="1" s="1"/>
  <c r="B13" i="3" l="1"/>
  <c r="B22" i="3"/>
  <c r="D34" i="1"/>
  <c r="B21" i="3"/>
  <c r="F36" i="1"/>
  <c r="F41" i="1"/>
  <c r="B34" i="1"/>
  <c r="F34" i="1"/>
  <c r="D35" i="1"/>
  <c r="C35" i="1"/>
  <c r="P72" i="1" s="1"/>
  <c r="B36" i="1"/>
  <c r="B41" i="1"/>
  <c r="E43" i="1" s="1"/>
  <c r="F42" i="1" l="1"/>
  <c r="G42" i="1"/>
  <c r="Q72" i="1"/>
  <c r="B24" i="3"/>
  <c r="B25" i="3"/>
  <c r="N81" i="1"/>
  <c r="C36" i="1"/>
  <c r="C41" i="1"/>
  <c r="F43" i="1" s="1"/>
  <c r="D36" i="1"/>
  <c r="D41" i="1"/>
  <c r="G43" i="1" s="1"/>
  <c r="E42" i="1" l="1"/>
  <c r="N72" i="1"/>
  <c r="N73" i="1"/>
  <c r="N71" i="1"/>
  <c r="C42" i="1"/>
  <c r="D42" i="1"/>
  <c r="B26" i="3"/>
</calcChain>
</file>

<file path=xl/sharedStrings.xml><?xml version="1.0" encoding="utf-8"?>
<sst xmlns="http://schemas.openxmlformats.org/spreadsheetml/2006/main" count="331" uniqueCount="213">
  <si>
    <t xml:space="preserve">Action Construction Equipment Ltd. (Consolidated) </t>
  </si>
  <si>
    <t>Income Statement</t>
  </si>
  <si>
    <t>Y/E, Mar (Rs. mn)</t>
  </si>
  <si>
    <t>FY16</t>
  </si>
  <si>
    <t>FY18</t>
  </si>
  <si>
    <t>FY19</t>
  </si>
  <si>
    <t>FY20</t>
  </si>
  <si>
    <t>Income</t>
  </si>
  <si>
    <t>Net Income</t>
  </si>
  <si>
    <t>Growth (%)</t>
  </si>
  <si>
    <t>CAGR (%) - 3 Years</t>
  </si>
  <si>
    <t>Expenditure</t>
  </si>
  <si>
    <t>Cost of materials consumed</t>
  </si>
  <si>
    <t>Employee Benefit Expense</t>
  </si>
  <si>
    <t>Other Expenses</t>
  </si>
  <si>
    <t>EBITDA</t>
  </si>
  <si>
    <t>EBITDA margin (%)</t>
  </si>
  <si>
    <t>Depreciation</t>
  </si>
  <si>
    <t>Other Income</t>
  </si>
  <si>
    <t>PBT</t>
  </si>
  <si>
    <t>Effective tax rate (%)</t>
  </si>
  <si>
    <t>PAT</t>
  </si>
  <si>
    <t>PAT margin (%)</t>
  </si>
  <si>
    <t>Minority Interest</t>
  </si>
  <si>
    <t>Other Comprehensive Income</t>
  </si>
  <si>
    <t>PAT After MI</t>
  </si>
  <si>
    <t>CAGR (%)</t>
  </si>
  <si>
    <t>EPS</t>
  </si>
  <si>
    <t>Y/E, Mar (Rs. Mn)</t>
  </si>
  <si>
    <t>Purchase of stock-in-trade</t>
  </si>
  <si>
    <t>Changes in Inventory of finished goods, work in progress and stock in trade</t>
  </si>
  <si>
    <t>Excise duty</t>
  </si>
  <si>
    <t>Selling and distribution expenses</t>
  </si>
  <si>
    <t>Finance Cost</t>
  </si>
  <si>
    <t>Current Tax</t>
  </si>
  <si>
    <t>Deferred Tax</t>
  </si>
  <si>
    <t>MAT credit entitlement</t>
  </si>
  <si>
    <t>Income Tax Written off for previous Year</t>
  </si>
  <si>
    <t>Tax Expenses</t>
  </si>
  <si>
    <t>Share of loss of associates</t>
  </si>
  <si>
    <t>(A) Share Capital</t>
  </si>
  <si>
    <t>(B) Other Equity</t>
  </si>
  <si>
    <t>Non Controlling Interest</t>
  </si>
  <si>
    <t>Non Current Liabilities</t>
  </si>
  <si>
    <t>(A) Financial Liabilities</t>
  </si>
  <si>
    <t>(i) Borrowings</t>
  </si>
  <si>
    <t>(B) Provisions</t>
  </si>
  <si>
    <t>(C) Deferred tax liabilities (Net)</t>
  </si>
  <si>
    <t>Total - Non – Current Liabilities</t>
  </si>
  <si>
    <t>Current Liabilities</t>
  </si>
  <si>
    <t>Financial Liabilities</t>
  </si>
  <si>
    <t>(ii) Trade Payables</t>
  </si>
  <si>
    <t>(iii) Other Financial Liabilities</t>
  </si>
  <si>
    <t>(D) Other current liabilities</t>
  </si>
  <si>
    <t>(E) Provisions</t>
  </si>
  <si>
    <t>(F) Current tax liabilities (Net)</t>
  </si>
  <si>
    <t>Total – Current Liabilities</t>
  </si>
  <si>
    <t>Total Equity and Liabilities</t>
  </si>
  <si>
    <t>(A) Property plant &amp; Equipment</t>
  </si>
  <si>
    <t xml:space="preserve">(B) Capital Work in Progress </t>
  </si>
  <si>
    <t>(i) Investments</t>
  </si>
  <si>
    <t>(ii) Other financial assets</t>
  </si>
  <si>
    <t>Total - Non – Current Assets</t>
  </si>
  <si>
    <t>Current Assets</t>
  </si>
  <si>
    <t>(A) Inventories</t>
  </si>
  <si>
    <t>(B) Financial assets</t>
  </si>
  <si>
    <t>(ii) Trade receivables</t>
  </si>
  <si>
    <t>iii. Cash and cash equivalents</t>
  </si>
  <si>
    <t>iv. Bank balances other than (iii) above</t>
  </si>
  <si>
    <t>(C) Other Current Assets</t>
  </si>
  <si>
    <t>(D) Current Tax Assets (Net)</t>
  </si>
  <si>
    <t>Total current assets</t>
  </si>
  <si>
    <t>Total Assets</t>
  </si>
  <si>
    <t xml:space="preserve">Assets (INR Mn) </t>
  </si>
  <si>
    <t>Networth/Shareholders Fund/ Book Value</t>
  </si>
  <si>
    <t>Long Term Debt</t>
  </si>
  <si>
    <t>Short Term Debt</t>
  </si>
  <si>
    <t>Loans</t>
  </si>
  <si>
    <t>Capital Employed</t>
  </si>
  <si>
    <t>Check</t>
  </si>
  <si>
    <t>Key ratios</t>
  </si>
  <si>
    <t xml:space="preserve">Y/E, Mar </t>
  </si>
  <si>
    <t>CMP(Rs)</t>
  </si>
  <si>
    <t>EPS (Rs)</t>
  </si>
  <si>
    <t>BVPS (Rs)</t>
  </si>
  <si>
    <t>DPS (Rs)</t>
  </si>
  <si>
    <t>P/E (x)</t>
  </si>
  <si>
    <t>P/BV (x)</t>
  </si>
  <si>
    <t>EV/EBIDTA (x)</t>
  </si>
  <si>
    <t>RoE (%)</t>
  </si>
  <si>
    <t>RoCE (%)</t>
  </si>
  <si>
    <t>Gross D/E(x)</t>
  </si>
  <si>
    <t>Net D/E (x)</t>
  </si>
  <si>
    <t>Dividend Yield</t>
  </si>
  <si>
    <t>Debtor Days</t>
  </si>
  <si>
    <t>Creditor Days</t>
  </si>
  <si>
    <t>Inventory Days</t>
  </si>
  <si>
    <t>Cash Conversion cycle</t>
  </si>
  <si>
    <t>Working Capital Days</t>
  </si>
  <si>
    <t>Interest Cost</t>
  </si>
  <si>
    <t>Cash Flow</t>
  </si>
  <si>
    <t>Cash and Cash Equivalents at Beginning of the year</t>
  </si>
  <si>
    <t>Cash Flow From Operating Activities</t>
  </si>
  <si>
    <t>Cash Flow from Investing Activities</t>
  </si>
  <si>
    <t>Cash Flow From Financing Activities</t>
  </si>
  <si>
    <t>Net Inc./(Dec.) in Cash and Cash Equivalent</t>
  </si>
  <si>
    <t>Cash and Cash Equivalents at End of the year</t>
  </si>
  <si>
    <t>Balance of C&amp;CE of Amalgamating company</t>
  </si>
  <si>
    <t>Our Calculations</t>
  </si>
  <si>
    <t xml:space="preserve">Operating Cash Inflow </t>
  </si>
  <si>
    <t>Capital Expenditure</t>
  </si>
  <si>
    <t>FCF</t>
  </si>
  <si>
    <t>No. of Shares</t>
  </si>
  <si>
    <t>Market Cap</t>
  </si>
  <si>
    <t>Total Debt</t>
  </si>
  <si>
    <t>Cash</t>
  </si>
  <si>
    <t>EV</t>
  </si>
  <si>
    <t>FY15</t>
  </si>
  <si>
    <t>Net Working Capital</t>
  </si>
  <si>
    <t>INR Mn</t>
  </si>
  <si>
    <t>P&amp;L Comparision</t>
  </si>
  <si>
    <t>Total Income</t>
  </si>
  <si>
    <t>3 Years CAGR (%)</t>
  </si>
  <si>
    <t>EBITDA Margin (%)</t>
  </si>
  <si>
    <t>PAT Margin (%)</t>
  </si>
  <si>
    <t>Balance Sheet Comparision</t>
  </si>
  <si>
    <t>Total Networth</t>
  </si>
  <si>
    <t>Long Term</t>
  </si>
  <si>
    <t>Short Term</t>
  </si>
  <si>
    <t>CFO</t>
  </si>
  <si>
    <t>Enterprise Value</t>
  </si>
  <si>
    <t>Stock P/E</t>
  </si>
  <si>
    <t>Price/Book Value</t>
  </si>
  <si>
    <t>EV/ EBITDA</t>
  </si>
  <si>
    <t>OPERATIONAL RATIOS COMPARISION</t>
  </si>
  <si>
    <t>CMP (As on 31.03.2020)</t>
  </si>
  <si>
    <t>Book Value</t>
  </si>
  <si>
    <t>Book Value per Share</t>
  </si>
  <si>
    <t>ROE</t>
  </si>
  <si>
    <t>ROCE</t>
  </si>
  <si>
    <t>Fixed Asset Turnover</t>
  </si>
  <si>
    <t>Receivable days</t>
  </si>
  <si>
    <t>Payable days</t>
  </si>
  <si>
    <t>Cash Conversion Cycle</t>
  </si>
  <si>
    <t>Gross Debt/Equity</t>
  </si>
  <si>
    <t>Net Debt/Equity</t>
  </si>
  <si>
    <t>Interest Coverage Ratio</t>
  </si>
  <si>
    <t>Interest Cost (%)</t>
  </si>
  <si>
    <t>ACE</t>
  </si>
  <si>
    <t>Escorts</t>
  </si>
  <si>
    <t>BEML</t>
  </si>
  <si>
    <t>CAGR 3 YRS</t>
  </si>
  <si>
    <t>VST Tillers</t>
  </si>
  <si>
    <t>M&amp;M</t>
  </si>
  <si>
    <t>Balance Sheet</t>
  </si>
  <si>
    <t>Net Worth</t>
  </si>
  <si>
    <t>Non Current Asset</t>
  </si>
  <si>
    <t>Current Asset</t>
  </si>
  <si>
    <t>Cash &amp; Bank Balances</t>
  </si>
  <si>
    <t>Current Liabilites</t>
  </si>
  <si>
    <t>NET CURRENT ASSETS</t>
  </si>
  <si>
    <t>Asset T/O ratio</t>
  </si>
  <si>
    <t>DPS</t>
  </si>
  <si>
    <t>EBITDA 2020</t>
  </si>
  <si>
    <t>EBITDA 2017</t>
  </si>
  <si>
    <t>Depreciation 2020</t>
  </si>
  <si>
    <t>Interest 2020</t>
  </si>
  <si>
    <t>Depreciation 2017</t>
  </si>
  <si>
    <t>Interest 2017</t>
  </si>
  <si>
    <t>PBT 2020</t>
  </si>
  <si>
    <t>PBT 2017</t>
  </si>
  <si>
    <t>PAT 2020</t>
  </si>
  <si>
    <t>PAT 2017</t>
  </si>
  <si>
    <t>EPS 2020</t>
  </si>
  <si>
    <t>Long term loans and advances</t>
  </si>
  <si>
    <t>Income 2020</t>
  </si>
  <si>
    <t>Income 2017</t>
  </si>
  <si>
    <t>Inventories 2020</t>
  </si>
  <si>
    <t>Inventories 2017</t>
  </si>
  <si>
    <t>Sundry Debtors 2020</t>
  </si>
  <si>
    <t>Sundry Debtors 2017</t>
  </si>
  <si>
    <t>Trade Payables 2020</t>
  </si>
  <si>
    <t>Trade Payables 2017</t>
  </si>
  <si>
    <t>Particulars</t>
  </si>
  <si>
    <t>FY21</t>
  </si>
  <si>
    <t>FY22</t>
  </si>
  <si>
    <t xml:space="preserve">ROCE </t>
  </si>
  <si>
    <t>Numerator</t>
  </si>
  <si>
    <t xml:space="preserve">Non Current Liabilities </t>
  </si>
  <si>
    <t xml:space="preserve">Equity </t>
  </si>
  <si>
    <t>Denominator</t>
  </si>
  <si>
    <t>Capital Employed = Non Current Liabilities + Equity</t>
  </si>
  <si>
    <t xml:space="preserve">ROCE"=(EBITDA-Dep+Other income)/Capital Employed" </t>
  </si>
  <si>
    <t>(C) Right of use asset</t>
  </si>
  <si>
    <t>(vi) Other current financial assets</t>
  </si>
  <si>
    <t>(v) Loans</t>
  </si>
  <si>
    <t>(D) Investment properties</t>
  </si>
  <si>
    <t>(E) Intangible assets</t>
  </si>
  <si>
    <t>(F) Financial assets</t>
  </si>
  <si>
    <t>(G) Other non-current assets</t>
  </si>
  <si>
    <t>(H) Non-current tax assets (Net)</t>
  </si>
  <si>
    <t>(ii) Lease liabilities</t>
  </si>
  <si>
    <t>(iv) Lease liabilities</t>
  </si>
  <si>
    <t>TTM EPS</t>
  </si>
  <si>
    <t>Based on TTM</t>
  </si>
  <si>
    <t>FY23</t>
  </si>
  <si>
    <t>Impairment losses on financial assets</t>
  </si>
  <si>
    <t>-</t>
  </si>
  <si>
    <t xml:space="preserve">                  -  </t>
  </si>
  <si>
    <t>FY24</t>
  </si>
  <si>
    <t xml:space="preserve">FY24 </t>
  </si>
  <si>
    <t xml:space="preserve">Balance Sheet and Mixed Ratios are as per FY24 Result Updates while P&amp;L Ratio is as per FY24 Result Updates       
</t>
  </si>
  <si>
    <t>Q1-FY25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</si>
</sst>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0.0"/>
    <numFmt numFmtId="165" formatCode="0.0%"/>
    <numFmt numFmtId="166" formatCode="_ * #,##0_ ;_ * \-#,##0_ ;_ * &quot;-&quot;??_ ;_ @_ "/>
    <numFmt numFmtId="167" formatCode="_ * #,##0.000_ ;_ * \-#,##0.000_ ;_ * &quot;-&quot;??_ ;_ @_ 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MyFirstFont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43">
    <xf numFmtId="0" fontId="0" fillId="0" borderId="0" xfId="0"/>
    <xf numFmtId="0" fontId="3" fillId="0" borderId="1" xfId="0" applyFont="1" applyBorder="1"/>
    <xf numFmtId="0" fontId="0" fillId="0" borderId="1" xfId="0" applyBorder="1"/>
    <xf numFmtId="2" fontId="3" fillId="0" borderId="1" xfId="0" applyNumberFormat="1" applyFont="1" applyBorder="1"/>
    <xf numFmtId="2" fontId="0" fillId="0" borderId="0" xfId="0" applyNumberFormat="1"/>
    <xf numFmtId="1" fontId="0" fillId="0" borderId="0" xfId="0" applyNumberFormat="1"/>
    <xf numFmtId="0" fontId="3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0" fontId="0" fillId="5" borderId="1" xfId="0" applyFill="1" applyBorder="1" applyAlignment="1">
      <alignment horizontal="right" vertical="top"/>
    </xf>
    <xf numFmtId="0" fontId="0" fillId="0" borderId="1" xfId="0" applyBorder="1" applyAlignment="1">
      <alignment vertical="top"/>
    </xf>
    <xf numFmtId="0" fontId="3" fillId="6" borderId="4" xfId="0" applyFont="1" applyFill="1" applyBorder="1" applyAlignment="1">
      <alignment vertical="top" wrapText="1"/>
    </xf>
    <xf numFmtId="0" fontId="0" fillId="0" borderId="5" xfId="0" applyBorder="1" applyAlignment="1">
      <alignment vertical="top"/>
    </xf>
    <xf numFmtId="0" fontId="0" fillId="3" borderId="5" xfId="0" applyFill="1" applyBorder="1" applyAlignment="1">
      <alignment vertical="top"/>
    </xf>
    <xf numFmtId="0" fontId="0" fillId="0" borderId="6" xfId="0" applyBorder="1" applyAlignment="1">
      <alignment vertical="top"/>
    </xf>
    <xf numFmtId="0" fontId="3" fillId="6" borderId="4" xfId="0" applyFont="1" applyFill="1" applyBorder="1" applyAlignment="1">
      <alignment vertical="top"/>
    </xf>
    <xf numFmtId="0" fontId="0" fillId="3" borderId="6" xfId="0" applyFill="1" applyBorder="1" applyAlignment="1">
      <alignment vertical="top"/>
    </xf>
    <xf numFmtId="165" fontId="0" fillId="3" borderId="1" xfId="2" applyNumberFormat="1" applyFont="1" applyFill="1" applyBorder="1" applyAlignment="1">
      <alignment vertical="top"/>
    </xf>
    <xf numFmtId="165" fontId="0" fillId="3" borderId="1" xfId="2" applyNumberFormat="1" applyFont="1" applyFill="1" applyBorder="1" applyAlignment="1">
      <alignment horizontal="right" vertical="top"/>
    </xf>
    <xf numFmtId="166" fontId="3" fillId="0" borderId="1" xfId="3" applyNumberFormat="1" applyFont="1" applyBorder="1"/>
    <xf numFmtId="166" fontId="0" fillId="0" borderId="1" xfId="3" applyNumberFormat="1" applyFont="1" applyBorder="1"/>
    <xf numFmtId="166" fontId="3" fillId="3" borderId="1" xfId="3" applyNumberFormat="1" applyFont="1" applyFill="1" applyBorder="1"/>
    <xf numFmtId="10" fontId="6" fillId="3" borderId="1" xfId="2" applyNumberFormat="1" applyFont="1" applyFill="1" applyBorder="1"/>
    <xf numFmtId="10" fontId="3" fillId="3" borderId="1" xfId="2" applyNumberFormat="1" applyFont="1" applyFill="1" applyBorder="1"/>
    <xf numFmtId="166" fontId="0" fillId="0" borderId="7" xfId="3" applyNumberFormat="1" applyFont="1" applyBorder="1"/>
    <xf numFmtId="0" fontId="3" fillId="0" borderId="5" xfId="0" applyFont="1" applyBorder="1"/>
    <xf numFmtId="0" fontId="0" fillId="0" borderId="5" xfId="0" applyBorder="1"/>
    <xf numFmtId="0" fontId="3" fillId="3" borderId="5" xfId="0" applyFont="1" applyFill="1" applyBorder="1"/>
    <xf numFmtId="9" fontId="0" fillId="0" borderId="7" xfId="2" applyFont="1" applyBorder="1"/>
    <xf numFmtId="1" fontId="0" fillId="3" borderId="1" xfId="0" applyNumberFormat="1" applyFill="1" applyBorder="1"/>
    <xf numFmtId="0" fontId="5" fillId="3" borderId="5" xfId="0" applyFont="1" applyFill="1" applyBorder="1"/>
    <xf numFmtId="165" fontId="6" fillId="3" borderId="1" xfId="2" applyNumberFormat="1" applyFont="1" applyFill="1" applyBorder="1" applyAlignment="1">
      <alignment horizontal="right"/>
    </xf>
    <xf numFmtId="0" fontId="8" fillId="0" borderId="5" xfId="1" applyFont="1" applyBorder="1"/>
    <xf numFmtId="0" fontId="0" fillId="3" borderId="5" xfId="0" applyFill="1" applyBorder="1"/>
    <xf numFmtId="0" fontId="0" fillId="3" borderId="6" xfId="0" applyFill="1" applyBorder="1"/>
    <xf numFmtId="165" fontId="6" fillId="3" borderId="7" xfId="2" applyNumberFormat="1" applyFont="1" applyFill="1" applyBorder="1" applyAlignment="1">
      <alignment horizontal="right"/>
    </xf>
    <xf numFmtId="1" fontId="5" fillId="3" borderId="1" xfId="0" applyNumberFormat="1" applyFont="1" applyFill="1" applyBorder="1"/>
    <xf numFmtId="166" fontId="0" fillId="3" borderId="7" xfId="3" applyNumberFormat="1" applyFont="1" applyFill="1" applyBorder="1"/>
    <xf numFmtId="10" fontId="0" fillId="0" borderId="1" xfId="2" applyNumberFormat="1" applyFont="1" applyBorder="1"/>
    <xf numFmtId="10" fontId="0" fillId="3" borderId="1" xfId="2" applyNumberFormat="1" applyFont="1" applyFill="1" applyBorder="1"/>
    <xf numFmtId="0" fontId="0" fillId="3" borderId="1" xfId="0" applyFill="1" applyBorder="1"/>
    <xf numFmtId="2" fontId="0" fillId="3" borderId="1" xfId="0" applyNumberFormat="1" applyFill="1" applyBorder="1"/>
    <xf numFmtId="2" fontId="0" fillId="0" borderId="1" xfId="0" applyNumberFormat="1" applyBorder="1"/>
    <xf numFmtId="1" fontId="0" fillId="0" borderId="1" xfId="0" applyNumberFormat="1" applyBorder="1"/>
    <xf numFmtId="0" fontId="9" fillId="0" borderId="1" xfId="0" applyFont="1" applyBorder="1" applyAlignment="1">
      <alignment horizontal="right" vertical="center"/>
    </xf>
    <xf numFmtId="0" fontId="0" fillId="0" borderId="7" xfId="0" applyBorder="1"/>
    <xf numFmtId="10" fontId="3" fillId="0" borderId="1" xfId="2" applyNumberFormat="1" applyFont="1" applyBorder="1"/>
    <xf numFmtId="0" fontId="7" fillId="2" borderId="9" xfId="1" applyFont="1" applyFill="1" applyBorder="1"/>
    <xf numFmtId="0" fontId="3" fillId="2" borderId="3" xfId="1" applyFont="1" applyFill="1" applyBorder="1" applyAlignment="1">
      <alignment horizontal="center"/>
    </xf>
    <xf numFmtId="164" fontId="0" fillId="0" borderId="5" xfId="0" applyNumberFormat="1" applyBorder="1"/>
    <xf numFmtId="164" fontId="0" fillId="3" borderId="5" xfId="0" applyNumberFormat="1" applyFill="1" applyBorder="1"/>
    <xf numFmtId="165" fontId="0" fillId="3" borderId="5" xfId="0" applyNumberFormat="1" applyFill="1" applyBorder="1"/>
    <xf numFmtId="1" fontId="9" fillId="3" borderId="1" xfId="0" applyNumberFormat="1" applyFont="1" applyFill="1" applyBorder="1"/>
    <xf numFmtId="0" fontId="9" fillId="0" borderId="6" xfId="0" applyFont="1" applyBorder="1"/>
    <xf numFmtId="0" fontId="0" fillId="0" borderId="6" xfId="0" applyBorder="1"/>
    <xf numFmtId="166" fontId="0" fillId="0" borderId="0" xfId="0" applyNumberFormat="1"/>
    <xf numFmtId="0" fontId="3" fillId="3" borderId="6" xfId="0" applyFont="1" applyFill="1" applyBorder="1"/>
    <xf numFmtId="166" fontId="3" fillId="3" borderId="7" xfId="3" applyNumberFormat="1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3" borderId="1" xfId="0" applyFont="1" applyFill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3" fillId="0" borderId="9" xfId="0" applyFont="1" applyBorder="1"/>
    <xf numFmtId="0" fontId="0" fillId="0" borderId="9" xfId="0" applyBorder="1"/>
    <xf numFmtId="166" fontId="0" fillId="0" borderId="3" xfId="3" applyNumberFormat="1" applyFont="1" applyBorder="1"/>
    <xf numFmtId="0" fontId="3" fillId="0" borderId="13" xfId="0" applyFont="1" applyBorder="1"/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right"/>
    </xf>
    <xf numFmtId="0" fontId="7" fillId="2" borderId="3" xfId="1" applyFont="1" applyFill="1" applyBorder="1"/>
    <xf numFmtId="0" fontId="0" fillId="0" borderId="3" xfId="0" applyBorder="1"/>
    <xf numFmtId="0" fontId="10" fillId="0" borderId="3" xfId="0" applyFont="1" applyBorder="1" applyAlignment="1">
      <alignment horizontal="right"/>
    </xf>
    <xf numFmtId="166" fontId="0" fillId="0" borderId="1" xfId="3" applyNumberFormat="1" applyFont="1" applyFill="1" applyBorder="1"/>
    <xf numFmtId="166" fontId="3" fillId="0" borderId="1" xfId="3" applyNumberFormat="1" applyFont="1" applyFill="1" applyBorder="1"/>
    <xf numFmtId="9" fontId="0" fillId="3" borderId="1" xfId="2" applyFont="1" applyFill="1" applyBorder="1"/>
    <xf numFmtId="166" fontId="0" fillId="0" borderId="15" xfId="3" applyNumberFormat="1" applyFont="1" applyFill="1" applyBorder="1"/>
    <xf numFmtId="166" fontId="3" fillId="3" borderId="16" xfId="3" applyNumberFormat="1" applyFont="1" applyFill="1" applyBorder="1"/>
    <xf numFmtId="10" fontId="3" fillId="3" borderId="15" xfId="2" applyNumberFormat="1" applyFont="1" applyFill="1" applyBorder="1"/>
    <xf numFmtId="0" fontId="3" fillId="0" borderId="17" xfId="0" applyFont="1" applyBorder="1" applyAlignment="1">
      <alignment horizontal="right"/>
    </xf>
    <xf numFmtId="166" fontId="0" fillId="0" borderId="18" xfId="3" applyNumberFormat="1" applyFont="1" applyBorder="1"/>
    <xf numFmtId="165" fontId="6" fillId="3" borderId="16" xfId="2" applyNumberFormat="1" applyFont="1" applyFill="1" applyBorder="1" applyAlignment="1">
      <alignment horizontal="right"/>
    </xf>
    <xf numFmtId="10" fontId="6" fillId="3" borderId="16" xfId="2" applyNumberFormat="1" applyFont="1" applyFill="1" applyBorder="1"/>
    <xf numFmtId="166" fontId="0" fillId="0" borderId="16" xfId="3" applyNumberFormat="1" applyFont="1" applyBorder="1"/>
    <xf numFmtId="0" fontId="10" fillId="0" borderId="8" xfId="0" applyFont="1" applyBorder="1" applyAlignment="1">
      <alignment horizontal="right"/>
    </xf>
    <xf numFmtId="0" fontId="10" fillId="0" borderId="19" xfId="0" applyFont="1" applyBorder="1" applyAlignment="1">
      <alignment horizontal="right"/>
    </xf>
    <xf numFmtId="0" fontId="0" fillId="0" borderId="20" xfId="0" applyBorder="1"/>
    <xf numFmtId="0" fontId="3" fillId="2" borderId="1" xfId="1" applyFont="1" applyFill="1" applyBorder="1" applyAlignment="1">
      <alignment horizontal="center"/>
    </xf>
    <xf numFmtId="1" fontId="9" fillId="0" borderId="1" xfId="0" applyNumberFormat="1" applyFont="1" applyBorder="1" applyAlignment="1">
      <alignment horizontal="right" vertical="center"/>
    </xf>
    <xf numFmtId="166" fontId="0" fillId="0" borderId="22" xfId="3" applyNumberFormat="1" applyFont="1" applyFill="1" applyBorder="1"/>
    <xf numFmtId="0" fontId="3" fillId="7" borderId="0" xfId="0" applyFont="1" applyFill="1"/>
    <xf numFmtId="0" fontId="7" fillId="2" borderId="4" xfId="1" applyFont="1" applyFill="1" applyBorder="1"/>
    <xf numFmtId="0" fontId="3" fillId="2" borderId="8" xfId="1" applyFont="1" applyFill="1" applyBorder="1" applyAlignment="1">
      <alignment horizontal="center"/>
    </xf>
    <xf numFmtId="0" fontId="3" fillId="2" borderId="24" xfId="1" applyFont="1" applyFill="1" applyBorder="1" applyAlignment="1">
      <alignment horizontal="center"/>
    </xf>
    <xf numFmtId="0" fontId="0" fillId="5" borderId="0" xfId="0" applyFill="1" applyAlignment="1">
      <alignment wrapText="1"/>
    </xf>
    <xf numFmtId="165" fontId="6" fillId="0" borderId="23" xfId="2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43" fontId="3" fillId="3" borderId="1" xfId="3" applyFont="1" applyFill="1" applyBorder="1"/>
    <xf numFmtId="1" fontId="3" fillId="0" borderId="1" xfId="0" applyNumberFormat="1" applyFont="1" applyBorder="1"/>
    <xf numFmtId="166" fontId="3" fillId="0" borderId="15" xfId="3" applyNumberFormat="1" applyFont="1" applyFill="1" applyBorder="1"/>
    <xf numFmtId="166" fontId="3" fillId="0" borderId="16" xfId="3" applyNumberFormat="1" applyFont="1" applyFill="1" applyBorder="1"/>
    <xf numFmtId="2" fontId="3" fillId="0" borderId="15" xfId="0" applyNumberFormat="1" applyFont="1" applyBorder="1"/>
    <xf numFmtId="43" fontId="0" fillId="0" borderId="1" xfId="3" applyFont="1" applyFill="1" applyBorder="1"/>
    <xf numFmtId="43" fontId="3" fillId="0" borderId="1" xfId="3" applyFont="1" applyFill="1" applyBorder="1"/>
    <xf numFmtId="3" fontId="0" fillId="0" borderId="1" xfId="0" applyNumberFormat="1" applyBorder="1"/>
    <xf numFmtId="167" fontId="3" fillId="0" borderId="1" xfId="3" applyNumberFormat="1" applyFont="1" applyFill="1" applyBorder="1"/>
    <xf numFmtId="10" fontId="0" fillId="0" borderId="1" xfId="2" applyNumberFormat="1" applyFont="1" applyFill="1" applyBorder="1"/>
    <xf numFmtId="9" fontId="0" fillId="0" borderId="7" xfId="2" applyFont="1" applyFill="1" applyBorder="1"/>
    <xf numFmtId="10" fontId="3" fillId="3" borderId="16" xfId="2" applyNumberFormat="1" applyFont="1" applyFill="1" applyBorder="1"/>
    <xf numFmtId="9" fontId="0" fillId="3" borderId="16" xfId="2" applyFont="1" applyFill="1" applyBorder="1"/>
    <xf numFmtId="0" fontId="3" fillId="7" borderId="10" xfId="0" applyFont="1" applyFill="1" applyBorder="1" applyAlignment="1">
      <alignment horizontal="center"/>
    </xf>
    <xf numFmtId="0" fontId="3" fillId="7" borderId="11" xfId="0" applyFont="1" applyFill="1" applyBorder="1" applyAlignment="1">
      <alignment horizontal="center"/>
    </xf>
    <xf numFmtId="0" fontId="3" fillId="7" borderId="12" xfId="0" applyFont="1" applyFill="1" applyBorder="1" applyAlignment="1">
      <alignment horizontal="center"/>
    </xf>
    <xf numFmtId="0" fontId="3" fillId="7" borderId="13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/>
    </xf>
    <xf numFmtId="0" fontId="3" fillId="7" borderId="21" xfId="0" applyFont="1" applyFill="1" applyBorder="1" applyAlignment="1">
      <alignment horizontal="center"/>
    </xf>
    <xf numFmtId="0" fontId="3" fillId="7" borderId="19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4" fontId="11" fillId="0" borderId="0" xfId="0" applyNumberFormat="1" applyFont="1"/>
    <xf numFmtId="0" fontId="3" fillId="2" borderId="25" xfId="1" applyFont="1" applyFill="1" applyBorder="1" applyAlignment="1">
      <alignment horizontal="center"/>
    </xf>
    <xf numFmtId="166" fontId="3" fillId="0" borderId="26" xfId="3" applyNumberFormat="1" applyFont="1" applyFill="1" applyBorder="1"/>
    <xf numFmtId="166" fontId="0" fillId="0" borderId="26" xfId="3" applyNumberFormat="1" applyFont="1" applyFill="1" applyBorder="1"/>
    <xf numFmtId="166" fontId="3" fillId="3" borderId="26" xfId="3" applyNumberFormat="1" applyFont="1" applyFill="1" applyBorder="1"/>
    <xf numFmtId="165" fontId="6" fillId="3" borderId="26" xfId="2" applyNumberFormat="1" applyFont="1" applyFill="1" applyBorder="1" applyAlignment="1">
      <alignment horizontal="right"/>
    </xf>
    <xf numFmtId="166" fontId="9" fillId="0" borderId="26" xfId="3" applyNumberFormat="1" applyFont="1" applyFill="1" applyBorder="1"/>
    <xf numFmtId="166" fontId="0" fillId="0" borderId="26" xfId="3" applyNumberFormat="1" applyFont="1" applyFill="1" applyBorder="1" applyAlignment="1">
      <alignment horizontal="right"/>
    </xf>
    <xf numFmtId="10" fontId="3" fillId="3" borderId="26" xfId="2" applyNumberFormat="1" applyFont="1" applyFill="1" applyBorder="1"/>
    <xf numFmtId="166" fontId="9" fillId="0" borderId="1" xfId="3" applyNumberFormat="1" applyFont="1" applyFill="1" applyBorder="1"/>
    <xf numFmtId="166" fontId="0" fillId="0" borderId="1" xfId="3" applyNumberFormat="1" applyFont="1" applyFill="1" applyBorder="1" applyAlignment="1">
      <alignment horizontal="right"/>
    </xf>
    <xf numFmtId="9" fontId="0" fillId="3" borderId="26" xfId="2" applyFont="1" applyFill="1" applyBorder="1"/>
    <xf numFmtId="10" fontId="6" fillId="3" borderId="26" xfId="2" applyNumberFormat="1" applyFont="1" applyFill="1" applyBorder="1"/>
    <xf numFmtId="2" fontId="3" fillId="0" borderId="26" xfId="0" applyNumberFormat="1" applyFont="1" applyBorder="1"/>
    <xf numFmtId="165" fontId="6" fillId="3" borderId="28" xfId="2" applyNumberFormat="1" applyFont="1" applyFill="1" applyBorder="1" applyAlignment="1">
      <alignment horizontal="right"/>
    </xf>
    <xf numFmtId="0" fontId="0" fillId="0" borderId="27" xfId="0" applyBorder="1"/>
    <xf numFmtId="0" fontId="3" fillId="7" borderId="18" xfId="0" applyFont="1" applyFill="1" applyBorder="1" applyAlignment="1">
      <alignment horizontal="center"/>
    </xf>
    <xf numFmtId="0" fontId="3" fillId="7" borderId="29" xfId="0" applyFont="1" applyFill="1" applyBorder="1" applyAlignment="1">
      <alignment horizontal="center"/>
    </xf>
    <xf numFmtId="0" fontId="3" fillId="7" borderId="30" xfId="0" applyFont="1" applyFill="1" applyBorder="1" applyAlignment="1">
      <alignment horizontal="center"/>
    </xf>
    <xf numFmtId="0" fontId="3" fillId="0" borderId="8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166" fontId="0" fillId="0" borderId="31" xfId="3" applyNumberFormat="1" applyFont="1" applyBorder="1"/>
    <xf numFmtId="166" fontId="0" fillId="0" borderId="26" xfId="3" applyNumberFormat="1" applyFont="1" applyBorder="1"/>
    <xf numFmtId="0" fontId="10" fillId="0" borderId="33" xfId="0" applyFont="1" applyBorder="1" applyAlignment="1">
      <alignment horizontal="right"/>
    </xf>
    <xf numFmtId="0" fontId="0" fillId="0" borderId="32" xfId="0" applyBorder="1"/>
  </cellXfs>
  <cellStyles count="7">
    <cellStyle name="Comma" xfId="3" builtinId="3"/>
    <cellStyle name="Comma 2" xfId="4" xr:uid="{00000000-0005-0000-0000-000001000000}"/>
    <cellStyle name="Comma 2 2" xfId="6" xr:uid="{00000000-0005-0000-0000-000002000000}"/>
    <cellStyle name="Comma 3" xfId="5" xr:uid="{00000000-0005-0000-0000-000003000000}"/>
    <cellStyle name="Normal" xfId="0" builtinId="0"/>
    <cellStyle name="Percent" xfId="2" builtinId="5"/>
    <cellStyle name="Style 1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4"/>
  <sheetViews>
    <sheetView tabSelected="1" topLeftCell="A52" zoomScale="85" zoomScaleNormal="85" zoomScaleSheetLayoutView="91" workbookViewId="0">
      <selection activeCell="J58" sqref="J58"/>
    </sheetView>
  </sheetViews>
  <sheetFormatPr defaultColWidth="8.5703125" defaultRowHeight="15"/>
  <cols>
    <col min="1" max="1" width="70.85546875" customWidth="1"/>
    <col min="2" max="2" width="14.5703125" bestFit="1" customWidth="1"/>
    <col min="3" max="4" width="14.5703125" customWidth="1"/>
    <col min="5" max="5" width="14.5703125" bestFit="1" customWidth="1"/>
    <col min="6" max="6" width="14.42578125" bestFit="1" customWidth="1"/>
    <col min="7" max="7" width="14.42578125" customWidth="1"/>
    <col min="8" max="8" width="14.42578125" bestFit="1" customWidth="1"/>
    <col min="9" max="9" width="14.42578125" customWidth="1"/>
    <col min="10" max="10" width="15.5703125" customWidth="1"/>
    <col min="11" max="11" width="1.42578125" customWidth="1"/>
    <col min="12" max="12" width="48.5703125" customWidth="1"/>
    <col min="13" max="13" width="10.5703125" hidden="1" customWidth="1"/>
    <col min="14" max="14" width="0.42578125" customWidth="1"/>
    <col min="15" max="18" width="10.5703125" bestFit="1" customWidth="1"/>
    <col min="19" max="19" width="10.5703125" customWidth="1"/>
    <col min="20" max="20" width="10.5703125" bestFit="1" customWidth="1"/>
    <col min="21" max="21" width="13.85546875" customWidth="1"/>
  </cols>
  <sheetData>
    <row r="1" spans="1:22" ht="15.75" thickBot="1"/>
    <row r="2" spans="1:22" ht="15.75" thickBot="1">
      <c r="A2" s="108" t="s">
        <v>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10"/>
    </row>
    <row r="3" spans="1:22" ht="15.75" thickBot="1"/>
    <row r="4" spans="1:22" ht="15.75" thickBot="1">
      <c r="A4" s="108" t="s">
        <v>1</v>
      </c>
      <c r="B4" s="109"/>
      <c r="C4" s="109"/>
      <c r="D4" s="109"/>
      <c r="E4" s="109"/>
      <c r="F4" s="109"/>
      <c r="G4" s="109"/>
      <c r="H4" s="109"/>
      <c r="I4" s="109"/>
      <c r="J4" s="110"/>
      <c r="L4" s="111" t="s">
        <v>154</v>
      </c>
      <c r="M4" s="112"/>
      <c r="N4" s="112"/>
      <c r="O4" s="112"/>
      <c r="P4" s="112"/>
      <c r="Q4" s="112"/>
      <c r="R4" s="112"/>
      <c r="S4" s="113"/>
      <c r="T4" s="113"/>
      <c r="U4" s="114"/>
    </row>
    <row r="5" spans="1:22">
      <c r="A5" s="89" t="s">
        <v>28</v>
      </c>
      <c r="B5" s="90" t="s">
        <v>4</v>
      </c>
      <c r="C5" s="90" t="s">
        <v>5</v>
      </c>
      <c r="D5" s="90" t="s">
        <v>6</v>
      </c>
      <c r="E5" s="90" t="s">
        <v>184</v>
      </c>
      <c r="F5" s="90" t="s">
        <v>185</v>
      </c>
      <c r="G5" s="91" t="s">
        <v>205</v>
      </c>
      <c r="H5" s="90" t="s">
        <v>210</v>
      </c>
      <c r="I5" s="119" t="s">
        <v>212</v>
      </c>
      <c r="L5" s="46" t="s">
        <v>2</v>
      </c>
      <c r="M5" s="68" t="s">
        <v>117</v>
      </c>
      <c r="N5" s="47" t="s">
        <v>3</v>
      </c>
      <c r="O5" s="47" t="s">
        <v>4</v>
      </c>
      <c r="P5" s="47" t="s">
        <v>5</v>
      </c>
      <c r="Q5" s="47" t="s">
        <v>6</v>
      </c>
      <c r="R5" s="47" t="s">
        <v>184</v>
      </c>
      <c r="S5" s="85" t="s">
        <v>185</v>
      </c>
      <c r="T5" s="85" t="s">
        <v>205</v>
      </c>
      <c r="U5" s="85" t="s">
        <v>209</v>
      </c>
    </row>
    <row r="6" spans="1:22">
      <c r="A6" s="24" t="s">
        <v>7</v>
      </c>
      <c r="B6" s="18">
        <v>10987.022999999999</v>
      </c>
      <c r="C6" s="18">
        <v>13425.268</v>
      </c>
      <c r="D6" s="18">
        <v>11562.296</v>
      </c>
      <c r="E6" s="18">
        <v>12271.53</v>
      </c>
      <c r="F6" s="72">
        <v>16295.8</v>
      </c>
      <c r="G6" s="97">
        <v>21596.799999999999</v>
      </c>
      <c r="H6" s="72">
        <v>29138</v>
      </c>
      <c r="I6" s="120">
        <v>7343</v>
      </c>
      <c r="L6" s="25" t="s">
        <v>40</v>
      </c>
      <c r="M6" s="19">
        <v>197.88</v>
      </c>
      <c r="N6" s="19">
        <v>234.64599999999999</v>
      </c>
      <c r="O6" s="19">
        <v>234.64599999999999</v>
      </c>
      <c r="P6" s="19">
        <v>234.64599999999999</v>
      </c>
      <c r="Q6" s="19">
        <v>226.96600000000001</v>
      </c>
      <c r="R6" s="19">
        <v>227</v>
      </c>
      <c r="S6" s="19">
        <v>238.2</v>
      </c>
      <c r="T6" s="2">
        <v>238</v>
      </c>
      <c r="U6" s="71">
        <v>238.2</v>
      </c>
    </row>
    <row r="7" spans="1:22">
      <c r="A7" s="25" t="s">
        <v>18</v>
      </c>
      <c r="B7" s="19">
        <v>79.513000000000005</v>
      </c>
      <c r="C7" s="19">
        <v>97.066999999999993</v>
      </c>
      <c r="D7" s="19">
        <v>41.488999999999997</v>
      </c>
      <c r="E7" s="19">
        <v>153.06</v>
      </c>
      <c r="F7" s="71">
        <v>108</v>
      </c>
      <c r="G7" s="74">
        <v>411.2</v>
      </c>
      <c r="H7" s="71">
        <v>771</v>
      </c>
      <c r="I7" s="121">
        <v>276</v>
      </c>
      <c r="L7" s="25" t="s">
        <v>41</v>
      </c>
      <c r="M7" s="19">
        <v>2717.3919999999998</v>
      </c>
      <c r="N7" s="19">
        <v>2956.4349999999999</v>
      </c>
      <c r="O7" s="19">
        <v>3586.8150000000001</v>
      </c>
      <c r="P7" s="19">
        <v>4140.8320000000003</v>
      </c>
      <c r="Q7" s="19">
        <v>4199.4210000000003</v>
      </c>
      <c r="R7" s="43">
        <v>5005</v>
      </c>
      <c r="S7" s="86">
        <v>7302.7</v>
      </c>
      <c r="T7" s="2">
        <v>8947.4</v>
      </c>
      <c r="U7" s="43">
        <v>12060.2</v>
      </c>
    </row>
    <row r="8" spans="1:22">
      <c r="A8" s="26" t="s">
        <v>8</v>
      </c>
      <c r="B8" s="20">
        <f t="shared" ref="B8:D8" si="0">B6+B7</f>
        <v>11066.536</v>
      </c>
      <c r="C8" s="20">
        <f t="shared" si="0"/>
        <v>13522.334999999999</v>
      </c>
      <c r="D8" s="20">
        <f t="shared" si="0"/>
        <v>11603.785</v>
      </c>
      <c r="E8" s="20">
        <f>E6+E7</f>
        <v>12424.59</v>
      </c>
      <c r="F8" s="20">
        <f>F6+F7</f>
        <v>16403.8</v>
      </c>
      <c r="G8" s="75">
        <f>G6+G7</f>
        <v>22008</v>
      </c>
      <c r="H8" s="20">
        <f>H6+H7</f>
        <v>29909</v>
      </c>
      <c r="I8" s="122">
        <f>I6+I7</f>
        <v>7619</v>
      </c>
      <c r="L8" s="26" t="s">
        <v>74</v>
      </c>
      <c r="M8" s="20">
        <f t="shared" ref="M8:U8" si="1">SUM(M6:M7)</f>
        <v>2915.2719999999999</v>
      </c>
      <c r="N8" s="20">
        <f t="shared" si="1"/>
        <v>3191.0810000000001</v>
      </c>
      <c r="O8" s="20">
        <f t="shared" si="1"/>
        <v>3821.4610000000002</v>
      </c>
      <c r="P8" s="20">
        <f t="shared" si="1"/>
        <v>4375.4780000000001</v>
      </c>
      <c r="Q8" s="20">
        <f t="shared" si="1"/>
        <v>4426.3870000000006</v>
      </c>
      <c r="R8" s="20">
        <f t="shared" si="1"/>
        <v>5232</v>
      </c>
      <c r="S8" s="20">
        <f t="shared" si="1"/>
        <v>7540.9</v>
      </c>
      <c r="T8" s="20">
        <f t="shared" si="1"/>
        <v>9185.4</v>
      </c>
      <c r="U8" s="20">
        <f t="shared" si="1"/>
        <v>12298.400000000001</v>
      </c>
    </row>
    <row r="9" spans="1:22">
      <c r="A9" s="29" t="s">
        <v>9</v>
      </c>
      <c r="B9" s="30"/>
      <c r="C9" s="30">
        <f t="shared" ref="C9" si="2">+C8/B8-1</f>
        <v>0.22191216836054206</v>
      </c>
      <c r="D9" s="30">
        <f t="shared" ref="D9:E9" si="3">+D8/C8-1</f>
        <v>-0.14188008210120506</v>
      </c>
      <c r="E9" s="30">
        <f t="shared" si="3"/>
        <v>7.0735971064613823E-2</v>
      </c>
      <c r="F9" s="30">
        <f>+F8/E8-1</f>
        <v>0.32026891833050408</v>
      </c>
      <c r="G9" s="79">
        <f>+G8/F8-1</f>
        <v>0.34164035162584283</v>
      </c>
      <c r="H9" s="30">
        <f>+H8/G8-1</f>
        <v>0.35900581606688475</v>
      </c>
      <c r="I9" s="123"/>
      <c r="L9" s="25" t="s">
        <v>42</v>
      </c>
      <c r="M9" s="19">
        <v>4.13</v>
      </c>
      <c r="N9" s="19">
        <v>3.39</v>
      </c>
      <c r="O9" s="19">
        <v>3.0790000000000002</v>
      </c>
      <c r="P9" s="19">
        <v>2.9</v>
      </c>
      <c r="Q9" s="19">
        <v>3.0209999999999999</v>
      </c>
      <c r="R9" s="19">
        <v>3</v>
      </c>
      <c r="S9" s="19">
        <v>2</v>
      </c>
      <c r="T9" s="42">
        <v>16.2</v>
      </c>
      <c r="U9" s="71">
        <v>16.600000000000001</v>
      </c>
      <c r="V9" s="87"/>
    </row>
    <row r="10" spans="1:22">
      <c r="A10" s="29" t="s">
        <v>10</v>
      </c>
      <c r="B10" s="35"/>
      <c r="C10" s="30"/>
      <c r="D10" s="30"/>
      <c r="E10" s="30">
        <f>+((E8/B8)^(1/3)-1)</f>
        <v>3.9337957542778579E-2</v>
      </c>
      <c r="F10" s="30">
        <f t="shared" ref="F10:H10" si="4">+((F8/C8)^(1/3)-1)</f>
        <v>6.6508345649752165E-2</v>
      </c>
      <c r="G10" s="30">
        <f t="shared" si="4"/>
        <v>0.23782799714898761</v>
      </c>
      <c r="H10" s="30">
        <f t="shared" si="4"/>
        <v>0.34021130031365043</v>
      </c>
      <c r="I10" s="123"/>
      <c r="L10" s="25" t="s">
        <v>75</v>
      </c>
      <c r="M10" s="19">
        <v>317.31900000000002</v>
      </c>
      <c r="N10" s="19">
        <v>541.88300000000004</v>
      </c>
      <c r="O10" s="19">
        <v>636.74099999999999</v>
      </c>
      <c r="P10" s="19">
        <v>372.517</v>
      </c>
      <c r="Q10" s="19">
        <v>294.62099999999998</v>
      </c>
      <c r="R10" s="19">
        <v>202</v>
      </c>
      <c r="S10" s="19">
        <v>0</v>
      </c>
      <c r="T10" s="2"/>
      <c r="U10" s="71">
        <v>0</v>
      </c>
    </row>
    <row r="11" spans="1:22">
      <c r="A11" s="26" t="s">
        <v>11</v>
      </c>
      <c r="B11" s="20">
        <f t="shared" ref="B11:E11" si="5">SUM(B12:B18)</f>
        <v>10071.977999999997</v>
      </c>
      <c r="C11" s="20">
        <f t="shared" si="5"/>
        <v>12447.538</v>
      </c>
      <c r="D11" s="20">
        <f t="shared" si="5"/>
        <v>10646.757000000001</v>
      </c>
      <c r="E11" s="20">
        <f t="shared" si="5"/>
        <v>11081.699999999999</v>
      </c>
      <c r="F11" s="20">
        <f>SUM(F12:F19)</f>
        <v>14781.300000000001</v>
      </c>
      <c r="G11" s="75">
        <f>SUM(G12:G19)</f>
        <v>19387.599999999999</v>
      </c>
      <c r="H11" s="20">
        <f>SUM(H12:H19)</f>
        <v>25105.5</v>
      </c>
      <c r="I11" s="122">
        <f>SUM(I12:I19)</f>
        <v>6357</v>
      </c>
      <c r="L11" s="25" t="s">
        <v>76</v>
      </c>
      <c r="M11" s="19">
        <v>858.25300000000004</v>
      </c>
      <c r="N11" s="19">
        <v>824.23699999999997</v>
      </c>
      <c r="O11" s="19">
        <v>5.7430000000000003</v>
      </c>
      <c r="P11" s="19">
        <v>66.486000000000004</v>
      </c>
      <c r="Q11" s="19">
        <v>446.68599999999998</v>
      </c>
      <c r="R11" s="19">
        <v>341</v>
      </c>
      <c r="S11" s="19">
        <v>292</v>
      </c>
      <c r="T11" s="2">
        <v>62</v>
      </c>
      <c r="U11" s="100">
        <v>38.799999999999997</v>
      </c>
    </row>
    <row r="12" spans="1:22">
      <c r="A12" s="25" t="s">
        <v>12</v>
      </c>
      <c r="B12" s="19">
        <v>7665.6629999999996</v>
      </c>
      <c r="C12" s="19">
        <v>10116.189</v>
      </c>
      <c r="D12" s="19">
        <v>8096.4009999999998</v>
      </c>
      <c r="E12" s="19">
        <v>9831.14</v>
      </c>
      <c r="F12" s="71">
        <v>11898.7</v>
      </c>
      <c r="G12" s="74">
        <v>15799.5</v>
      </c>
      <c r="H12" s="127">
        <v>20731.2</v>
      </c>
      <c r="I12" s="124">
        <v>5449</v>
      </c>
      <c r="L12" s="26" t="s">
        <v>77</v>
      </c>
      <c r="M12" s="20">
        <f t="shared" ref="M12:T12" si="6">M10+M11</f>
        <v>1175.5720000000001</v>
      </c>
      <c r="N12" s="20">
        <f t="shared" si="6"/>
        <v>1366.12</v>
      </c>
      <c r="O12" s="20">
        <f t="shared" si="6"/>
        <v>642.48400000000004</v>
      </c>
      <c r="P12" s="20">
        <f t="shared" si="6"/>
        <v>439.00299999999999</v>
      </c>
      <c r="Q12" s="20">
        <f t="shared" si="6"/>
        <v>741.30700000000002</v>
      </c>
      <c r="R12" s="20">
        <f t="shared" si="6"/>
        <v>543</v>
      </c>
      <c r="S12" s="20">
        <f t="shared" si="6"/>
        <v>292</v>
      </c>
      <c r="T12" s="20">
        <f t="shared" si="6"/>
        <v>62</v>
      </c>
      <c r="U12" s="20">
        <f>U10+U11</f>
        <v>38.799999999999997</v>
      </c>
    </row>
    <row r="13" spans="1:22">
      <c r="A13" s="25" t="s">
        <v>29</v>
      </c>
      <c r="B13" s="19">
        <v>38.783999999999999</v>
      </c>
      <c r="C13" s="19">
        <v>150.93700000000001</v>
      </c>
      <c r="D13" s="19">
        <v>163.50800000000001</v>
      </c>
      <c r="E13" s="19">
        <v>60.6</v>
      </c>
      <c r="F13" s="71">
        <v>25.1</v>
      </c>
      <c r="G13" s="74">
        <v>0</v>
      </c>
      <c r="H13" s="128" t="s">
        <v>207</v>
      </c>
      <c r="I13" s="125" t="s">
        <v>207</v>
      </c>
      <c r="L13" s="26" t="s">
        <v>78</v>
      </c>
      <c r="M13" s="20">
        <f t="shared" ref="M13:N13" si="7">+M8+M9+M20+M21+M10</f>
        <v>3335.8420000000001</v>
      </c>
      <c r="N13" s="20">
        <f t="shared" si="7"/>
        <v>3848.4470000000001</v>
      </c>
      <c r="O13" s="20">
        <f t="shared" ref="O13:R13" si="8">+O8+O9+O20+O21+O10</f>
        <v>4663.8350000000009</v>
      </c>
      <c r="P13" s="20">
        <f t="shared" si="8"/>
        <v>4932.8309999999992</v>
      </c>
      <c r="Q13" s="20">
        <f t="shared" si="8"/>
        <v>4900.6330000000007</v>
      </c>
      <c r="R13" s="20">
        <f t="shared" si="8"/>
        <v>5616</v>
      </c>
      <c r="S13" s="20">
        <f>+S8+S9+S20+S21+S10+S19</f>
        <v>7713.2</v>
      </c>
      <c r="T13" s="95">
        <f>+T8+T9+T20+T21+T10+T19</f>
        <v>9368.5</v>
      </c>
      <c r="U13" s="20">
        <f>+U8+U9+U20+U21+U10+U19</f>
        <v>12446.400000000003</v>
      </c>
    </row>
    <row r="14" spans="1:22">
      <c r="A14" s="31" t="s">
        <v>30</v>
      </c>
      <c r="B14" s="19">
        <v>-26.536999999999999</v>
      </c>
      <c r="C14" s="19">
        <v>-470.065</v>
      </c>
      <c r="D14" s="19">
        <v>-314.964</v>
      </c>
      <c r="E14" s="19">
        <v>-272.10000000000002</v>
      </c>
      <c r="F14" s="71">
        <v>-212.7</v>
      </c>
      <c r="G14" s="74">
        <v>-444</v>
      </c>
      <c r="H14" s="71">
        <v>-503</v>
      </c>
      <c r="I14" s="121">
        <v>-313</v>
      </c>
      <c r="L14" s="26" t="s">
        <v>78</v>
      </c>
      <c r="M14" s="20">
        <f t="shared" ref="M14:U14" si="9">M60-M32-M11</f>
        <v>3335.8420000000001</v>
      </c>
      <c r="N14" s="20">
        <f t="shared" si="9"/>
        <v>3848.4469999999992</v>
      </c>
      <c r="O14" s="20">
        <f t="shared" si="9"/>
        <v>4663.8349999999991</v>
      </c>
      <c r="P14" s="20">
        <f t="shared" si="9"/>
        <v>4932.8309999999992</v>
      </c>
      <c r="Q14" s="20">
        <f t="shared" si="9"/>
        <v>4900.6329999999989</v>
      </c>
      <c r="R14" s="20">
        <f t="shared" si="9"/>
        <v>5617.4700000000012</v>
      </c>
      <c r="S14" s="20">
        <f t="shared" si="9"/>
        <v>7713.9000000000005</v>
      </c>
      <c r="T14" s="95">
        <f t="shared" si="9"/>
        <v>9368</v>
      </c>
      <c r="U14" s="20">
        <f t="shared" si="9"/>
        <v>12446.399999999998</v>
      </c>
    </row>
    <row r="15" spans="1:22">
      <c r="A15" s="31" t="s">
        <v>31</v>
      </c>
      <c r="B15" s="19">
        <v>121.54300000000001</v>
      </c>
      <c r="C15" s="19"/>
      <c r="D15" s="19"/>
      <c r="E15" s="19"/>
      <c r="F15" s="71"/>
      <c r="G15" s="74"/>
      <c r="H15" s="71"/>
      <c r="I15" s="121"/>
      <c r="L15" s="24"/>
      <c r="M15" s="3"/>
      <c r="N15" s="3"/>
      <c r="O15" s="3"/>
      <c r="P15" s="3"/>
      <c r="Q15" s="3"/>
      <c r="R15" s="3"/>
      <c r="S15" s="96"/>
      <c r="T15" s="2"/>
      <c r="U15" s="3"/>
    </row>
    <row r="16" spans="1:22">
      <c r="A16" s="25" t="s">
        <v>13</v>
      </c>
      <c r="B16" s="19">
        <v>676.76800000000003</v>
      </c>
      <c r="C16" s="19">
        <v>751.07299999999998</v>
      </c>
      <c r="D16" s="19">
        <v>856.93299999999999</v>
      </c>
      <c r="E16" s="19">
        <v>721.66</v>
      </c>
      <c r="F16" s="71">
        <v>848.1</v>
      </c>
      <c r="G16" s="74">
        <v>997.6</v>
      </c>
      <c r="H16" s="71">
        <v>1206.5999999999999</v>
      </c>
      <c r="I16" s="121">
        <v>316</v>
      </c>
      <c r="L16" s="24" t="s">
        <v>43</v>
      </c>
      <c r="M16" s="1"/>
      <c r="N16" s="2"/>
      <c r="O16" s="2"/>
      <c r="P16" s="41"/>
      <c r="Q16" s="41"/>
      <c r="R16" s="42"/>
      <c r="S16" s="42"/>
      <c r="T16" s="2"/>
      <c r="U16" s="42"/>
    </row>
    <row r="17" spans="1:21">
      <c r="A17" s="25" t="s">
        <v>32</v>
      </c>
      <c r="B17" s="19"/>
      <c r="C17" s="19"/>
      <c r="D17" s="19"/>
      <c r="E17" s="19"/>
      <c r="F17" s="71"/>
      <c r="G17" s="74"/>
      <c r="H17" s="71"/>
      <c r="I17" s="121"/>
      <c r="L17" s="25" t="s">
        <v>44</v>
      </c>
      <c r="M17" s="2"/>
      <c r="N17" s="2"/>
      <c r="O17" s="2"/>
      <c r="P17" s="41"/>
      <c r="Q17" s="41"/>
      <c r="R17" s="42"/>
      <c r="S17" s="42"/>
      <c r="T17" s="2"/>
      <c r="U17" s="42"/>
    </row>
    <row r="18" spans="1:21">
      <c r="A18" s="25" t="s">
        <v>14</v>
      </c>
      <c r="B18" s="19">
        <v>1595.7570000000001</v>
      </c>
      <c r="C18" s="19">
        <v>1899.404</v>
      </c>
      <c r="D18" s="19">
        <v>1844.8789999999999</v>
      </c>
      <c r="E18" s="19">
        <v>740.4</v>
      </c>
      <c r="F18" s="71">
        <v>2184.9</v>
      </c>
      <c r="G18" s="74">
        <v>2815.7</v>
      </c>
      <c r="H18" s="71">
        <v>3518.4</v>
      </c>
      <c r="I18" s="121">
        <v>903</v>
      </c>
      <c r="L18" s="25" t="s">
        <v>45</v>
      </c>
      <c r="M18" s="2"/>
      <c r="N18" s="2"/>
      <c r="O18" s="2"/>
      <c r="P18" s="41"/>
      <c r="Q18" s="41"/>
      <c r="R18" s="42"/>
      <c r="S18" s="42"/>
      <c r="T18" s="2"/>
      <c r="U18" s="42"/>
    </row>
    <row r="19" spans="1:21">
      <c r="A19" t="s">
        <v>206</v>
      </c>
      <c r="B19" s="19"/>
      <c r="C19" s="19"/>
      <c r="D19" s="19"/>
      <c r="E19" s="19"/>
      <c r="F19" s="71">
        <v>37.200000000000003</v>
      </c>
      <c r="G19" s="74">
        <v>218.8</v>
      </c>
      <c r="H19" s="71">
        <v>152.30000000000001</v>
      </c>
      <c r="I19" s="121">
        <v>2</v>
      </c>
      <c r="L19" s="25" t="s">
        <v>201</v>
      </c>
      <c r="M19" s="2"/>
      <c r="N19" s="2"/>
      <c r="O19" s="2"/>
      <c r="P19" s="41"/>
      <c r="Q19" s="41"/>
      <c r="R19" s="42">
        <v>1</v>
      </c>
      <c r="S19" s="42">
        <v>12.5</v>
      </c>
      <c r="T19" s="42">
        <v>6.9</v>
      </c>
      <c r="U19" s="42">
        <v>2.2000000000000002</v>
      </c>
    </row>
    <row r="20" spans="1:21">
      <c r="A20" s="26" t="s">
        <v>15</v>
      </c>
      <c r="B20" s="20">
        <f t="shared" ref="B20:F20" si="10">B8-B11</f>
        <v>994.55800000000272</v>
      </c>
      <c r="C20" s="20">
        <f t="shared" si="10"/>
        <v>1074.7969999999987</v>
      </c>
      <c r="D20" s="20">
        <f t="shared" si="10"/>
        <v>957.02799999999843</v>
      </c>
      <c r="E20" s="20">
        <f t="shared" si="10"/>
        <v>1342.8900000000012</v>
      </c>
      <c r="F20" s="20">
        <f t="shared" si="10"/>
        <v>1622.4999999999982</v>
      </c>
      <c r="G20" s="75">
        <f>G8-G11</f>
        <v>2620.4000000000015</v>
      </c>
      <c r="H20" s="20">
        <f>H8-H11</f>
        <v>4803.5</v>
      </c>
      <c r="I20" s="122">
        <f>I8-I11</f>
        <v>1262</v>
      </c>
      <c r="L20" s="25" t="s">
        <v>46</v>
      </c>
      <c r="M20" s="19">
        <v>12.811</v>
      </c>
      <c r="N20" s="19">
        <v>70.573999999999998</v>
      </c>
      <c r="O20" s="19">
        <v>115.13</v>
      </c>
      <c r="P20" s="19">
        <v>26.026</v>
      </c>
      <c r="Q20" s="19">
        <v>34.758000000000003</v>
      </c>
      <c r="R20" s="19">
        <v>19</v>
      </c>
      <c r="S20" s="19">
        <v>22.8</v>
      </c>
      <c r="T20" s="42">
        <v>26.6</v>
      </c>
      <c r="U20" s="71">
        <v>32.200000000000003</v>
      </c>
    </row>
    <row r="21" spans="1:21">
      <c r="A21" s="29" t="s">
        <v>9</v>
      </c>
      <c r="B21" s="30"/>
      <c r="C21" s="30">
        <f>+C20/B20-1</f>
        <v>8.0678049947811692E-2</v>
      </c>
      <c r="D21" s="30">
        <f t="shared" ref="D21" si="11">+D20/C20-1</f>
        <v>-0.10957324964621262</v>
      </c>
      <c r="E21" s="30">
        <f t="shared" ref="E21" si="12">+E20/D20-1</f>
        <v>0.40318778551934065</v>
      </c>
      <c r="F21" s="30">
        <f>+F20/E20-1</f>
        <v>0.20821511814072391</v>
      </c>
      <c r="G21" s="79">
        <f>+G20/F20-1</f>
        <v>0.61503852080123544</v>
      </c>
      <c r="H21" s="30">
        <f>+H20/G20-1</f>
        <v>0.8331170813616231</v>
      </c>
      <c r="I21" s="123"/>
      <c r="L21" s="25" t="s">
        <v>47</v>
      </c>
      <c r="M21" s="19">
        <v>86.31</v>
      </c>
      <c r="N21" s="19">
        <v>41.518999999999998</v>
      </c>
      <c r="O21" s="19">
        <v>87.424000000000007</v>
      </c>
      <c r="P21" s="19">
        <v>155.91</v>
      </c>
      <c r="Q21" s="19">
        <v>141.846</v>
      </c>
      <c r="R21" s="19">
        <v>160</v>
      </c>
      <c r="S21" s="19">
        <v>135</v>
      </c>
      <c r="T21" s="42">
        <v>133.4</v>
      </c>
      <c r="U21" s="71">
        <v>97</v>
      </c>
    </row>
    <row r="22" spans="1:21">
      <c r="A22" s="29" t="s">
        <v>10</v>
      </c>
      <c r="B22" s="35"/>
      <c r="C22" s="30"/>
      <c r="D22" s="30"/>
      <c r="E22" s="30">
        <f>+((E20/B20)^(1/3)-1)</f>
        <v>0.10527439256866233</v>
      </c>
      <c r="F22" s="30">
        <f t="shared" ref="F22:H22" si="13">+((F20/C20)^(1/3)-1)</f>
        <v>0.14714791465743748</v>
      </c>
      <c r="G22" s="30">
        <f t="shared" si="13"/>
        <v>0.39898905085539571</v>
      </c>
      <c r="H22" s="30">
        <f t="shared" si="13"/>
        <v>0.52934611813638788</v>
      </c>
      <c r="I22" s="123"/>
      <c r="J22" s="93"/>
      <c r="L22" s="24" t="s">
        <v>48</v>
      </c>
      <c r="M22" s="18">
        <f t="shared" ref="M22:S22" si="14">SUM(M18:M21)</f>
        <v>99.121000000000009</v>
      </c>
      <c r="N22" s="18">
        <f t="shared" si="14"/>
        <v>112.09299999999999</v>
      </c>
      <c r="O22" s="18">
        <f t="shared" si="14"/>
        <v>202.554</v>
      </c>
      <c r="P22" s="18">
        <f t="shared" si="14"/>
        <v>181.93600000000001</v>
      </c>
      <c r="Q22" s="18">
        <f t="shared" si="14"/>
        <v>176.60400000000001</v>
      </c>
      <c r="R22" s="18">
        <f t="shared" si="14"/>
        <v>180</v>
      </c>
      <c r="S22" s="18">
        <f t="shared" si="14"/>
        <v>170.3</v>
      </c>
      <c r="T22" s="72">
        <f>SUM(T18:T21)</f>
        <v>166.9</v>
      </c>
      <c r="U22" s="72">
        <f>SUM(U18:U21)</f>
        <v>131.4</v>
      </c>
    </row>
    <row r="23" spans="1:21">
      <c r="A23" s="26" t="s">
        <v>16</v>
      </c>
      <c r="B23" s="22">
        <f t="shared" ref="B23:F23" si="15">B20/B8</f>
        <v>8.9870759919816162E-2</v>
      </c>
      <c r="C23" s="22">
        <f t="shared" si="15"/>
        <v>7.9483092232221636E-2</v>
      </c>
      <c r="D23" s="22">
        <f t="shared" si="15"/>
        <v>8.2475502605399736E-2</v>
      </c>
      <c r="E23" s="22">
        <f t="shared" si="15"/>
        <v>0.10808324459801098</v>
      </c>
      <c r="F23" s="22">
        <f t="shared" si="15"/>
        <v>9.8910008656530699E-2</v>
      </c>
      <c r="G23" s="106">
        <f>G20/G8</f>
        <v>0.11906579425663402</v>
      </c>
      <c r="H23" s="22">
        <f>H20/H8</f>
        <v>0.16060383162258851</v>
      </c>
      <c r="I23" s="126">
        <f>I20/I8</f>
        <v>0.16563853524084526</v>
      </c>
      <c r="L23" s="24" t="s">
        <v>49</v>
      </c>
      <c r="M23" s="1"/>
      <c r="N23" s="2"/>
      <c r="O23" s="2"/>
      <c r="P23" s="41"/>
      <c r="Q23" s="41"/>
      <c r="R23" s="42"/>
      <c r="S23" s="42"/>
      <c r="T23" s="2"/>
      <c r="U23" s="42"/>
    </row>
    <row r="24" spans="1:21">
      <c r="A24" s="25" t="s">
        <v>17</v>
      </c>
      <c r="B24" s="19">
        <v>119.348</v>
      </c>
      <c r="C24" s="19">
        <v>117.527</v>
      </c>
      <c r="D24" s="19">
        <v>130.13499999999999</v>
      </c>
      <c r="E24" s="19">
        <v>139.44</v>
      </c>
      <c r="F24" s="71">
        <v>154.1</v>
      </c>
      <c r="G24" s="74">
        <v>180</v>
      </c>
      <c r="H24" s="71">
        <v>232.4</v>
      </c>
      <c r="I24" s="121">
        <v>69</v>
      </c>
      <c r="L24" s="25" t="s">
        <v>50</v>
      </c>
      <c r="M24" s="2"/>
      <c r="N24" s="2"/>
      <c r="O24" s="2"/>
      <c r="P24" s="41"/>
      <c r="Q24" s="41"/>
      <c r="R24" s="42"/>
      <c r="S24" s="42"/>
      <c r="T24" s="2"/>
      <c r="U24" s="42"/>
    </row>
    <row r="25" spans="1:21">
      <c r="A25" s="25" t="s">
        <v>33</v>
      </c>
      <c r="B25" s="19">
        <v>135.26599999999999</v>
      </c>
      <c r="C25" s="19">
        <v>115.209</v>
      </c>
      <c r="D25" s="19">
        <v>146.59899999999999</v>
      </c>
      <c r="E25" s="19">
        <v>122.32</v>
      </c>
      <c r="F25" s="71">
        <v>95.2</v>
      </c>
      <c r="G25" s="74">
        <v>102.9</v>
      </c>
      <c r="H25" s="71">
        <v>231.7</v>
      </c>
      <c r="I25" s="121">
        <v>73</v>
      </c>
      <c r="L25" s="25" t="s">
        <v>45</v>
      </c>
      <c r="M25" s="2"/>
      <c r="N25" s="2"/>
      <c r="O25" s="2"/>
      <c r="P25" s="41"/>
      <c r="Q25" s="41"/>
      <c r="R25" s="42"/>
      <c r="S25" s="42"/>
      <c r="T25" s="2"/>
      <c r="U25" s="42"/>
    </row>
    <row r="26" spans="1:21">
      <c r="A26" s="25"/>
      <c r="B26" s="19"/>
      <c r="C26" s="19"/>
      <c r="D26" s="19"/>
      <c r="E26" s="19"/>
      <c r="F26" s="71"/>
      <c r="G26" s="74"/>
      <c r="H26" s="71"/>
      <c r="I26" s="121"/>
      <c r="L26" s="25" t="s">
        <v>51</v>
      </c>
      <c r="M26" s="19">
        <v>1168.681</v>
      </c>
      <c r="N26" s="19">
        <v>1129.114</v>
      </c>
      <c r="O26" s="19">
        <v>2359.0329999999999</v>
      </c>
      <c r="P26" s="19">
        <f>107.143+2699.082</f>
        <v>2806.2249999999999</v>
      </c>
      <c r="Q26" s="19">
        <f>449.288+2755.707</f>
        <v>3204.9949999999999</v>
      </c>
      <c r="R26" s="19">
        <v>3306</v>
      </c>
      <c r="S26" s="19">
        <f>4040.2+87</f>
        <v>4127.2</v>
      </c>
      <c r="T26" s="102">
        <v>5009</v>
      </c>
      <c r="U26" s="71">
        <f>860.5+6019</f>
        <v>6879.5</v>
      </c>
    </row>
    <row r="27" spans="1:21">
      <c r="A27" s="26" t="s">
        <v>19</v>
      </c>
      <c r="B27" s="20">
        <f t="shared" ref="B27:D27" si="16">B20-B24-B25+B26</f>
        <v>739.9440000000028</v>
      </c>
      <c r="C27" s="20">
        <f t="shared" si="16"/>
        <v>842.06099999999856</v>
      </c>
      <c r="D27" s="20">
        <f t="shared" si="16"/>
        <v>680.2939999999985</v>
      </c>
      <c r="E27" s="20">
        <f>E20-E24-E25+E26</f>
        <v>1081.1300000000012</v>
      </c>
      <c r="F27" s="20">
        <f>F20-F24-F25+F26</f>
        <v>1373.1999999999982</v>
      </c>
      <c r="G27" s="75">
        <f>G20-G24-G25+G26</f>
        <v>2337.5000000000014</v>
      </c>
      <c r="H27" s="20">
        <f>H20-H24-H25+H26</f>
        <v>4339.4000000000005</v>
      </c>
      <c r="I27" s="122">
        <f>I20-I24-I25+I26</f>
        <v>1120</v>
      </c>
      <c r="L27" s="25" t="s">
        <v>52</v>
      </c>
      <c r="M27" s="19">
        <v>617.91700000000003</v>
      </c>
      <c r="N27" s="19">
        <v>534.01900000000001</v>
      </c>
      <c r="O27" s="19">
        <v>838.90700000000004</v>
      </c>
      <c r="P27" s="19">
        <v>820.52</v>
      </c>
      <c r="Q27" s="19">
        <v>727.43799999999999</v>
      </c>
      <c r="R27" s="19">
        <v>875</v>
      </c>
      <c r="S27" s="19">
        <v>211.6</v>
      </c>
      <c r="T27" s="2">
        <v>231</v>
      </c>
      <c r="U27" s="71">
        <v>414.1</v>
      </c>
    </row>
    <row r="28" spans="1:21">
      <c r="A28" s="26"/>
      <c r="B28" s="20"/>
      <c r="C28" s="20"/>
      <c r="D28" s="20"/>
      <c r="E28" s="20"/>
      <c r="F28" s="20"/>
      <c r="G28" s="75"/>
      <c r="H28" s="20"/>
      <c r="I28" s="122"/>
      <c r="L28" s="25" t="s">
        <v>202</v>
      </c>
      <c r="M28" s="19"/>
      <c r="N28" s="19"/>
      <c r="O28" s="19"/>
      <c r="P28" s="19"/>
      <c r="Q28" s="19"/>
      <c r="R28" s="19">
        <v>2</v>
      </c>
      <c r="S28" s="19">
        <v>5</v>
      </c>
      <c r="T28" s="2">
        <v>6</v>
      </c>
      <c r="U28" s="71">
        <v>3.6</v>
      </c>
    </row>
    <row r="29" spans="1:21">
      <c r="A29" s="24" t="s">
        <v>38</v>
      </c>
      <c r="B29" s="18">
        <f t="shared" ref="B29:D29" si="17">SUM(B30:B33)</f>
        <v>219.792</v>
      </c>
      <c r="C29" s="18">
        <f t="shared" si="17"/>
        <v>281.83199999999999</v>
      </c>
      <c r="D29" s="18">
        <f t="shared" si="17"/>
        <v>155.589</v>
      </c>
      <c r="E29" s="18">
        <f>SUM(E30:E33)</f>
        <v>283.18</v>
      </c>
      <c r="F29" s="72">
        <f>SUM(F30:F33)</f>
        <v>323</v>
      </c>
      <c r="G29" s="98">
        <f>SUM(G30:G33)</f>
        <v>607.59999999999991</v>
      </c>
      <c r="H29" s="72">
        <f>SUM(H30:H33)</f>
        <v>1057.4000000000001</v>
      </c>
      <c r="I29" s="120">
        <f>SUM(I30:I33)</f>
        <v>278</v>
      </c>
      <c r="L29" s="25" t="s">
        <v>53</v>
      </c>
      <c r="M29" s="19">
        <v>39.911999999999999</v>
      </c>
      <c r="N29" s="19">
        <v>134.035</v>
      </c>
      <c r="O29" s="19">
        <v>239.31299999999999</v>
      </c>
      <c r="P29" s="19">
        <v>227.63200000000001</v>
      </c>
      <c r="Q29" s="19">
        <v>232.244</v>
      </c>
      <c r="R29" s="19">
        <v>380</v>
      </c>
      <c r="S29" s="19">
        <v>419</v>
      </c>
      <c r="T29" s="102">
        <v>1296</v>
      </c>
      <c r="U29" s="71">
        <v>1801.4</v>
      </c>
    </row>
    <row r="30" spans="1:21">
      <c r="A30" s="25" t="s">
        <v>34</v>
      </c>
      <c r="B30" s="19">
        <v>206.613</v>
      </c>
      <c r="C30" s="19">
        <v>264.32</v>
      </c>
      <c r="D30" s="19">
        <v>169.32499999999999</v>
      </c>
      <c r="E30" s="19">
        <v>266.99</v>
      </c>
      <c r="F30" s="71">
        <v>347.6</v>
      </c>
      <c r="G30" s="74">
        <v>609.29999999999995</v>
      </c>
      <c r="H30" s="71">
        <v>1099.2</v>
      </c>
      <c r="I30" s="121">
        <v>259</v>
      </c>
      <c r="L30" s="25" t="s">
        <v>54</v>
      </c>
      <c r="M30" s="19">
        <v>73.281000000000006</v>
      </c>
      <c r="N30" s="19">
        <v>12.839</v>
      </c>
      <c r="O30" s="19">
        <v>22.213999999999999</v>
      </c>
      <c r="P30" s="19">
        <v>15.301</v>
      </c>
      <c r="Q30" s="19">
        <v>13.462</v>
      </c>
      <c r="R30" s="19">
        <v>14</v>
      </c>
      <c r="S30" s="19">
        <v>18</v>
      </c>
      <c r="T30" s="2">
        <v>25</v>
      </c>
      <c r="U30" s="71">
        <v>38.1</v>
      </c>
    </row>
    <row r="31" spans="1:21">
      <c r="A31" s="25" t="s">
        <v>35</v>
      </c>
      <c r="B31" s="19">
        <v>13.179</v>
      </c>
      <c r="C31" s="19">
        <v>17.512</v>
      </c>
      <c r="D31" s="19">
        <v>-13.736000000000001</v>
      </c>
      <c r="E31" s="19">
        <v>16.190000000000001</v>
      </c>
      <c r="F31" s="71">
        <v>-24.6</v>
      </c>
      <c r="G31" s="74">
        <v>-1.7</v>
      </c>
      <c r="H31" s="71">
        <v>-41.8</v>
      </c>
      <c r="I31" s="121">
        <v>19</v>
      </c>
      <c r="L31" s="25" t="s">
        <v>55</v>
      </c>
      <c r="M31" s="19"/>
      <c r="N31" s="19">
        <v>0.24299999999999999</v>
      </c>
      <c r="O31" s="19">
        <v>38.790999999999997</v>
      </c>
      <c r="P31" s="19"/>
      <c r="Q31" s="19">
        <v>10.535</v>
      </c>
      <c r="R31" s="19">
        <v>18</v>
      </c>
      <c r="S31" s="19">
        <v>37</v>
      </c>
      <c r="T31" s="2" t="s">
        <v>208</v>
      </c>
      <c r="U31" s="71">
        <v>70.2</v>
      </c>
    </row>
    <row r="32" spans="1:21">
      <c r="A32" s="25" t="s">
        <v>36</v>
      </c>
      <c r="B32" s="19"/>
      <c r="C32" s="19"/>
      <c r="D32" s="19"/>
      <c r="E32" s="19"/>
      <c r="F32" s="71"/>
      <c r="G32" s="74"/>
      <c r="H32" s="71"/>
      <c r="I32" s="121"/>
      <c r="L32" s="26" t="s">
        <v>56</v>
      </c>
      <c r="M32" s="20">
        <f t="shared" ref="M32:T32" si="18">SUM(M25:M31)</f>
        <v>1899.7909999999999</v>
      </c>
      <c r="N32" s="20">
        <f t="shared" si="18"/>
        <v>1810.25</v>
      </c>
      <c r="O32" s="20">
        <f t="shared" si="18"/>
        <v>3498.2580000000003</v>
      </c>
      <c r="P32" s="20">
        <f t="shared" si="18"/>
        <v>3869.6779999999999</v>
      </c>
      <c r="Q32" s="20">
        <f t="shared" si="18"/>
        <v>4188.674</v>
      </c>
      <c r="R32" s="20">
        <f t="shared" si="18"/>
        <v>4595</v>
      </c>
      <c r="S32" s="20">
        <f t="shared" si="18"/>
        <v>4817.8</v>
      </c>
      <c r="T32" s="20">
        <f t="shared" si="18"/>
        <v>6567</v>
      </c>
      <c r="U32" s="95">
        <f>SUM(U25:U31)</f>
        <v>9206.9000000000015</v>
      </c>
    </row>
    <row r="33" spans="1:21">
      <c r="A33" s="25" t="s">
        <v>37</v>
      </c>
      <c r="B33" s="19"/>
      <c r="C33" s="19"/>
      <c r="D33" s="19"/>
      <c r="E33" s="19"/>
      <c r="F33" s="71"/>
      <c r="G33" s="74"/>
      <c r="H33" s="71"/>
      <c r="I33" s="121"/>
      <c r="L33" s="24" t="s">
        <v>57</v>
      </c>
      <c r="M33" s="18">
        <f t="shared" ref="M33:N33" si="19">+M32+M22+M12+M8+M9</f>
        <v>6093.8860000000004</v>
      </c>
      <c r="N33" s="18">
        <f t="shared" si="19"/>
        <v>6482.9340000000002</v>
      </c>
      <c r="O33" s="18">
        <f>+O32+O22+O12+O8+O9</f>
        <v>8167.8360000000002</v>
      </c>
      <c r="P33" s="18">
        <f>+P32+P22+P12+P8+P9</f>
        <v>8868.9950000000008</v>
      </c>
      <c r="Q33" s="18">
        <f>+Q32+Q22+Q12+Q8+Q9</f>
        <v>9535.9930000000022</v>
      </c>
      <c r="R33" s="18">
        <f>+R32+R22+R12+R8+R9</f>
        <v>10553</v>
      </c>
      <c r="S33" s="18">
        <f>+S32+S22+S12+S8+S9</f>
        <v>12823</v>
      </c>
      <c r="T33" s="72">
        <f t="shared" ref="T33" si="20">+T32+T22+T12+T8+T9</f>
        <v>15997.5</v>
      </c>
      <c r="U33" s="101">
        <f>+U32+U22+U12+U8+U9</f>
        <v>21692.1</v>
      </c>
    </row>
    <row r="34" spans="1:21">
      <c r="A34" s="29" t="s">
        <v>20</v>
      </c>
      <c r="B34" s="73">
        <f t="shared" ref="B34:D34" si="21">B29/B27</f>
        <v>0.29703869482014744</v>
      </c>
      <c r="C34" s="73">
        <f t="shared" si="21"/>
        <v>0.33469309230566491</v>
      </c>
      <c r="D34" s="73">
        <f t="shared" si="21"/>
        <v>0.2287084701614307</v>
      </c>
      <c r="E34" s="73">
        <f>E29/E27</f>
        <v>0.26192964768344201</v>
      </c>
      <c r="F34" s="73">
        <f>F29/F27</f>
        <v>0.23521701136032655</v>
      </c>
      <c r="G34" s="107">
        <f>G29/G27</f>
        <v>0.25993582887700517</v>
      </c>
      <c r="H34" s="73">
        <f>H29/H27</f>
        <v>0.24367424067843479</v>
      </c>
      <c r="I34" s="129">
        <f>I29/I27</f>
        <v>0.24821428571428572</v>
      </c>
      <c r="L34" s="24" t="s">
        <v>73</v>
      </c>
      <c r="M34" s="1"/>
      <c r="N34" s="2"/>
      <c r="O34" s="2"/>
      <c r="P34" s="2"/>
      <c r="Q34" s="2"/>
      <c r="R34" s="2"/>
      <c r="S34" s="2"/>
      <c r="T34" s="2"/>
      <c r="U34" s="2"/>
    </row>
    <row r="35" spans="1:21">
      <c r="A35" s="26" t="s">
        <v>21</v>
      </c>
      <c r="B35" s="20">
        <f t="shared" ref="B35:D35" si="22">B27-B29</f>
        <v>520.15200000000277</v>
      </c>
      <c r="C35" s="20">
        <f t="shared" si="22"/>
        <v>560.22899999999856</v>
      </c>
      <c r="D35" s="20">
        <f t="shared" si="22"/>
        <v>524.70499999999856</v>
      </c>
      <c r="E35" s="20">
        <f>E27-E29</f>
        <v>797.95000000000118</v>
      </c>
      <c r="F35" s="20">
        <f>F27-F29</f>
        <v>1050.1999999999982</v>
      </c>
      <c r="G35" s="75">
        <f>G27-G29</f>
        <v>1729.9000000000015</v>
      </c>
      <c r="H35" s="20">
        <f>H27-H29</f>
        <v>3282.0000000000005</v>
      </c>
      <c r="I35" s="122">
        <f>I27-I29</f>
        <v>842</v>
      </c>
      <c r="L35" s="25" t="s">
        <v>58</v>
      </c>
      <c r="M35" s="19">
        <v>2794.7750000000001</v>
      </c>
      <c r="N35" s="19">
        <v>3373.2649999999999</v>
      </c>
      <c r="O35" s="19">
        <v>3212.8989999999999</v>
      </c>
      <c r="P35" s="19">
        <v>3274.67</v>
      </c>
      <c r="Q35" s="19">
        <v>3989.201</v>
      </c>
      <c r="R35" s="19">
        <v>4161.1899999999996</v>
      </c>
      <c r="S35" s="19">
        <v>4355.3</v>
      </c>
      <c r="T35" s="102">
        <v>4723</v>
      </c>
      <c r="U35" s="71">
        <v>5595.4</v>
      </c>
    </row>
    <row r="36" spans="1:21">
      <c r="A36" s="26" t="s">
        <v>22</v>
      </c>
      <c r="B36" s="22">
        <f t="shared" ref="B36:I36" si="23">B35/B8</f>
        <v>4.700224171321566E-2</v>
      </c>
      <c r="C36" s="22">
        <f t="shared" si="23"/>
        <v>4.1429900974942466E-2</v>
      </c>
      <c r="D36" s="22">
        <f t="shared" si="23"/>
        <v>4.521843519162054E-2</v>
      </c>
      <c r="E36" s="22">
        <f t="shared" si="23"/>
        <v>6.4223447212342716E-2</v>
      </c>
      <c r="F36" s="22">
        <f t="shared" si="23"/>
        <v>6.4021751057681653E-2</v>
      </c>
      <c r="G36" s="106">
        <f t="shared" si="23"/>
        <v>7.8603235187204717E-2</v>
      </c>
      <c r="H36" s="22">
        <f t="shared" si="23"/>
        <v>0.10973285633087032</v>
      </c>
      <c r="I36" s="126">
        <f t="shared" si="23"/>
        <v>0.11051319070744192</v>
      </c>
      <c r="L36" s="25" t="s">
        <v>59</v>
      </c>
      <c r="M36" s="19">
        <v>69.36</v>
      </c>
      <c r="N36" s="19">
        <v>18.068999999999999</v>
      </c>
      <c r="O36" s="19">
        <v>51.779000000000003</v>
      </c>
      <c r="P36" s="19">
        <v>82.769000000000005</v>
      </c>
      <c r="Q36" s="19">
        <v>193.51300000000001</v>
      </c>
      <c r="R36" s="19">
        <v>126</v>
      </c>
      <c r="S36" s="19">
        <v>243</v>
      </c>
      <c r="T36" s="2">
        <v>244</v>
      </c>
      <c r="U36" s="71">
        <v>436.4</v>
      </c>
    </row>
    <row r="37" spans="1:21">
      <c r="A37" s="26"/>
      <c r="B37" s="22"/>
      <c r="C37" s="22"/>
      <c r="D37" s="22"/>
      <c r="E37" s="22"/>
      <c r="F37" s="22"/>
      <c r="G37" s="76"/>
      <c r="H37" s="22"/>
      <c r="I37" s="126"/>
      <c r="L37" s="25" t="s">
        <v>193</v>
      </c>
      <c r="M37" s="19"/>
      <c r="N37" s="19"/>
      <c r="O37" s="19"/>
      <c r="P37" s="19"/>
      <c r="Q37" s="19"/>
      <c r="R37" s="19"/>
      <c r="S37" s="19">
        <v>17.399999999999999</v>
      </c>
      <c r="T37" s="2">
        <v>12</v>
      </c>
      <c r="U37" s="71">
        <v>5.2</v>
      </c>
    </row>
    <row r="38" spans="1:21">
      <c r="A38" s="25" t="s">
        <v>23</v>
      </c>
      <c r="B38" s="19"/>
      <c r="C38" s="19"/>
      <c r="D38" s="19"/>
      <c r="E38" s="19"/>
      <c r="F38" s="71"/>
      <c r="G38" s="74"/>
      <c r="H38" s="71"/>
      <c r="I38" s="121"/>
      <c r="L38" s="25" t="s">
        <v>196</v>
      </c>
      <c r="M38" s="19">
        <v>96.061000000000007</v>
      </c>
      <c r="N38" s="19">
        <v>111.235</v>
      </c>
      <c r="O38" s="19">
        <v>127.5</v>
      </c>
      <c r="P38" s="19">
        <v>125.133</v>
      </c>
      <c r="Q38" s="19">
        <v>122.24299999999999</v>
      </c>
      <c r="R38" s="19">
        <v>119.88</v>
      </c>
      <c r="S38" s="19">
        <v>117.5</v>
      </c>
      <c r="T38" s="2">
        <v>115</v>
      </c>
      <c r="U38" s="71">
        <v>163.69999999999999</v>
      </c>
    </row>
    <row r="39" spans="1:21">
      <c r="A39" s="25" t="s">
        <v>39</v>
      </c>
      <c r="B39" s="19"/>
      <c r="C39" s="19"/>
      <c r="D39" s="19"/>
      <c r="E39" s="19"/>
      <c r="F39" s="71"/>
      <c r="G39" s="74"/>
      <c r="H39" s="71"/>
      <c r="I39" s="121"/>
      <c r="L39" s="25" t="s">
        <v>197</v>
      </c>
      <c r="M39" s="19">
        <v>37.162999999999997</v>
      </c>
      <c r="N39" s="19">
        <v>36.83</v>
      </c>
      <c r="O39" s="19">
        <v>32.225000000000001</v>
      </c>
      <c r="P39" s="19">
        <v>5.6749999999999998</v>
      </c>
      <c r="Q39" s="19">
        <v>9.1240000000000006</v>
      </c>
      <c r="R39" s="19">
        <v>12.24</v>
      </c>
      <c r="S39" s="19">
        <v>26.6</v>
      </c>
      <c r="T39" s="2">
        <v>25</v>
      </c>
      <c r="U39" s="71">
        <v>31.3</v>
      </c>
    </row>
    <row r="40" spans="1:21">
      <c r="A40" s="25" t="s">
        <v>24</v>
      </c>
      <c r="B40" s="19">
        <f>0.506+0.0175</f>
        <v>0.52349999999999997</v>
      </c>
      <c r="C40" s="19">
        <f>-0.218+0.074</f>
        <v>-0.14400000000000002</v>
      </c>
      <c r="D40" s="19">
        <f>-1.719+0.328</f>
        <v>-1.391</v>
      </c>
      <c r="E40" s="19">
        <v>7.6970000000000001</v>
      </c>
      <c r="F40" s="71"/>
      <c r="G40" s="74"/>
      <c r="H40" s="71">
        <v>-2.4</v>
      </c>
      <c r="I40" s="121"/>
      <c r="L40" s="25" t="s">
        <v>198</v>
      </c>
      <c r="M40" s="19"/>
      <c r="N40" s="19"/>
      <c r="O40" s="19"/>
      <c r="P40" s="19"/>
      <c r="Q40" s="19"/>
      <c r="R40" s="19"/>
      <c r="S40" s="19"/>
      <c r="T40" s="2"/>
      <c r="U40" s="71"/>
    </row>
    <row r="41" spans="1:21">
      <c r="A41" s="26" t="s">
        <v>25</v>
      </c>
      <c r="B41" s="20">
        <f t="shared" ref="B41:D41" si="24">B35+SUM(B38:B40)</f>
        <v>520.67550000000278</v>
      </c>
      <c r="C41" s="20">
        <f t="shared" si="24"/>
        <v>560.08499999999856</v>
      </c>
      <c r="D41" s="20">
        <f t="shared" si="24"/>
        <v>523.3139999999986</v>
      </c>
      <c r="E41" s="20">
        <f>E35+SUM(E38:E40)</f>
        <v>805.64700000000119</v>
      </c>
      <c r="F41" s="20">
        <f>F35+SUM(F38:F40)</f>
        <v>1050.1999999999982</v>
      </c>
      <c r="G41" s="75">
        <f>G35+SUM(G38:G40)</f>
        <v>1729.9000000000015</v>
      </c>
      <c r="H41" s="20">
        <f>H35+SUM(H38:H40)</f>
        <v>3279.6000000000004</v>
      </c>
      <c r="I41" s="122">
        <f>I35+SUM(I38:I40)</f>
        <v>842</v>
      </c>
      <c r="L41" s="25" t="s">
        <v>60</v>
      </c>
      <c r="M41" s="19"/>
      <c r="N41" s="19">
        <v>3.5000000000000003E-2</v>
      </c>
      <c r="O41" s="19">
        <v>40.607999999999997</v>
      </c>
      <c r="P41" s="19">
        <v>184.328</v>
      </c>
      <c r="Q41" s="19">
        <v>214.66</v>
      </c>
      <c r="R41" s="19">
        <v>63.89</v>
      </c>
      <c r="S41" s="19">
        <v>802</v>
      </c>
      <c r="T41" s="102">
        <v>1367</v>
      </c>
      <c r="U41" s="71">
        <v>2245.3000000000002</v>
      </c>
    </row>
    <row r="42" spans="1:21">
      <c r="A42" s="29" t="s">
        <v>9</v>
      </c>
      <c r="B42" s="21"/>
      <c r="C42" s="21">
        <f t="shared" ref="C42:D42" si="25">C41/B41-1</f>
        <v>7.568917684814358E-2</v>
      </c>
      <c r="D42" s="21">
        <f t="shared" si="25"/>
        <v>-6.565253488309819E-2</v>
      </c>
      <c r="E42" s="21">
        <f t="shared" ref="E42" si="26">E41/D41-1</f>
        <v>0.5395097398502684</v>
      </c>
      <c r="F42" s="21">
        <f>F41/E41-1</f>
        <v>0.30354857648572731</v>
      </c>
      <c r="G42" s="80">
        <f>G41/F41-1</f>
        <v>0.64721005522757991</v>
      </c>
      <c r="H42" s="21">
        <f>H41/G41-1</f>
        <v>0.8958321290247977</v>
      </c>
      <c r="I42" s="130"/>
      <c r="L42" s="25" t="s">
        <v>61</v>
      </c>
      <c r="M42" s="19"/>
      <c r="N42" s="19">
        <v>38.648000000000003</v>
      </c>
      <c r="O42" s="19">
        <v>35.741999999999997</v>
      </c>
      <c r="P42" s="19">
        <v>45.231999999999999</v>
      </c>
      <c r="Q42" s="19">
        <v>14.496</v>
      </c>
      <c r="R42" s="19">
        <v>66.010000000000005</v>
      </c>
      <c r="S42" s="19">
        <v>162.6</v>
      </c>
      <c r="T42" s="2">
        <v>348</v>
      </c>
      <c r="U42" s="71">
        <v>109.8</v>
      </c>
    </row>
    <row r="43" spans="1:21">
      <c r="A43" s="29" t="s">
        <v>26</v>
      </c>
      <c r="B43" s="28"/>
      <c r="C43" s="30"/>
      <c r="D43" s="30"/>
      <c r="E43" s="30">
        <f>+((E41/B41)^(1/3)-1)</f>
        <v>0.15662493427808744</v>
      </c>
      <c r="F43" s="30">
        <f t="shared" ref="F43:H43" si="27">+((F41/C41)^(1/3)-1)</f>
        <v>0.23312193769995382</v>
      </c>
      <c r="G43" s="30">
        <f t="shared" si="27"/>
        <v>0.48965677143309461</v>
      </c>
      <c r="H43" s="30">
        <f t="shared" si="27"/>
        <v>0.59670748498532067</v>
      </c>
      <c r="I43" s="123"/>
      <c r="L43" s="25" t="s">
        <v>174</v>
      </c>
      <c r="M43" s="19">
        <v>473.12299999999999</v>
      </c>
      <c r="N43" s="19"/>
      <c r="O43" s="19"/>
      <c r="P43" s="19"/>
      <c r="Q43" s="19"/>
      <c r="R43" s="19"/>
      <c r="S43" s="19"/>
      <c r="T43" s="2"/>
      <c r="U43" s="71"/>
    </row>
    <row r="44" spans="1:21">
      <c r="A44" s="24" t="s">
        <v>27</v>
      </c>
      <c r="B44" s="3">
        <v>4.4400000000000004</v>
      </c>
      <c r="C44" s="3">
        <v>4.78</v>
      </c>
      <c r="D44" s="3">
        <v>4.57</v>
      </c>
      <c r="E44" s="3">
        <v>7.03</v>
      </c>
      <c r="F44" s="3">
        <v>9.02</v>
      </c>
      <c r="G44" s="99">
        <v>14.41</v>
      </c>
      <c r="H44" s="3">
        <v>27.56</v>
      </c>
      <c r="I44" s="131">
        <v>7.07</v>
      </c>
      <c r="L44" s="25" t="s">
        <v>199</v>
      </c>
      <c r="M44" s="19">
        <v>24.844999999999999</v>
      </c>
      <c r="N44" s="19">
        <v>380.60899999999998</v>
      </c>
      <c r="O44" s="19">
        <v>710.62300000000005</v>
      </c>
      <c r="P44" s="19">
        <v>685.41099999999994</v>
      </c>
      <c r="Q44" s="19">
        <v>129.86699999999999</v>
      </c>
      <c r="R44" s="19">
        <v>97.26</v>
      </c>
      <c r="S44" s="19">
        <v>67.7</v>
      </c>
      <c r="T44" s="2">
        <v>42</v>
      </c>
      <c r="U44" s="71">
        <v>367.1</v>
      </c>
    </row>
    <row r="45" spans="1:21">
      <c r="A45" s="32" t="s">
        <v>9</v>
      </c>
      <c r="B45" s="30"/>
      <c r="C45" s="30">
        <f t="shared" ref="C45" si="28">+C44/B44-1</f>
        <v>7.6576576576576461E-2</v>
      </c>
      <c r="D45" s="30">
        <f t="shared" ref="D45" si="29">+D44/C44-1</f>
        <v>-4.3933054393305415E-2</v>
      </c>
      <c r="E45" s="30">
        <f t="shared" ref="E45" si="30">+E44/D44-1</f>
        <v>0.5382932166301968</v>
      </c>
      <c r="F45" s="30">
        <f>+F44/E44-1</f>
        <v>0.28307254623044087</v>
      </c>
      <c r="G45" s="79">
        <f>+G44/F44-1</f>
        <v>0.59756097560975618</v>
      </c>
      <c r="H45" s="30">
        <f>+H44/G44-1</f>
        <v>0.91256072172102698</v>
      </c>
      <c r="I45" s="123"/>
      <c r="L45" s="25" t="s">
        <v>200</v>
      </c>
      <c r="M45" s="19"/>
      <c r="N45" s="19"/>
      <c r="O45" s="19"/>
      <c r="P45" s="19">
        <v>1.611</v>
      </c>
      <c r="Q45" s="19">
        <v>1.43</v>
      </c>
      <c r="R45" s="19">
        <v>1</v>
      </c>
      <c r="S45" s="19">
        <v>3.7</v>
      </c>
      <c r="T45" s="2">
        <v>7</v>
      </c>
      <c r="U45" s="71">
        <f>4.1+6.1</f>
        <v>10.199999999999999</v>
      </c>
    </row>
    <row r="46" spans="1:21" ht="15.75" thickBot="1">
      <c r="A46" s="33" t="s">
        <v>26</v>
      </c>
      <c r="B46" s="34"/>
      <c r="C46" s="34"/>
      <c r="D46" s="34"/>
      <c r="E46" s="34">
        <f>+((E44/B44)^(1/3)-1)</f>
        <v>0.16553177619681136</v>
      </c>
      <c r="F46" s="34">
        <f t="shared" ref="F46:H46" si="31">+((F44/C44)^(1/3)-1)</f>
        <v>0.23573746459760891</v>
      </c>
      <c r="G46" s="34">
        <f t="shared" si="31"/>
        <v>0.46638922320949905</v>
      </c>
      <c r="H46" s="34">
        <f t="shared" si="31"/>
        <v>0.57679280442299663</v>
      </c>
      <c r="I46" s="132"/>
      <c r="L46" s="26" t="s">
        <v>62</v>
      </c>
      <c r="M46" s="20">
        <f t="shared" ref="M46:N46" si="32">SUM(M35:M45)</f>
        <v>3495.3270000000002</v>
      </c>
      <c r="N46" s="20">
        <f t="shared" si="32"/>
        <v>3958.6909999999998</v>
      </c>
      <c r="O46" s="20">
        <f t="shared" ref="O46:U46" si="33">SUM(O35:O45)</f>
        <v>4211.3760000000002</v>
      </c>
      <c r="P46" s="20">
        <f t="shared" si="33"/>
        <v>4404.8289999999997</v>
      </c>
      <c r="Q46" s="20">
        <f t="shared" si="33"/>
        <v>4674.5340000000006</v>
      </c>
      <c r="R46" s="20">
        <f t="shared" si="33"/>
        <v>4647.47</v>
      </c>
      <c r="S46" s="20">
        <f t="shared" si="33"/>
        <v>5795.8</v>
      </c>
      <c r="T46" s="20">
        <f t="shared" si="33"/>
        <v>6883</v>
      </c>
      <c r="U46" s="20">
        <f t="shared" si="33"/>
        <v>8964.4</v>
      </c>
    </row>
    <row r="47" spans="1:21">
      <c r="H47" s="133"/>
      <c r="L47" s="24" t="s">
        <v>63</v>
      </c>
      <c r="M47" s="1"/>
      <c r="N47" s="2"/>
      <c r="O47" s="2"/>
      <c r="P47" s="41"/>
      <c r="Q47" s="41"/>
      <c r="R47" s="42"/>
      <c r="S47" s="42"/>
      <c r="T47" s="2"/>
      <c r="U47" s="42"/>
    </row>
    <row r="48" spans="1:21">
      <c r="H48" s="133"/>
      <c r="L48" s="25" t="s">
        <v>64</v>
      </c>
      <c r="M48" s="19">
        <v>1418.1790000000001</v>
      </c>
      <c r="N48" s="19">
        <v>1238.231</v>
      </c>
      <c r="O48" s="19">
        <v>1442.981</v>
      </c>
      <c r="P48" s="19">
        <v>2128.877</v>
      </c>
      <c r="Q48" s="19">
        <v>2706.8560000000002</v>
      </c>
      <c r="R48" s="19">
        <v>2661</v>
      </c>
      <c r="S48" s="19">
        <v>3333.7</v>
      </c>
      <c r="T48" s="102">
        <v>4185</v>
      </c>
      <c r="U48" s="71">
        <v>5534</v>
      </c>
    </row>
    <row r="49" spans="1:22">
      <c r="A49" s="134" t="s">
        <v>100</v>
      </c>
      <c r="B49" s="135"/>
      <c r="C49" s="135"/>
      <c r="D49" s="135"/>
      <c r="E49" s="135"/>
      <c r="F49" s="135"/>
      <c r="G49" s="135"/>
      <c r="H49" s="136"/>
      <c r="I49" s="88"/>
      <c r="J49" s="88"/>
      <c r="L49" s="25" t="s">
        <v>65</v>
      </c>
      <c r="M49" s="19"/>
      <c r="N49" s="19"/>
      <c r="O49" s="19"/>
      <c r="P49" s="19"/>
      <c r="Q49" s="19"/>
      <c r="R49" s="19"/>
      <c r="S49" s="19"/>
      <c r="T49" s="2"/>
      <c r="U49" s="71"/>
    </row>
    <row r="50" spans="1:22">
      <c r="A50" s="1" t="s">
        <v>2</v>
      </c>
      <c r="B50" s="57" t="s">
        <v>4</v>
      </c>
      <c r="C50" s="57" t="s">
        <v>5</v>
      </c>
      <c r="D50" s="58" t="s">
        <v>6</v>
      </c>
      <c r="E50" s="58" t="s">
        <v>184</v>
      </c>
      <c r="F50" s="58" t="s">
        <v>185</v>
      </c>
      <c r="G50" s="58" t="s">
        <v>205</v>
      </c>
      <c r="H50" s="58" t="s">
        <v>209</v>
      </c>
      <c r="L50" s="25" t="s">
        <v>60</v>
      </c>
      <c r="M50" s="19">
        <v>43.622</v>
      </c>
      <c r="N50" s="19">
        <v>167.56200000000001</v>
      </c>
      <c r="O50" s="19">
        <v>311.99</v>
      </c>
      <c r="P50" s="19">
        <v>266.58499999999998</v>
      </c>
      <c r="Q50" s="19">
        <v>64.739999999999995</v>
      </c>
      <c r="R50" s="19">
        <v>251</v>
      </c>
      <c r="S50" s="19">
        <v>990.4</v>
      </c>
      <c r="T50" s="102">
        <v>2119</v>
      </c>
      <c r="U50" s="71">
        <v>3695.8</v>
      </c>
    </row>
    <row r="51" spans="1:22">
      <c r="A51" s="1" t="s">
        <v>101</v>
      </c>
      <c r="B51" s="19">
        <v>59.037000000000084</v>
      </c>
      <c r="C51" s="19">
        <f t="shared" ref="C51:H51" si="34">B57</f>
        <v>67.146000000000129</v>
      </c>
      <c r="D51" s="19">
        <f t="shared" si="34"/>
        <v>84.490000000000123</v>
      </c>
      <c r="E51" s="19">
        <f t="shared" si="34"/>
        <v>33.900000000000091</v>
      </c>
      <c r="F51" s="19">
        <f t="shared" si="34"/>
        <v>328.88000000000011</v>
      </c>
      <c r="G51" s="71">
        <f t="shared" si="34"/>
        <v>57.2800000000002</v>
      </c>
      <c r="H51" s="71">
        <f t="shared" si="34"/>
        <v>214.88</v>
      </c>
      <c r="L51" s="25" t="s">
        <v>66</v>
      </c>
      <c r="M51" s="19">
        <v>809.10299999999995</v>
      </c>
      <c r="N51" s="19">
        <v>811.56100000000004</v>
      </c>
      <c r="O51" s="19">
        <v>1699.0820000000001</v>
      </c>
      <c r="P51" s="19">
        <v>1441.1289999999999</v>
      </c>
      <c r="Q51" s="19">
        <v>1473.27</v>
      </c>
      <c r="R51" s="19">
        <v>2247</v>
      </c>
      <c r="S51" s="19">
        <v>1887.3</v>
      </c>
      <c r="T51" s="102">
        <v>1693</v>
      </c>
      <c r="U51" s="71">
        <v>1643.1</v>
      </c>
    </row>
    <row r="52" spans="1:22">
      <c r="A52" s="1" t="s">
        <v>102</v>
      </c>
      <c r="B52" s="19">
        <v>893.90800000000002</v>
      </c>
      <c r="C52" s="19">
        <v>720.41</v>
      </c>
      <c r="D52" s="19">
        <v>479.76299999999998</v>
      </c>
      <c r="E52" s="19">
        <v>861.12</v>
      </c>
      <c r="F52" s="19">
        <v>1035.2</v>
      </c>
      <c r="G52" s="71">
        <v>2742.7</v>
      </c>
      <c r="H52" s="71">
        <v>4334.3</v>
      </c>
      <c r="L52" s="25" t="s">
        <v>67</v>
      </c>
      <c r="M52" s="19">
        <v>114.087</v>
      </c>
      <c r="N52" s="19">
        <v>37.756999999999998</v>
      </c>
      <c r="O52" s="19">
        <v>67.146000000000001</v>
      </c>
      <c r="P52" s="19">
        <v>84.49</v>
      </c>
      <c r="Q52" s="19">
        <v>33.9</v>
      </c>
      <c r="R52" s="19">
        <v>329</v>
      </c>
      <c r="S52" s="19">
        <v>57.2</v>
      </c>
      <c r="T52" s="2">
        <v>215</v>
      </c>
      <c r="U52" s="71">
        <v>482.1</v>
      </c>
    </row>
    <row r="53" spans="1:22">
      <c r="A53" s="2" t="s">
        <v>103</v>
      </c>
      <c r="B53" s="19">
        <v>-354.71199999999999</v>
      </c>
      <c r="C53" s="19">
        <v>-266.57299999999998</v>
      </c>
      <c r="D53" s="19">
        <v>-196.024</v>
      </c>
      <c r="E53" s="19">
        <v>-162.25</v>
      </c>
      <c r="F53" s="19">
        <v>-2014.8</v>
      </c>
      <c r="G53" s="71">
        <v>-2175</v>
      </c>
      <c r="H53" s="71">
        <v>-3682.3</v>
      </c>
      <c r="L53" s="25" t="s">
        <v>68</v>
      </c>
      <c r="M53" s="19">
        <v>213.56800000000001</v>
      </c>
      <c r="N53" s="19">
        <v>67.641999999999996</v>
      </c>
      <c r="O53" s="19">
        <v>41.164999999999999</v>
      </c>
      <c r="P53" s="19">
        <v>29.748000000000001</v>
      </c>
      <c r="Q53" s="19">
        <v>58.795000000000002</v>
      </c>
      <c r="R53" s="19">
        <v>36</v>
      </c>
      <c r="S53" s="19">
        <v>85.8</v>
      </c>
      <c r="T53" s="2">
        <v>275</v>
      </c>
      <c r="U53" s="71">
        <v>622</v>
      </c>
    </row>
    <row r="54" spans="1:22">
      <c r="A54" s="2" t="s">
        <v>104</v>
      </c>
      <c r="B54" s="19">
        <v>-531.08699999999999</v>
      </c>
      <c r="C54" s="19">
        <v>-436.49299999999999</v>
      </c>
      <c r="D54" s="19">
        <v>-334.32900000000001</v>
      </c>
      <c r="E54" s="19">
        <v>-403.89</v>
      </c>
      <c r="F54" s="19">
        <v>708</v>
      </c>
      <c r="G54" s="71">
        <v>-410.1</v>
      </c>
      <c r="H54" s="71">
        <v>-386.6</v>
      </c>
      <c r="L54" s="25" t="s">
        <v>195</v>
      </c>
      <c r="M54" s="19"/>
      <c r="N54" s="19"/>
      <c r="O54" s="19"/>
      <c r="P54" s="19"/>
      <c r="Q54" s="19"/>
      <c r="R54" s="19"/>
      <c r="S54" s="19">
        <v>7.8</v>
      </c>
      <c r="T54" s="2">
        <v>7</v>
      </c>
      <c r="U54" s="71">
        <v>8.3000000000000007</v>
      </c>
    </row>
    <row r="55" spans="1:22">
      <c r="A55" s="1" t="s">
        <v>105</v>
      </c>
      <c r="B55" s="18">
        <f t="shared" ref="B55:G55" si="35">+B52+B53+B54</f>
        <v>8.1090000000000373</v>
      </c>
      <c r="C55" s="18">
        <f t="shared" si="35"/>
        <v>17.343999999999994</v>
      </c>
      <c r="D55" s="18">
        <f t="shared" si="35"/>
        <v>-50.590000000000032</v>
      </c>
      <c r="E55" s="18">
        <f t="shared" si="35"/>
        <v>294.98</v>
      </c>
      <c r="F55" s="18">
        <f t="shared" si="35"/>
        <v>-271.59999999999991</v>
      </c>
      <c r="G55" s="72">
        <f t="shared" si="35"/>
        <v>157.5999999999998</v>
      </c>
      <c r="H55" s="71">
        <f>+H52+H53+H54+1.9</f>
        <v>267.29999999999995</v>
      </c>
      <c r="L55" s="25" t="s">
        <v>194</v>
      </c>
      <c r="M55" s="19"/>
      <c r="N55" s="19">
        <v>20.960999999999999</v>
      </c>
      <c r="O55" s="19">
        <v>29.027000000000001</v>
      </c>
      <c r="P55" s="19">
        <v>23.364999999999998</v>
      </c>
      <c r="Q55" s="19">
        <v>23.047000000000001</v>
      </c>
      <c r="R55" s="19">
        <v>23</v>
      </c>
      <c r="S55" s="19">
        <v>19.899999999999999</v>
      </c>
      <c r="T55" s="2">
        <v>78</v>
      </c>
      <c r="U55" s="71">
        <v>94</v>
      </c>
    </row>
    <row r="56" spans="1:22">
      <c r="A56" s="1" t="s">
        <v>107</v>
      </c>
      <c r="B56" s="18"/>
      <c r="C56" s="18"/>
      <c r="D56" s="18"/>
      <c r="E56" s="18"/>
      <c r="F56" s="18"/>
      <c r="G56" s="72"/>
      <c r="H56" s="71"/>
      <c r="L56" s="25" t="s">
        <v>69</v>
      </c>
      <c r="M56" s="19"/>
      <c r="N56" s="19">
        <v>180.529</v>
      </c>
      <c r="O56" s="19">
        <v>365.06900000000002</v>
      </c>
      <c r="P56" s="19">
        <v>474.05700000000002</v>
      </c>
      <c r="Q56" s="19">
        <v>479.51799999999997</v>
      </c>
      <c r="R56" s="19">
        <v>357</v>
      </c>
      <c r="S56" s="19">
        <v>645.79999999999995</v>
      </c>
      <c r="T56" s="2">
        <v>543</v>
      </c>
      <c r="U56" s="71">
        <v>648.4</v>
      </c>
    </row>
    <row r="57" spans="1:22">
      <c r="A57" s="59" t="s">
        <v>106</v>
      </c>
      <c r="B57" s="20">
        <f t="shared" ref="B57:H57" si="36">+B51+B55</f>
        <v>67.146000000000129</v>
      </c>
      <c r="C57" s="20">
        <f t="shared" si="36"/>
        <v>84.490000000000123</v>
      </c>
      <c r="D57" s="20">
        <f t="shared" si="36"/>
        <v>33.900000000000091</v>
      </c>
      <c r="E57" s="20">
        <f t="shared" si="36"/>
        <v>328.88000000000011</v>
      </c>
      <c r="F57" s="20">
        <f t="shared" si="36"/>
        <v>57.2800000000002</v>
      </c>
      <c r="G57" s="20">
        <f t="shared" si="36"/>
        <v>214.88</v>
      </c>
      <c r="H57" s="20">
        <f t="shared" si="36"/>
        <v>482.17999999999995</v>
      </c>
      <c r="L57" s="25" t="s">
        <v>70</v>
      </c>
      <c r="M57" s="19"/>
      <c r="N57" s="19"/>
      <c r="O57" s="19"/>
      <c r="P57" s="19">
        <v>15.914999999999999</v>
      </c>
      <c r="Q57" s="19">
        <v>21.332999999999998</v>
      </c>
      <c r="R57" s="19">
        <v>2</v>
      </c>
      <c r="S57" s="19"/>
      <c r="T57" s="2"/>
      <c r="U57" s="71"/>
    </row>
    <row r="58" spans="1:22" ht="15.75" thickBot="1">
      <c r="H58" s="142"/>
      <c r="L58" s="26" t="s">
        <v>71</v>
      </c>
      <c r="M58" s="20">
        <f>SUM(M48:M57)</f>
        <v>2598.5590000000002</v>
      </c>
      <c r="N58" s="20">
        <f>SUM(N48:N57)</f>
        <v>2524.2429999999999</v>
      </c>
      <c r="O58" s="20">
        <f>SUM(O48:O57)</f>
        <v>3956.46</v>
      </c>
      <c r="P58" s="20">
        <f>SUM(P48:P57)</f>
        <v>4464.1659999999993</v>
      </c>
      <c r="Q58" s="20">
        <f t="shared" ref="Q58" si="37">SUM(Q48:Q57)</f>
        <v>4861.4589999999989</v>
      </c>
      <c r="R58" s="20">
        <f>SUM(R48:R57)</f>
        <v>5906</v>
      </c>
      <c r="S58" s="20">
        <f>SUM(S48:S57)</f>
        <v>7027.9</v>
      </c>
      <c r="T58" s="20">
        <f>SUM(T48:T57)</f>
        <v>9115</v>
      </c>
      <c r="U58" s="20">
        <f>SUM(U48:U57)</f>
        <v>12727.699999999999</v>
      </c>
    </row>
    <row r="59" spans="1:22" ht="15.75" thickBot="1">
      <c r="A59" s="108" t="s">
        <v>108</v>
      </c>
      <c r="B59" s="109"/>
      <c r="C59" s="109"/>
      <c r="D59" s="109"/>
      <c r="E59" s="109"/>
      <c r="F59" s="109"/>
      <c r="G59" s="109"/>
      <c r="H59" s="110"/>
      <c r="J59" s="94"/>
      <c r="L59" s="26" t="s">
        <v>118</v>
      </c>
      <c r="M59" s="20">
        <f>2598.559-1859.879</f>
        <v>738.68000000000029</v>
      </c>
      <c r="N59" s="20">
        <f t="shared" ref="N59:U59" si="38">N58-N32</f>
        <v>713.99299999999994</v>
      </c>
      <c r="O59" s="20">
        <f t="shared" si="38"/>
        <v>458.20199999999977</v>
      </c>
      <c r="P59" s="20">
        <f t="shared" si="38"/>
        <v>594.48799999999937</v>
      </c>
      <c r="Q59" s="20">
        <f t="shared" si="38"/>
        <v>672.78499999999894</v>
      </c>
      <c r="R59" s="20">
        <f t="shared" si="38"/>
        <v>1311</v>
      </c>
      <c r="S59" s="20">
        <f t="shared" si="38"/>
        <v>2210.0999999999995</v>
      </c>
      <c r="T59" s="20">
        <f t="shared" si="38"/>
        <v>2548</v>
      </c>
      <c r="U59" s="20">
        <f t="shared" si="38"/>
        <v>3520.7999999999975</v>
      </c>
    </row>
    <row r="60" spans="1:22">
      <c r="A60" s="62" t="s">
        <v>2</v>
      </c>
      <c r="B60" s="60" t="s">
        <v>4</v>
      </c>
      <c r="C60" s="60" t="s">
        <v>5</v>
      </c>
      <c r="D60" s="61" t="s">
        <v>6</v>
      </c>
      <c r="E60" s="61" t="s">
        <v>184</v>
      </c>
      <c r="F60" s="61" t="s">
        <v>185</v>
      </c>
      <c r="G60" s="137" t="s">
        <v>205</v>
      </c>
      <c r="H60" s="141" t="s">
        <v>209</v>
      </c>
      <c r="L60" s="24" t="s">
        <v>72</v>
      </c>
      <c r="M60" s="18">
        <f t="shared" ref="M60:S60" si="39">SUM(M46,M58)</f>
        <v>6093.8860000000004</v>
      </c>
      <c r="N60" s="18">
        <f t="shared" si="39"/>
        <v>6482.9339999999993</v>
      </c>
      <c r="O60" s="18">
        <f t="shared" si="39"/>
        <v>8167.8360000000002</v>
      </c>
      <c r="P60" s="18">
        <f t="shared" si="39"/>
        <v>8868.994999999999</v>
      </c>
      <c r="Q60" s="18">
        <f t="shared" si="39"/>
        <v>9535.9929999999986</v>
      </c>
      <c r="R60" s="18">
        <f t="shared" si="39"/>
        <v>10553.470000000001</v>
      </c>
      <c r="S60" s="18">
        <f t="shared" si="39"/>
        <v>12823.7</v>
      </c>
      <c r="T60" s="102">
        <v>15997</v>
      </c>
      <c r="U60" s="103">
        <f>SUM(U46,U58)</f>
        <v>21692.1</v>
      </c>
    </row>
    <row r="61" spans="1:22" ht="15.75" thickBot="1">
      <c r="A61" s="24" t="s">
        <v>109</v>
      </c>
      <c r="B61" s="19">
        <f>B52</f>
        <v>893.90800000000002</v>
      </c>
      <c r="C61" s="19">
        <f>C52</f>
        <v>720.41</v>
      </c>
      <c r="D61" s="19">
        <f>D52</f>
        <v>479.76299999999998</v>
      </c>
      <c r="E61" s="19">
        <f>+E52</f>
        <v>861.12</v>
      </c>
      <c r="F61" s="19">
        <f>+F52</f>
        <v>1035.2</v>
      </c>
      <c r="G61" s="19">
        <f>+G52</f>
        <v>2742.7</v>
      </c>
      <c r="H61" s="19">
        <f>+H52</f>
        <v>4334.3</v>
      </c>
      <c r="L61" s="53" t="s">
        <v>79</v>
      </c>
      <c r="M61" s="23">
        <f t="shared" ref="M61:S61" si="40">M60-M33</f>
        <v>0</v>
      </c>
      <c r="N61" s="23">
        <f t="shared" si="40"/>
        <v>0</v>
      </c>
      <c r="O61" s="23">
        <f t="shared" si="40"/>
        <v>0</v>
      </c>
      <c r="P61" s="23">
        <f t="shared" si="40"/>
        <v>0</v>
      </c>
      <c r="Q61" s="23">
        <f t="shared" si="40"/>
        <v>0</v>
      </c>
      <c r="R61" s="23">
        <f t="shared" si="40"/>
        <v>0.47000000000116415</v>
      </c>
      <c r="S61" s="19">
        <f t="shared" si="40"/>
        <v>0.7000000000007276</v>
      </c>
      <c r="T61" s="2">
        <v>0</v>
      </c>
      <c r="U61" s="71">
        <f>U60-U33</f>
        <v>0</v>
      </c>
    </row>
    <row r="62" spans="1:22" ht="15.75" thickBot="1">
      <c r="A62" s="25" t="s">
        <v>110</v>
      </c>
      <c r="B62" s="19">
        <v>-191.67</v>
      </c>
      <c r="C62" s="19">
        <v>-244.65700000000001</v>
      </c>
      <c r="D62" s="19">
        <v>-865.51700000000005</v>
      </c>
      <c r="E62" s="19">
        <f>P35-Q35+E24</f>
        <v>-575.09099999999989</v>
      </c>
      <c r="F62" s="19">
        <f>S35-R35+F24</f>
        <v>348.2100000000006</v>
      </c>
      <c r="G62" s="19">
        <f>T35-S35+G24</f>
        <v>547.69999999999982</v>
      </c>
      <c r="H62" s="19">
        <f>U35-T35+H24</f>
        <v>1104.7999999999997</v>
      </c>
    </row>
    <row r="63" spans="1:22" ht="15.75" thickBot="1">
      <c r="A63" s="55" t="s">
        <v>111</v>
      </c>
      <c r="B63" s="36">
        <f t="shared" ref="B63:D63" si="41">+B61+B62</f>
        <v>702.23800000000006</v>
      </c>
      <c r="C63" s="36">
        <f t="shared" si="41"/>
        <v>475.75299999999993</v>
      </c>
      <c r="D63" s="36">
        <f t="shared" si="41"/>
        <v>-385.75400000000008</v>
      </c>
      <c r="E63" s="36">
        <f t="shared" ref="E63:F63" si="42">+E61+E62</f>
        <v>286.02900000000011</v>
      </c>
      <c r="F63" s="36">
        <f t="shared" si="42"/>
        <v>1383.4100000000008</v>
      </c>
      <c r="G63" s="36">
        <f>+G61+G62</f>
        <v>3290.3999999999996</v>
      </c>
      <c r="H63" s="36">
        <f>+H61+H62</f>
        <v>5439.1</v>
      </c>
      <c r="L63" s="108" t="s">
        <v>80</v>
      </c>
      <c r="M63" s="109"/>
      <c r="N63" s="109"/>
      <c r="O63" s="109"/>
      <c r="P63" s="109"/>
      <c r="Q63" s="109"/>
      <c r="R63" s="109"/>
      <c r="S63" s="109"/>
      <c r="T63" s="109"/>
      <c r="U63" s="109"/>
      <c r="V63" s="110"/>
    </row>
    <row r="64" spans="1:22" ht="15.75" thickBot="1">
      <c r="H64" s="142"/>
      <c r="L64" s="62" t="s">
        <v>81</v>
      </c>
      <c r="M64" s="69"/>
      <c r="N64" s="61" t="s">
        <v>3</v>
      </c>
      <c r="O64" s="70" t="s">
        <v>4</v>
      </c>
      <c r="P64" s="70" t="s">
        <v>5</v>
      </c>
      <c r="Q64" s="70" t="s">
        <v>6</v>
      </c>
      <c r="R64" s="70" t="s">
        <v>184</v>
      </c>
      <c r="S64" s="70" t="s">
        <v>185</v>
      </c>
      <c r="T64" s="82" t="s">
        <v>205</v>
      </c>
      <c r="U64" s="83" t="s">
        <v>209</v>
      </c>
      <c r="V64" s="83" t="s">
        <v>212</v>
      </c>
    </row>
    <row r="65" spans="1:22" ht="15.75" thickBot="1">
      <c r="A65" s="65" t="s">
        <v>183</v>
      </c>
      <c r="B65" s="66" t="s">
        <v>4</v>
      </c>
      <c r="C65" s="66" t="s">
        <v>5</v>
      </c>
      <c r="D65" s="67" t="s">
        <v>6</v>
      </c>
      <c r="E65" s="67" t="s">
        <v>184</v>
      </c>
      <c r="F65" s="67" t="s">
        <v>185</v>
      </c>
      <c r="G65" s="77" t="s">
        <v>205</v>
      </c>
      <c r="H65" s="67" t="s">
        <v>209</v>
      </c>
      <c r="I65" s="138" t="s">
        <v>212</v>
      </c>
      <c r="L65" s="48" t="s">
        <v>82</v>
      </c>
      <c r="M65" s="2"/>
      <c r="N65" s="2">
        <v>38.65</v>
      </c>
      <c r="O65" s="2">
        <v>169.9</v>
      </c>
      <c r="P65" s="2">
        <v>115.05</v>
      </c>
      <c r="Q65" s="2">
        <v>34.65</v>
      </c>
      <c r="R65" s="2">
        <v>154.5</v>
      </c>
      <c r="S65" s="2">
        <v>240.45</v>
      </c>
      <c r="T65" s="2">
        <v>407.05</v>
      </c>
      <c r="U65" s="41">
        <v>1426.05</v>
      </c>
      <c r="V65" s="118">
        <v>1488.3</v>
      </c>
    </row>
    <row r="66" spans="1:22">
      <c r="A66" s="63" t="s">
        <v>112</v>
      </c>
      <c r="B66" s="64">
        <v>117323000</v>
      </c>
      <c r="C66" s="64">
        <v>117323000</v>
      </c>
      <c r="D66" s="64">
        <v>113483196</v>
      </c>
      <c r="E66" s="64">
        <v>113483196</v>
      </c>
      <c r="F66" s="64">
        <v>119083196</v>
      </c>
      <c r="G66" s="78">
        <v>119083196</v>
      </c>
      <c r="H66" s="64">
        <v>119083196</v>
      </c>
      <c r="I66" s="139">
        <v>119083196</v>
      </c>
      <c r="L66" s="49" t="s">
        <v>83</v>
      </c>
      <c r="M66" s="2"/>
      <c r="N66" s="39" t="e">
        <f>#REF!</f>
        <v>#REF!</v>
      </c>
      <c r="O66" s="39">
        <f t="shared" ref="O66:U66" si="43">B44</f>
        <v>4.4400000000000004</v>
      </c>
      <c r="P66" s="39">
        <f t="shared" si="43"/>
        <v>4.78</v>
      </c>
      <c r="Q66" s="39">
        <f t="shared" si="43"/>
        <v>4.57</v>
      </c>
      <c r="R66" s="39">
        <f t="shared" si="43"/>
        <v>7.03</v>
      </c>
      <c r="S66" s="40">
        <f t="shared" si="43"/>
        <v>9.02</v>
      </c>
      <c r="T66" s="39">
        <f t="shared" si="43"/>
        <v>14.41</v>
      </c>
      <c r="U66" s="39">
        <f t="shared" si="43"/>
        <v>27.56</v>
      </c>
      <c r="V66" s="84" t="s">
        <v>203</v>
      </c>
    </row>
    <row r="67" spans="1:22">
      <c r="A67" s="25" t="s">
        <v>113</v>
      </c>
      <c r="B67" s="19">
        <f t="shared" ref="B67:I67" si="44">B66*O65/1000000</f>
        <v>19933.1777</v>
      </c>
      <c r="C67" s="19">
        <f t="shared" si="44"/>
        <v>13498.01115</v>
      </c>
      <c r="D67" s="19">
        <f t="shared" si="44"/>
        <v>3932.1927413999997</v>
      </c>
      <c r="E67" s="19">
        <f t="shared" si="44"/>
        <v>17533.153782000001</v>
      </c>
      <c r="F67" s="19">
        <f t="shared" si="44"/>
        <v>28633.554478199996</v>
      </c>
      <c r="G67" s="81">
        <f t="shared" si="44"/>
        <v>48472.8149318</v>
      </c>
      <c r="H67" s="19">
        <f t="shared" si="44"/>
        <v>169818.59165579997</v>
      </c>
      <c r="I67" s="140">
        <f t="shared" si="44"/>
        <v>177231.52060679998</v>
      </c>
      <c r="L67" s="49" t="s">
        <v>84</v>
      </c>
      <c r="M67" s="2"/>
      <c r="N67" s="40" t="e">
        <f>N8/(#REF!/1000000)</f>
        <v>#REF!</v>
      </c>
      <c r="O67" s="40">
        <f t="shared" ref="O67:U67" si="45">O8/(B66/1000000)</f>
        <v>32.572138455375338</v>
      </c>
      <c r="P67" s="40">
        <f t="shared" si="45"/>
        <v>37.29429012214144</v>
      </c>
      <c r="Q67" s="40">
        <f t="shared" si="45"/>
        <v>39.004779174530832</v>
      </c>
      <c r="R67" s="40">
        <f t="shared" si="45"/>
        <v>46.103742090591098</v>
      </c>
      <c r="S67" s="40">
        <f t="shared" si="45"/>
        <v>63.324635660601515</v>
      </c>
      <c r="T67" s="40">
        <f t="shared" si="45"/>
        <v>77.134308689531636</v>
      </c>
      <c r="U67" s="40">
        <f t="shared" si="45"/>
        <v>103.27569642991443</v>
      </c>
    </row>
    <row r="68" spans="1:22">
      <c r="A68" s="25" t="s">
        <v>114</v>
      </c>
      <c r="B68" s="19">
        <f>O12</f>
        <v>642.48400000000004</v>
      </c>
      <c r="C68" s="19">
        <f>P12</f>
        <v>439.00299999999999</v>
      </c>
      <c r="D68" s="19">
        <f>Q12</f>
        <v>741.30700000000002</v>
      </c>
      <c r="E68" s="19">
        <f>R12</f>
        <v>543</v>
      </c>
      <c r="F68" s="19">
        <f>S12</f>
        <v>292</v>
      </c>
      <c r="G68" s="19">
        <f>U12</f>
        <v>38.799999999999997</v>
      </c>
      <c r="H68" s="19">
        <f>U12</f>
        <v>38.799999999999997</v>
      </c>
      <c r="I68" s="139"/>
      <c r="L68" s="48" t="s">
        <v>85</v>
      </c>
      <c r="M68" s="2"/>
      <c r="N68" s="41">
        <v>0.20159999999999997</v>
      </c>
      <c r="O68" s="41">
        <v>0.48840000000000006</v>
      </c>
      <c r="P68" s="41">
        <v>0.47800000000000004</v>
      </c>
      <c r="Q68" s="41">
        <v>0.50270000000000004</v>
      </c>
      <c r="R68" s="41">
        <v>0.5</v>
      </c>
      <c r="S68" s="41">
        <v>0.6</v>
      </c>
      <c r="T68" s="41">
        <v>1</v>
      </c>
      <c r="U68" s="41">
        <v>2</v>
      </c>
    </row>
    <row r="69" spans="1:22">
      <c r="A69" s="25" t="s">
        <v>115</v>
      </c>
      <c r="C69" s="19">
        <f>O52+O53</f>
        <v>108.31100000000001</v>
      </c>
      <c r="D69" s="19">
        <f>P52+P53</f>
        <v>114.238</v>
      </c>
      <c r="E69" s="19">
        <f>Q52+Q53</f>
        <v>92.694999999999993</v>
      </c>
      <c r="F69" s="19">
        <f>R52+R53</f>
        <v>365</v>
      </c>
      <c r="G69" s="19">
        <f>S52+S53</f>
        <v>143</v>
      </c>
      <c r="H69" s="19">
        <f>U52+U53</f>
        <v>1104.0999999999999</v>
      </c>
      <c r="I69" s="139"/>
      <c r="L69" s="48" t="s">
        <v>86</v>
      </c>
      <c r="M69" s="2"/>
      <c r="N69" s="41" t="e">
        <f t="shared" ref="N69:U69" si="46">N65/N66</f>
        <v>#REF!</v>
      </c>
      <c r="O69" s="41">
        <f t="shared" si="46"/>
        <v>38.265765765765764</v>
      </c>
      <c r="P69" s="41">
        <f t="shared" si="46"/>
        <v>24.069037656903763</v>
      </c>
      <c r="Q69" s="41">
        <f t="shared" si="46"/>
        <v>7.5820568927789926</v>
      </c>
      <c r="R69" s="41">
        <f t="shared" si="46"/>
        <v>21.977240398293031</v>
      </c>
      <c r="S69" s="41">
        <f t="shared" si="46"/>
        <v>26.657427937915742</v>
      </c>
      <c r="T69" s="41">
        <f t="shared" si="46"/>
        <v>28.247744621790424</v>
      </c>
      <c r="U69" s="41">
        <f t="shared" si="46"/>
        <v>51.743468795355589</v>
      </c>
      <c r="V69" s="84" t="s">
        <v>204</v>
      </c>
    </row>
    <row r="70" spans="1:22" ht="15.75" thickBot="1">
      <c r="A70" s="33" t="s">
        <v>116</v>
      </c>
      <c r="B70" s="56">
        <f>B67+B68-B69</f>
        <v>20575.661700000001</v>
      </c>
      <c r="C70" s="56">
        <f t="shared" ref="C70:H70" si="47">C67+C68-C69</f>
        <v>13828.703150000001</v>
      </c>
      <c r="D70" s="56">
        <f t="shared" si="47"/>
        <v>4559.2617413999997</v>
      </c>
      <c r="E70" s="56">
        <f t="shared" si="47"/>
        <v>17983.458782000002</v>
      </c>
      <c r="F70" s="56">
        <f t="shared" si="47"/>
        <v>28560.554478199996</v>
      </c>
      <c r="G70" s="56">
        <f t="shared" si="47"/>
        <v>48368.614931800003</v>
      </c>
      <c r="H70" s="56">
        <f t="shared" si="47"/>
        <v>168753.29165579996</v>
      </c>
      <c r="I70" s="139"/>
      <c r="L70" s="48" t="s">
        <v>87</v>
      </c>
      <c r="M70" s="2"/>
      <c r="N70" s="41" t="e">
        <f>N65/N67</f>
        <v>#REF!</v>
      </c>
      <c r="O70" s="41">
        <f t="shared" ref="O70:Q70" si="48">O65/O67</f>
        <v>5.2161143866181012</v>
      </c>
      <c r="P70" s="41">
        <f t="shared" si="48"/>
        <v>3.0849226415948152</v>
      </c>
      <c r="Q70" s="41">
        <f t="shared" si="48"/>
        <v>0.88835267711567001</v>
      </c>
      <c r="R70" s="41">
        <f t="shared" ref="R70:U70" si="49">R65/R67</f>
        <v>3.3511379552752296</v>
      </c>
      <c r="S70" s="41">
        <f t="shared" si="49"/>
        <v>3.7971004095267142</v>
      </c>
      <c r="T70" s="41">
        <f t="shared" si="49"/>
        <v>5.2771588533760108</v>
      </c>
      <c r="U70" s="41">
        <f t="shared" si="49"/>
        <v>13.808185752276717</v>
      </c>
    </row>
    <row r="71" spans="1:22">
      <c r="L71" s="48" t="s">
        <v>88</v>
      </c>
      <c r="M71" s="2"/>
      <c r="N71" s="41" t="e">
        <f>#REF!/#REF!</f>
        <v>#REF!</v>
      </c>
      <c r="O71" s="41">
        <f t="shared" ref="O71:U71" si="50">B70/B20</f>
        <v>20.688247140940945</v>
      </c>
      <c r="P71" s="41">
        <f t="shared" si="50"/>
        <v>12.866339550631439</v>
      </c>
      <c r="Q71" s="41">
        <f t="shared" si="50"/>
        <v>4.7639794670584426</v>
      </c>
      <c r="R71" s="41">
        <f t="shared" si="50"/>
        <v>13.391609723804619</v>
      </c>
      <c r="S71" s="41">
        <f t="shared" si="50"/>
        <v>17.602807074391389</v>
      </c>
      <c r="T71" s="41">
        <f t="shared" si="50"/>
        <v>18.458485319722172</v>
      </c>
      <c r="U71" s="41">
        <f t="shared" si="50"/>
        <v>35.131319174726755</v>
      </c>
    </row>
    <row r="72" spans="1:22">
      <c r="L72" s="50" t="s">
        <v>89</v>
      </c>
      <c r="M72" s="39"/>
      <c r="N72" s="38" t="e">
        <f>#REF!/N8</f>
        <v>#REF!</v>
      </c>
      <c r="O72" s="38">
        <f t="shared" ref="O72:U72" si="51">B35/O8</f>
        <v>0.13611338700041758</v>
      </c>
      <c r="P72" s="38">
        <f t="shared" si="51"/>
        <v>0.12803835375243541</v>
      </c>
      <c r="Q72" s="38">
        <f t="shared" si="51"/>
        <v>0.11854024512542588</v>
      </c>
      <c r="R72" s="38">
        <f t="shared" si="51"/>
        <v>0.15251337920489319</v>
      </c>
      <c r="S72" s="38">
        <f t="shared" si="51"/>
        <v>0.13926719622326225</v>
      </c>
      <c r="T72" s="38">
        <f t="shared" si="51"/>
        <v>0.18833148257016585</v>
      </c>
      <c r="U72" s="38">
        <f t="shared" si="51"/>
        <v>0.26686398230664155</v>
      </c>
    </row>
    <row r="73" spans="1:22">
      <c r="L73" s="50" t="s">
        <v>90</v>
      </c>
      <c r="M73" s="39"/>
      <c r="N73" s="38" t="e">
        <f>(#REF!-#REF!+#REF!)/N13</f>
        <v>#REF!</v>
      </c>
      <c r="O73" s="38">
        <f t="shared" ref="O73:U73" si="52">(B20-B24+B26)/O13</f>
        <v>0.18765886872069928</v>
      </c>
      <c r="P73" s="38">
        <f t="shared" si="52"/>
        <v>0.19406097634400993</v>
      </c>
      <c r="Q73" s="38">
        <f t="shared" si="52"/>
        <v>0.16873187606580584</v>
      </c>
      <c r="R73" s="38">
        <f t="shared" si="52"/>
        <v>0.21428952991453012</v>
      </c>
      <c r="S73" s="38">
        <f t="shared" si="52"/>
        <v>0.19037494165845542</v>
      </c>
      <c r="T73" s="38">
        <f t="shared" si="52"/>
        <v>0.26048993969151962</v>
      </c>
      <c r="U73" s="38">
        <f t="shared" si="52"/>
        <v>0.36726282298495944</v>
      </c>
    </row>
    <row r="74" spans="1:22">
      <c r="F74" s="54"/>
      <c r="G74" s="54"/>
      <c r="L74" s="48" t="s">
        <v>91</v>
      </c>
      <c r="M74" s="2"/>
      <c r="N74" s="41">
        <f t="shared" ref="N74:U74" si="53">N12/N8</f>
        <v>0.4281057108860602</v>
      </c>
      <c r="O74" s="41">
        <f t="shared" si="53"/>
        <v>0.16812522749806946</v>
      </c>
      <c r="P74" s="41">
        <f t="shared" si="53"/>
        <v>0.1003325808060285</v>
      </c>
      <c r="Q74" s="41">
        <f t="shared" si="53"/>
        <v>0.1674745113791451</v>
      </c>
      <c r="R74" s="41">
        <f t="shared" si="53"/>
        <v>0.10378440366972477</v>
      </c>
      <c r="S74" s="41">
        <f t="shared" si="53"/>
        <v>3.8722168441432725E-2</v>
      </c>
      <c r="T74" s="41">
        <f t="shared" si="53"/>
        <v>6.7498421407886427E-3</v>
      </c>
      <c r="U74" s="41">
        <f t="shared" si="53"/>
        <v>3.1548819358615749E-3</v>
      </c>
    </row>
    <row r="75" spans="1:22">
      <c r="L75" s="48" t="s">
        <v>92</v>
      </c>
      <c r="M75" s="2"/>
      <c r="N75" s="41">
        <f>(N12-N52-N53)/N8</f>
        <v>0.39507646468391111</v>
      </c>
      <c r="O75" s="41">
        <f>(O12-O52-O53)/O8</f>
        <v>0.13978240259419109</v>
      </c>
      <c r="P75" s="41">
        <f>(P12-P52-P53)/P8</f>
        <v>7.4223890509791154E-2</v>
      </c>
      <c r="Q75" s="41">
        <f>(Q12-Q52-Q53)/Q8</f>
        <v>0.14653305280356191</v>
      </c>
      <c r="R75" s="41">
        <f>(R12-R52-R53)/R8</f>
        <v>3.4021406727828746E-2</v>
      </c>
      <c r="S75" s="41">
        <f t="shared" ref="S75:U75" si="54">(S12-S52-S53)/S8</f>
        <v>1.9758914718402312E-2</v>
      </c>
      <c r="T75" s="41">
        <f t="shared" si="54"/>
        <v>-4.6595684455766763E-2</v>
      </c>
      <c r="U75" s="41">
        <f t="shared" si="54"/>
        <v>-8.6621023873024117E-2</v>
      </c>
    </row>
    <row r="76" spans="1:22">
      <c r="L76" s="48" t="s">
        <v>93</v>
      </c>
      <c r="M76" s="2"/>
      <c r="N76" s="37" t="e">
        <f>N68/N66</f>
        <v>#REF!</v>
      </c>
      <c r="O76" s="37">
        <f>O68/O65</f>
        <v>2.8746321365509127E-3</v>
      </c>
      <c r="P76" s="37">
        <f t="shared" ref="P76:U76" si="55">P68/P65</f>
        <v>4.1547153411560199E-3</v>
      </c>
      <c r="Q76" s="37">
        <f t="shared" si="55"/>
        <v>1.450793650793651E-2</v>
      </c>
      <c r="R76" s="37">
        <f t="shared" si="55"/>
        <v>3.2362459546925568E-3</v>
      </c>
      <c r="S76" s="37">
        <f t="shared" si="55"/>
        <v>2.495321272613849E-3</v>
      </c>
      <c r="T76" s="37">
        <f t="shared" si="55"/>
        <v>2.4567006510256726E-3</v>
      </c>
      <c r="U76" s="104">
        <f t="shared" si="55"/>
        <v>1.4024753690263314E-3</v>
      </c>
    </row>
    <row r="77" spans="1:22">
      <c r="L77" s="48" t="s">
        <v>94</v>
      </c>
      <c r="M77" s="2"/>
      <c r="N77" s="42" t="e">
        <f>AVERAGE(M51:N51)/#REF!*365</f>
        <v>#REF!</v>
      </c>
      <c r="O77" s="42">
        <f>AVERAGE(O51:O51)/B6*365</f>
        <v>56.445219965408285</v>
      </c>
      <c r="P77" s="42">
        <f t="shared" ref="P77:U77" si="56">AVERAGE(O51:P51)/C6*365</f>
        <v>42.687304826987443</v>
      </c>
      <c r="Q77" s="42">
        <f t="shared" si="56"/>
        <v>46.001055283483481</v>
      </c>
      <c r="R77" s="42">
        <f t="shared" si="56"/>
        <v>55.327190252560193</v>
      </c>
      <c r="S77" s="42">
        <f t="shared" si="56"/>
        <v>46.300872003829213</v>
      </c>
      <c r="T77" s="42">
        <f t="shared" si="56"/>
        <v>30.254702085494149</v>
      </c>
      <c r="U77" s="42">
        <f t="shared" si="56"/>
        <v>20.894991076944198</v>
      </c>
    </row>
    <row r="78" spans="1:22">
      <c r="L78" s="48" t="s">
        <v>95</v>
      </c>
      <c r="M78" s="2"/>
      <c r="N78" s="42" t="e">
        <f>AVERAGE(M26:N26)/#REF!*365</f>
        <v>#REF!</v>
      </c>
      <c r="O78" s="42">
        <f>AVERAGE(O26:O26)/B11*365</f>
        <v>85.489369118955594</v>
      </c>
      <c r="P78" s="42">
        <f t="shared" ref="P78:U78" si="57">AVERAGE(O26:P26)/C11*365</f>
        <v>75.730605120466393</v>
      </c>
      <c r="Q78" s="42">
        <f t="shared" si="57"/>
        <v>103.04054558585302</v>
      </c>
      <c r="R78" s="42">
        <f t="shared" si="57"/>
        <v>107.22692253896064</v>
      </c>
      <c r="S78" s="42">
        <f t="shared" si="57"/>
        <v>91.775351288452299</v>
      </c>
      <c r="T78" s="42">
        <f t="shared" si="57"/>
        <v>86.001181167344086</v>
      </c>
      <c r="U78" s="42">
        <f t="shared" si="57"/>
        <v>86.421351895003085</v>
      </c>
    </row>
    <row r="79" spans="1:22">
      <c r="L79" s="48" t="s">
        <v>96</v>
      </c>
      <c r="M79" s="2"/>
      <c r="N79" s="42" t="e">
        <f>AVERAGE(M48:N48)/#REF!*365</f>
        <v>#REF!</v>
      </c>
      <c r="O79" s="42">
        <f>AVERAGE(O48:O48)/B11*365</f>
        <v>52.292416147056727</v>
      </c>
      <c r="P79" s="42">
        <f t="shared" ref="P79:U79" si="58">AVERAGE(O48:P48)/C11*365</f>
        <v>52.368917050102603</v>
      </c>
      <c r="Q79" s="42">
        <f t="shared" si="58"/>
        <v>82.891088103166055</v>
      </c>
      <c r="R79" s="42">
        <f t="shared" si="58"/>
        <v>88.401032332584364</v>
      </c>
      <c r="S79" s="42">
        <f t="shared" si="58"/>
        <v>74.014650267567802</v>
      </c>
      <c r="T79" s="42">
        <f t="shared" si="58"/>
        <v>70.775276465369615</v>
      </c>
      <c r="U79" s="42">
        <f t="shared" si="58"/>
        <v>70.650554659337601</v>
      </c>
    </row>
    <row r="80" spans="1:22">
      <c r="L80" s="49" t="s">
        <v>97</v>
      </c>
      <c r="M80" s="2"/>
      <c r="N80" s="51" t="e">
        <f t="shared" ref="N80:Q80" si="59">(N79+N77-N78)</f>
        <v>#REF!</v>
      </c>
      <c r="O80" s="51">
        <f t="shared" si="59"/>
        <v>23.248266993509418</v>
      </c>
      <c r="P80" s="51">
        <f t="shared" si="59"/>
        <v>19.32561675662366</v>
      </c>
      <c r="Q80" s="51">
        <f t="shared" si="59"/>
        <v>25.851597800796512</v>
      </c>
      <c r="R80" s="51">
        <f t="shared" ref="R80:S80" si="60">(R79+R77-R78)</f>
        <v>36.501300046183914</v>
      </c>
      <c r="S80" s="51">
        <f t="shared" si="60"/>
        <v>28.540170982944716</v>
      </c>
      <c r="T80" s="51">
        <f>(T79+T77-T78)</f>
        <v>15.028797383519674</v>
      </c>
      <c r="U80" s="51">
        <f>(U79+U77-U78)</f>
        <v>5.1241938412787107</v>
      </c>
    </row>
    <row r="81" spans="12:21">
      <c r="L81" s="48" t="s">
        <v>98</v>
      </c>
      <c r="M81" s="2"/>
      <c r="N81" s="42" t="e">
        <f>AVERAGE(M59:N59)/#REF!*365</f>
        <v>#REF!</v>
      </c>
      <c r="O81" s="42">
        <f>AVERAGE(O59:O59)/B8*365</f>
        <v>15.112563678462703</v>
      </c>
      <c r="P81" s="42">
        <f t="shared" ref="P81:U81" si="61">AVERAGE(O59:P59)/C8*365</f>
        <v>14.207304063980063</v>
      </c>
      <c r="Q81" s="42">
        <f t="shared" si="61"/>
        <v>19.931196803456778</v>
      </c>
      <c r="R81" s="42">
        <f t="shared" si="61"/>
        <v>29.139051067278665</v>
      </c>
      <c r="S81" s="42">
        <f t="shared" si="61"/>
        <v>39.173895682707659</v>
      </c>
      <c r="T81" s="42">
        <f t="shared" si="61"/>
        <v>39.456254543802245</v>
      </c>
      <c r="U81" s="42">
        <f t="shared" si="61"/>
        <v>37.030860276171033</v>
      </c>
    </row>
    <row r="82" spans="12:21" ht="15.75" thickBot="1">
      <c r="L82" s="52" t="s">
        <v>99</v>
      </c>
      <c r="M82" s="44"/>
      <c r="N82" s="27" t="e">
        <f>#REF!/N12</f>
        <v>#REF!</v>
      </c>
      <c r="O82" s="27">
        <f t="shared" ref="O82:U82" si="62">B25/O12</f>
        <v>0.21053598221901243</v>
      </c>
      <c r="P82" s="27">
        <f t="shared" si="62"/>
        <v>0.26243328633289525</v>
      </c>
      <c r="Q82" s="27">
        <f t="shared" si="62"/>
        <v>0.19775747429877227</v>
      </c>
      <c r="R82" s="27">
        <f t="shared" si="62"/>
        <v>0.2252670349907919</v>
      </c>
      <c r="S82" s="27">
        <f t="shared" si="62"/>
        <v>0.32602739726027397</v>
      </c>
      <c r="T82" s="27">
        <f t="shared" si="62"/>
        <v>1.6596774193548387</v>
      </c>
      <c r="U82" s="105">
        <f t="shared" si="62"/>
        <v>5.9716494845360826</v>
      </c>
    </row>
    <row r="84" spans="12:21" ht="60">
      <c r="L84" s="92" t="s">
        <v>211</v>
      </c>
    </row>
  </sheetData>
  <mergeCells count="6">
    <mergeCell ref="L63:V63"/>
    <mergeCell ref="A2:U2"/>
    <mergeCell ref="L4:U4"/>
    <mergeCell ref="A4:J4"/>
    <mergeCell ref="A49:H49"/>
    <mergeCell ref="A59:H59"/>
  </mergeCells>
  <pageMargins left="0.25" right="0.25" top="0.75" bottom="0.75" header="0.3" footer="0.3"/>
  <pageSetup paperSize="9" scale="40" orientation="landscape" verticalDpi="360" r:id="rId1"/>
  <colBreaks count="1" manualBreakCount="1">
    <brk id="17" max="1048575" man="1"/>
  </colBreaks>
  <ignoredErrors>
    <ignoredError sqref="B70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15"/>
  <sheetViews>
    <sheetView zoomScale="101" workbookViewId="0">
      <selection activeCell="F15" sqref="F15"/>
    </sheetView>
  </sheetViews>
  <sheetFormatPr defaultColWidth="11.5703125" defaultRowHeight="15"/>
  <cols>
    <col min="4" max="4" width="18.5703125" bestFit="1" customWidth="1"/>
  </cols>
  <sheetData>
    <row r="3" spans="1:5">
      <c r="A3" s="115" t="s">
        <v>192</v>
      </c>
      <c r="B3" s="115"/>
      <c r="C3" s="115"/>
      <c r="D3" s="115"/>
      <c r="E3" s="115"/>
    </row>
    <row r="6" spans="1:5">
      <c r="D6" t="s">
        <v>191</v>
      </c>
    </row>
    <row r="7" spans="1:5">
      <c r="A7" s="2" t="s">
        <v>15</v>
      </c>
      <c r="B7" s="2">
        <f>'Summary Sheet'!F20</f>
        <v>1622.4999999999982</v>
      </c>
      <c r="D7" s="2" t="s">
        <v>188</v>
      </c>
      <c r="E7" s="2">
        <v>170</v>
      </c>
    </row>
    <row r="8" spans="1:5">
      <c r="A8" s="2" t="s">
        <v>17</v>
      </c>
      <c r="B8" s="2">
        <f>'Summary Sheet'!F24</f>
        <v>154.1</v>
      </c>
      <c r="D8" s="2" t="s">
        <v>189</v>
      </c>
      <c r="E8" s="2">
        <v>7544</v>
      </c>
    </row>
    <row r="9" spans="1:5">
      <c r="A9" s="2" t="s">
        <v>18</v>
      </c>
      <c r="B9" s="2">
        <f>'Summary Sheet'!F26</f>
        <v>0</v>
      </c>
      <c r="D9" s="2"/>
      <c r="E9" s="2"/>
    </row>
    <row r="10" spans="1:5">
      <c r="A10" s="2"/>
      <c r="B10" s="2"/>
      <c r="D10" s="2"/>
      <c r="E10" s="2"/>
    </row>
    <row r="11" spans="1:5">
      <c r="A11" s="2" t="s">
        <v>187</v>
      </c>
      <c r="B11" s="2">
        <f>B7-B8+B9</f>
        <v>1468.3999999999983</v>
      </c>
      <c r="D11" s="2" t="s">
        <v>190</v>
      </c>
      <c r="E11" s="2">
        <f>E7+E8</f>
        <v>7714</v>
      </c>
    </row>
    <row r="15" spans="1:5">
      <c r="B15" s="1" t="s">
        <v>186</v>
      </c>
      <c r="C15" s="45">
        <f>B11/E11</f>
        <v>0.19035519834067907</v>
      </c>
    </row>
  </sheetData>
  <mergeCells count="1">
    <mergeCell ref="A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M52"/>
  <sheetViews>
    <sheetView workbookViewId="0">
      <selection activeCell="K19" sqref="K19"/>
    </sheetView>
  </sheetViews>
  <sheetFormatPr defaultColWidth="8.5703125" defaultRowHeight="15"/>
  <cols>
    <col min="1" max="1" width="20.42578125" bestFit="1" customWidth="1"/>
    <col min="4" max="4" width="10.140625" bestFit="1" customWidth="1"/>
    <col min="8" max="8" width="20.140625" bestFit="1" customWidth="1"/>
    <col min="11" max="11" width="12" bestFit="1" customWidth="1"/>
  </cols>
  <sheetData>
    <row r="3" spans="1:13" ht="15.75" thickBot="1">
      <c r="B3" t="s">
        <v>6</v>
      </c>
      <c r="C3" t="s">
        <v>6</v>
      </c>
      <c r="D3" t="s">
        <v>6</v>
      </c>
      <c r="E3" t="s">
        <v>6</v>
      </c>
      <c r="F3" t="s">
        <v>6</v>
      </c>
    </row>
    <row r="4" spans="1:13">
      <c r="A4" s="14" t="s">
        <v>1</v>
      </c>
      <c r="B4" t="s">
        <v>148</v>
      </c>
      <c r="C4" t="s">
        <v>149</v>
      </c>
      <c r="D4" t="s">
        <v>152</v>
      </c>
      <c r="E4" t="s">
        <v>150</v>
      </c>
      <c r="F4" t="s">
        <v>153</v>
      </c>
      <c r="H4" s="10" t="s">
        <v>154</v>
      </c>
      <c r="I4" t="s">
        <v>148</v>
      </c>
      <c r="J4" t="s">
        <v>149</v>
      </c>
      <c r="K4" t="s">
        <v>152</v>
      </c>
      <c r="L4" t="s">
        <v>150</v>
      </c>
      <c r="M4" t="s">
        <v>153</v>
      </c>
    </row>
    <row r="5" spans="1:13">
      <c r="A5" s="11" t="s">
        <v>175</v>
      </c>
      <c r="B5" s="5">
        <f>'Summary Sheet'!D6</f>
        <v>11562.296</v>
      </c>
      <c r="C5">
        <v>58100.9</v>
      </c>
      <c r="D5">
        <f>5436762300/10^6</f>
        <v>5436.7623000000003</v>
      </c>
      <c r="H5" s="11" t="s">
        <v>155</v>
      </c>
      <c r="I5">
        <f>'Summary Sheet'!Q8</f>
        <v>4426.3870000000006</v>
      </c>
      <c r="J5">
        <v>31174</v>
      </c>
      <c r="K5">
        <f>5769088987/10^6</f>
        <v>5769.0889870000001</v>
      </c>
    </row>
    <row r="6" spans="1:13">
      <c r="A6" s="11" t="s">
        <v>176</v>
      </c>
      <c r="B6" s="5" t="e">
        <f>'Summary Sheet'!#REF!</f>
        <v>#REF!</v>
      </c>
      <c r="C6">
        <v>42197.599999999999</v>
      </c>
      <c r="D6">
        <f>1265968804/10^6</f>
        <v>1265.9688040000001</v>
      </c>
      <c r="H6" s="11" t="s">
        <v>75</v>
      </c>
      <c r="I6">
        <f>'Summary Sheet'!Q10</f>
        <v>294.62099999999998</v>
      </c>
      <c r="J6">
        <v>217.8</v>
      </c>
    </row>
    <row r="7" spans="1:13">
      <c r="A7" s="12" t="s">
        <v>151</v>
      </c>
      <c r="B7" s="16" t="e">
        <f t="shared" ref="B7" si="0">((B5/B6)^(1/3)-1)</f>
        <v>#REF!</v>
      </c>
      <c r="C7" s="16">
        <f>((C5/C6)^(1/3)-1)</f>
        <v>0.11249577314211812</v>
      </c>
      <c r="D7" s="16">
        <f t="shared" ref="D7:F7" si="1">((D5/D6)^(1/3)-1)</f>
        <v>0.62544563006467313</v>
      </c>
      <c r="E7" s="16" t="e">
        <f t="shared" si="1"/>
        <v>#DIV/0!</v>
      </c>
      <c r="F7" s="16" t="e">
        <f t="shared" si="1"/>
        <v>#DIV/0!</v>
      </c>
      <c r="H7" s="11" t="s">
        <v>76</v>
      </c>
      <c r="I7">
        <f>'Summary Sheet'!Q11</f>
        <v>446.68599999999998</v>
      </c>
      <c r="J7">
        <v>165.1</v>
      </c>
    </row>
    <row r="8" spans="1:13">
      <c r="A8" s="11"/>
      <c r="H8" s="12" t="s">
        <v>77</v>
      </c>
      <c r="I8">
        <f>SUM(I6:I7)</f>
        <v>741.30700000000002</v>
      </c>
      <c r="J8">
        <f>SUM(J6:J7)</f>
        <v>382.9</v>
      </c>
    </row>
    <row r="9" spans="1:13">
      <c r="A9" s="11" t="s">
        <v>11</v>
      </c>
      <c r="B9" s="5">
        <f>'Summary Sheet'!D11</f>
        <v>10646.757000000001</v>
      </c>
      <c r="C9">
        <v>51476.9</v>
      </c>
      <c r="D9">
        <f>5263386907/10^6</f>
        <v>5263.3869070000001</v>
      </c>
      <c r="H9" s="12" t="s">
        <v>78</v>
      </c>
      <c r="I9" s="4">
        <f>'Summary Sheet'!Q13</f>
        <v>4900.6330000000007</v>
      </c>
      <c r="J9">
        <v>32399.4</v>
      </c>
      <c r="K9">
        <f>(7286416406/10^6)-(1099349464/10^6)</f>
        <v>6187.0669420000004</v>
      </c>
    </row>
    <row r="10" spans="1:13">
      <c r="A10" s="11"/>
      <c r="H10" s="11" t="s">
        <v>156</v>
      </c>
      <c r="I10" s="4">
        <f>'Summary Sheet'!Q46</f>
        <v>4674.5340000000006</v>
      </c>
      <c r="J10">
        <v>21044.7</v>
      </c>
      <c r="K10">
        <f>3033435232/10^6</f>
        <v>3033.4352319999998</v>
      </c>
    </row>
    <row r="11" spans="1:13">
      <c r="A11" s="12" t="s">
        <v>163</v>
      </c>
      <c r="B11" s="5">
        <f>'Summary Sheet'!D20</f>
        <v>957.02799999999843</v>
      </c>
      <c r="C11" s="5">
        <f>C5-C9</f>
        <v>6624</v>
      </c>
      <c r="D11" s="5">
        <f>D5-D9</f>
        <v>173.37539300000026</v>
      </c>
      <c r="H11" s="11" t="s">
        <v>157</v>
      </c>
      <c r="I11" s="4">
        <f>'Summary Sheet'!Q58</f>
        <v>4861.4589999999989</v>
      </c>
      <c r="J11">
        <v>28970.1</v>
      </c>
      <c r="K11">
        <f>4252981174/10^6</f>
        <v>4252.9811739999996</v>
      </c>
    </row>
    <row r="12" spans="1:13">
      <c r="A12" s="12" t="s">
        <v>164</v>
      </c>
      <c r="B12" s="5" t="e">
        <f>'Summary Sheet'!#REF!</f>
        <v>#REF!</v>
      </c>
      <c r="C12">
        <v>3095.5</v>
      </c>
      <c r="D12" s="5">
        <f>1012519457/10^6</f>
        <v>1012.519457</v>
      </c>
      <c r="H12" s="11" t="s">
        <v>177</v>
      </c>
      <c r="I12" s="4">
        <f>'Summary Sheet'!Q48</f>
        <v>2706.8560000000002</v>
      </c>
      <c r="J12">
        <v>8833.6</v>
      </c>
      <c r="K12">
        <f>1022696874/10^6</f>
        <v>1022.696874</v>
      </c>
    </row>
    <row r="13" spans="1:13">
      <c r="A13" s="12" t="s">
        <v>151</v>
      </c>
      <c r="B13" s="16" t="e">
        <f>((B11/B12)^(1/3)-1)</f>
        <v>#REF!</v>
      </c>
      <c r="C13" s="16">
        <f t="shared" ref="C13:F13" si="2">((C11/C12)^(1/3)-1)</f>
        <v>0.28863474968882974</v>
      </c>
      <c r="D13" s="16">
        <f t="shared" si="2"/>
        <v>-0.4446995479832514</v>
      </c>
      <c r="E13" s="16" t="e">
        <f t="shared" si="2"/>
        <v>#DIV/0!</v>
      </c>
      <c r="F13" s="16" t="e">
        <f t="shared" si="2"/>
        <v>#DIV/0!</v>
      </c>
      <c r="H13" s="11" t="s">
        <v>178</v>
      </c>
    </row>
    <row r="14" spans="1:13">
      <c r="A14" s="11"/>
      <c r="H14" s="11" t="s">
        <v>179</v>
      </c>
      <c r="I14" s="4">
        <f>'Summary Sheet'!Q51</f>
        <v>1473.27</v>
      </c>
      <c r="J14">
        <v>7318.6</v>
      </c>
      <c r="K14">
        <f>961576534/10^6</f>
        <v>961.57653400000004</v>
      </c>
    </row>
    <row r="15" spans="1:13">
      <c r="A15" s="11" t="s">
        <v>165</v>
      </c>
      <c r="B15" s="5">
        <f>'Summary Sheet'!D24</f>
        <v>130.13499999999999</v>
      </c>
      <c r="C15">
        <v>1072.2</v>
      </c>
      <c r="D15">
        <f>163499020/10^6</f>
        <v>163.49902</v>
      </c>
      <c r="H15" s="11" t="s">
        <v>180</v>
      </c>
    </row>
    <row r="16" spans="1:13">
      <c r="A16" s="11" t="s">
        <v>166</v>
      </c>
      <c r="B16" s="5">
        <f>'Summary Sheet'!D25</f>
        <v>146.59899999999999</v>
      </c>
      <c r="C16">
        <v>172.3</v>
      </c>
      <c r="D16">
        <f>14683746/10^6</f>
        <v>14.683745999999999</v>
      </c>
      <c r="H16" s="11" t="s">
        <v>158</v>
      </c>
      <c r="I16" s="4">
        <f>SUM('Summary Sheet'!Q52:Q53)</f>
        <v>92.694999999999993</v>
      </c>
      <c r="J16">
        <v>1688.9</v>
      </c>
      <c r="K16">
        <f>+(231535599+26760959)/10^6</f>
        <v>258.296558</v>
      </c>
    </row>
    <row r="17" spans="1:13">
      <c r="A17" s="11"/>
      <c r="H17" s="11" t="s">
        <v>159</v>
      </c>
      <c r="I17" s="4">
        <f>'Summary Sheet'!Q32</f>
        <v>4188.674</v>
      </c>
      <c r="J17">
        <v>17754.599999999999</v>
      </c>
      <c r="K17">
        <f>1099349464/10^6</f>
        <v>1099.3494639999999</v>
      </c>
    </row>
    <row r="18" spans="1:13">
      <c r="A18" s="11" t="s">
        <v>167</v>
      </c>
      <c r="B18" s="5" t="e">
        <f>'Summary Sheet'!#REF!</f>
        <v>#REF!</v>
      </c>
      <c r="C18">
        <v>634.20000000000005</v>
      </c>
      <c r="D18">
        <f>108587522/10^6</f>
        <v>108.58752200000001</v>
      </c>
      <c r="H18" s="11" t="s">
        <v>181</v>
      </c>
      <c r="I18" s="4">
        <f>'Summary Sheet'!Q26</f>
        <v>3204.9949999999999</v>
      </c>
      <c r="J18">
        <f>802.5+12126.7</f>
        <v>12929.2</v>
      </c>
      <c r="K18">
        <f>+(102240330+475471708)/10^6</f>
        <v>577.71203800000001</v>
      </c>
    </row>
    <row r="19" spans="1:13">
      <c r="A19" s="11" t="s">
        <v>168</v>
      </c>
      <c r="B19" s="5" t="e">
        <f>'Summary Sheet'!#REF!</f>
        <v>#REF!</v>
      </c>
      <c r="C19">
        <v>322.10000000000002</v>
      </c>
      <c r="D19">
        <f>16934950/10^6</f>
        <v>16.934950000000001</v>
      </c>
      <c r="H19" s="11" t="s">
        <v>182</v>
      </c>
    </row>
    <row r="20" spans="1:13" ht="15.75" thickBot="1">
      <c r="A20" s="11"/>
      <c r="H20" s="15" t="s">
        <v>160</v>
      </c>
      <c r="I20" s="4">
        <f>I11-I17</f>
        <v>672.78499999999894</v>
      </c>
      <c r="J20" s="4">
        <f t="shared" ref="J20:M20" si="3">J11-J17</f>
        <v>11215.5</v>
      </c>
      <c r="K20" s="4">
        <f t="shared" si="3"/>
        <v>3153.6317099999997</v>
      </c>
      <c r="L20" s="4">
        <f t="shared" si="3"/>
        <v>0</v>
      </c>
      <c r="M20" s="4">
        <f t="shared" si="3"/>
        <v>0</v>
      </c>
    </row>
    <row r="21" spans="1:13">
      <c r="A21" s="11" t="s">
        <v>169</v>
      </c>
      <c r="B21" s="5">
        <f>'Summary Sheet'!D27</f>
        <v>680.2939999999985</v>
      </c>
      <c r="C21">
        <v>6252.5</v>
      </c>
      <c r="D21">
        <f>231033695/10^6</f>
        <v>231.03369499999999</v>
      </c>
    </row>
    <row r="22" spans="1:13">
      <c r="A22" s="11" t="s">
        <v>170</v>
      </c>
      <c r="B22" s="5" t="e">
        <f>'Summary Sheet'!#REF!</f>
        <v>#REF!</v>
      </c>
      <c r="C22">
        <v>2487.1</v>
      </c>
      <c r="D22">
        <f>1158838826/10^6</f>
        <v>1158.8388259999999</v>
      </c>
    </row>
    <row r="23" spans="1:13">
      <c r="A23" s="11"/>
    </row>
    <row r="24" spans="1:13">
      <c r="A24" s="11" t="s">
        <v>171</v>
      </c>
      <c r="B24" s="5">
        <f>'Summary Sheet'!D35</f>
        <v>524.70499999999856</v>
      </c>
      <c r="C24">
        <v>4717.2</v>
      </c>
      <c r="D24">
        <f>180059052/10^6</f>
        <v>180.05905200000001</v>
      </c>
    </row>
    <row r="25" spans="1:13">
      <c r="A25" s="11" t="s">
        <v>172</v>
      </c>
      <c r="B25" s="5" t="e">
        <f>'Summary Sheet'!#REF!</f>
        <v>#REF!</v>
      </c>
      <c r="C25">
        <v>1307.5</v>
      </c>
      <c r="D25">
        <f>827079760/10^6</f>
        <v>827.07975999999996</v>
      </c>
    </row>
    <row r="26" spans="1:13" ht="15.75" thickBot="1">
      <c r="A26" s="12" t="s">
        <v>151</v>
      </c>
      <c r="B26" s="17" t="e">
        <f>(B24/B25)^(1/3)-1</f>
        <v>#REF!</v>
      </c>
      <c r="C26" s="17">
        <f>(C24/C25)^(1/3)-1</f>
        <v>0.53372512029609975</v>
      </c>
      <c r="D26" s="17">
        <f>(D24/D25)^(1/3)-1</f>
        <v>-0.39842581862614057</v>
      </c>
    </row>
    <row r="27" spans="1:13">
      <c r="A27" s="11"/>
      <c r="H27" s="14" t="s">
        <v>80</v>
      </c>
      <c r="I27" t="s">
        <v>148</v>
      </c>
      <c r="J27" t="s">
        <v>149</v>
      </c>
      <c r="K27" t="s">
        <v>152</v>
      </c>
      <c r="L27" t="s">
        <v>150</v>
      </c>
      <c r="M27" t="s">
        <v>153</v>
      </c>
    </row>
    <row r="28" spans="1:13" ht="15.75" thickBot="1">
      <c r="A28" s="13" t="s">
        <v>173</v>
      </c>
      <c r="B28" s="4">
        <f>'Summary Sheet'!D44</f>
        <v>4.57</v>
      </c>
      <c r="C28">
        <v>55.04</v>
      </c>
      <c r="D28">
        <v>20.83</v>
      </c>
      <c r="H28" s="11" t="s">
        <v>112</v>
      </c>
    </row>
    <row r="29" spans="1:13">
      <c r="H29" s="11" t="s">
        <v>113</v>
      </c>
    </row>
    <row r="30" spans="1:13">
      <c r="H30" s="11" t="s">
        <v>114</v>
      </c>
    </row>
    <row r="31" spans="1:13">
      <c r="H31" s="11" t="s">
        <v>115</v>
      </c>
    </row>
    <row r="32" spans="1:13">
      <c r="H32" s="11" t="s">
        <v>116</v>
      </c>
    </row>
    <row r="33" spans="8:8">
      <c r="H33" s="11" t="s">
        <v>82</v>
      </c>
    </row>
    <row r="34" spans="8:8">
      <c r="H34" s="11" t="s">
        <v>83</v>
      </c>
    </row>
    <row r="35" spans="8:8">
      <c r="H35" s="11" t="s">
        <v>84</v>
      </c>
    </row>
    <row r="36" spans="8:8">
      <c r="H36" s="11" t="s">
        <v>86</v>
      </c>
    </row>
    <row r="37" spans="8:8">
      <c r="H37" s="11" t="s">
        <v>87</v>
      </c>
    </row>
    <row r="38" spans="8:8">
      <c r="H38" s="11" t="s">
        <v>88</v>
      </c>
    </row>
    <row r="39" spans="8:8">
      <c r="H39" s="11" t="s">
        <v>89</v>
      </c>
    </row>
    <row r="40" spans="8:8">
      <c r="H40" s="11" t="s">
        <v>90</v>
      </c>
    </row>
    <row r="41" spans="8:8">
      <c r="H41" s="11" t="s">
        <v>161</v>
      </c>
    </row>
    <row r="42" spans="8:8">
      <c r="H42" s="11" t="s">
        <v>91</v>
      </c>
    </row>
    <row r="43" spans="8:8">
      <c r="H43" s="11" t="s">
        <v>92</v>
      </c>
    </row>
    <row r="44" spans="8:8">
      <c r="H44" s="11" t="s">
        <v>162</v>
      </c>
    </row>
    <row r="45" spans="8:8">
      <c r="H45" s="11" t="s">
        <v>93</v>
      </c>
    </row>
    <row r="46" spans="8:8">
      <c r="H46" s="11" t="s">
        <v>94</v>
      </c>
    </row>
    <row r="47" spans="8:8">
      <c r="H47" s="11" t="s">
        <v>95</v>
      </c>
    </row>
    <row r="48" spans="8:8">
      <c r="H48" s="11" t="s">
        <v>96</v>
      </c>
    </row>
    <row r="49" spans="8:8">
      <c r="H49" s="11" t="s">
        <v>97</v>
      </c>
    </row>
    <row r="50" spans="8:8">
      <c r="H50" s="11" t="s">
        <v>98</v>
      </c>
    </row>
    <row r="51" spans="8:8">
      <c r="H51" s="11" t="s">
        <v>99</v>
      </c>
    </row>
    <row r="52" spans="8:8" ht="15.75" thickBot="1">
      <c r="H52" s="13" t="s">
        <v>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52"/>
  <sheetViews>
    <sheetView topLeftCell="A22" workbookViewId="0">
      <selection activeCell="B30" sqref="B30"/>
    </sheetView>
  </sheetViews>
  <sheetFormatPr defaultColWidth="8.5703125" defaultRowHeight="15"/>
  <cols>
    <col min="1" max="1" width="34.5703125" bestFit="1" customWidth="1"/>
    <col min="4" max="4" width="10.140625" bestFit="1" customWidth="1"/>
  </cols>
  <sheetData>
    <row r="2" spans="1:6">
      <c r="B2" t="s">
        <v>148</v>
      </c>
      <c r="C2" t="s">
        <v>149</v>
      </c>
      <c r="D2" t="s">
        <v>152</v>
      </c>
      <c r="E2" t="s">
        <v>150</v>
      </c>
      <c r="F2" t="s">
        <v>153</v>
      </c>
    </row>
    <row r="3" spans="1:6">
      <c r="A3" s="116" t="s">
        <v>119</v>
      </c>
    </row>
    <row r="4" spans="1:6">
      <c r="A4" s="117"/>
    </row>
    <row r="5" spans="1:6">
      <c r="A5" s="6" t="s">
        <v>120</v>
      </c>
    </row>
    <row r="6" spans="1:6">
      <c r="A6" s="6" t="s">
        <v>1</v>
      </c>
    </row>
    <row r="7" spans="1:6">
      <c r="A7" s="7" t="s">
        <v>121</v>
      </c>
    </row>
    <row r="8" spans="1:6">
      <c r="A8" s="7" t="s">
        <v>122</v>
      </c>
    </row>
    <row r="9" spans="1:6">
      <c r="A9" s="6" t="s">
        <v>15</v>
      </c>
    </row>
    <row r="10" spans="1:6">
      <c r="A10" s="7" t="s">
        <v>122</v>
      </c>
    </row>
    <row r="11" spans="1:6">
      <c r="A11" s="6" t="s">
        <v>123</v>
      </c>
    </row>
    <row r="12" spans="1:6">
      <c r="A12" s="6" t="s">
        <v>21</v>
      </c>
    </row>
    <row r="13" spans="1:6">
      <c r="A13" s="7" t="s">
        <v>122</v>
      </c>
    </row>
    <row r="14" spans="1:6">
      <c r="A14" s="6" t="s">
        <v>124</v>
      </c>
    </row>
    <row r="15" spans="1:6">
      <c r="A15" s="7" t="s">
        <v>27</v>
      </c>
    </row>
    <row r="16" spans="1:6">
      <c r="A16" s="7"/>
    </row>
    <row r="17" spans="1:1">
      <c r="A17" s="7"/>
    </row>
    <row r="18" spans="1:1">
      <c r="A18" s="6" t="s">
        <v>125</v>
      </c>
    </row>
    <row r="19" spans="1:1">
      <c r="A19" s="6" t="s">
        <v>126</v>
      </c>
    </row>
    <row r="20" spans="1:1">
      <c r="A20" s="6" t="s">
        <v>114</v>
      </c>
    </row>
    <row r="21" spans="1:1">
      <c r="A21" s="8" t="s">
        <v>127</v>
      </c>
    </row>
    <row r="22" spans="1:1">
      <c r="A22" s="8" t="s">
        <v>128</v>
      </c>
    </row>
    <row r="23" spans="1:1">
      <c r="A23" s="7"/>
    </row>
    <row r="24" spans="1:1">
      <c r="A24" s="6" t="s">
        <v>100</v>
      </c>
    </row>
    <row r="25" spans="1:1">
      <c r="A25" s="7" t="s">
        <v>129</v>
      </c>
    </row>
    <row r="26" spans="1:1">
      <c r="A26" s="7" t="s">
        <v>111</v>
      </c>
    </row>
    <row r="27" spans="1:1">
      <c r="A27" s="9"/>
    </row>
    <row r="28" spans="1:1">
      <c r="A28" s="9" t="s">
        <v>112</v>
      </c>
    </row>
    <row r="29" spans="1:1">
      <c r="A29" s="6" t="s">
        <v>113</v>
      </c>
    </row>
    <row r="30" spans="1:1">
      <c r="A30" s="6" t="s">
        <v>130</v>
      </c>
    </row>
    <row r="31" spans="1:1">
      <c r="A31" s="7"/>
    </row>
    <row r="32" spans="1:1">
      <c r="A32" s="7" t="s">
        <v>131</v>
      </c>
    </row>
    <row r="33" spans="1:1">
      <c r="A33" s="7" t="s">
        <v>93</v>
      </c>
    </row>
    <row r="34" spans="1:1">
      <c r="A34" s="7" t="s">
        <v>132</v>
      </c>
    </row>
    <row r="35" spans="1:1">
      <c r="A35" s="7" t="s">
        <v>133</v>
      </c>
    </row>
    <row r="36" spans="1:1">
      <c r="A36" s="7"/>
    </row>
    <row r="37" spans="1:1">
      <c r="A37" s="6" t="s">
        <v>134</v>
      </c>
    </row>
    <row r="38" spans="1:1">
      <c r="A38" s="6" t="s">
        <v>135</v>
      </c>
    </row>
    <row r="39" spans="1:1">
      <c r="A39" s="7" t="s">
        <v>136</v>
      </c>
    </row>
    <row r="40" spans="1:1">
      <c r="A40" s="7" t="s">
        <v>137</v>
      </c>
    </row>
    <row r="41" spans="1:1">
      <c r="A41" s="7" t="s">
        <v>138</v>
      </c>
    </row>
    <row r="42" spans="1:1">
      <c r="A42" s="7" t="s">
        <v>139</v>
      </c>
    </row>
    <row r="43" spans="1:1">
      <c r="A43" s="7" t="s">
        <v>140</v>
      </c>
    </row>
    <row r="44" spans="1:1">
      <c r="A44" s="7" t="s">
        <v>141</v>
      </c>
    </row>
    <row r="45" spans="1:1">
      <c r="A45" s="7" t="s">
        <v>96</v>
      </c>
    </row>
    <row r="46" spans="1:1">
      <c r="A46" s="7" t="s">
        <v>142</v>
      </c>
    </row>
    <row r="47" spans="1:1">
      <c r="A47" s="7" t="s">
        <v>143</v>
      </c>
    </row>
    <row r="48" spans="1:1">
      <c r="A48" s="7" t="s">
        <v>98</v>
      </c>
    </row>
    <row r="49" spans="1:1">
      <c r="A49" s="7" t="s">
        <v>144</v>
      </c>
    </row>
    <row r="50" spans="1:1">
      <c r="A50" s="7" t="s">
        <v>145</v>
      </c>
    </row>
    <row r="51" spans="1:1">
      <c r="A51" s="7" t="s">
        <v>146</v>
      </c>
    </row>
    <row r="52" spans="1:1">
      <c r="A52" s="7" t="s">
        <v>147</v>
      </c>
    </row>
  </sheetData>
  <mergeCells count="1">
    <mergeCell ref="A3:A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Summary Sheet</vt:lpstr>
      <vt:lpstr>Sheet1</vt:lpstr>
      <vt:lpstr>Peer working</vt:lpstr>
      <vt:lpstr>Peers</vt:lpstr>
      <vt:lpstr>'Summary 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Tanishq</dc:creator>
  <cp:lastModifiedBy>v15</cp:lastModifiedBy>
  <cp:lastPrinted>2022-06-29T12:01:35Z</cp:lastPrinted>
  <dcterms:created xsi:type="dcterms:W3CDTF">2021-01-13T15:05:52Z</dcterms:created>
  <dcterms:modified xsi:type="dcterms:W3CDTF">2024-08-20T10:37:27Z</dcterms:modified>
</cp:coreProperties>
</file>