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Harshit\Centum\Summary Sheet\Q3-FY25\"/>
    </mc:Choice>
  </mc:AlternateContent>
  <bookViews>
    <workbookView xWindow="0" yWindow="0" windowWidth="20490" windowHeight="7020"/>
  </bookViews>
  <sheets>
    <sheet name="Summary sheet- CONSOLIDATED" sheetId="7" r:id="rId1"/>
    <sheet name="Standalone" sheetId="9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7" l="1"/>
  <c r="J60" i="7"/>
  <c r="J54" i="7" l="1"/>
  <c r="U67" i="7"/>
  <c r="J32" i="7"/>
  <c r="J31" i="7"/>
  <c r="J29" i="7"/>
  <c r="J25" i="7"/>
  <c r="J22" i="7"/>
  <c r="J17" i="7"/>
  <c r="J14" i="7"/>
  <c r="J7" i="7"/>
  <c r="J4" i="7"/>
  <c r="S14" i="7" l="1"/>
  <c r="S11" i="7"/>
  <c r="T31" i="7"/>
  <c r="U31" i="7"/>
  <c r="U61" i="7" s="1"/>
  <c r="T14" i="7"/>
  <c r="T11" i="7"/>
  <c r="T7" i="7"/>
  <c r="T12" i="7" s="1"/>
  <c r="U14" i="7"/>
  <c r="U11" i="7"/>
  <c r="U7" i="7"/>
  <c r="J49" i="7"/>
  <c r="I39" i="7"/>
  <c r="I38" i="7"/>
  <c r="I7" i="7"/>
  <c r="I4" i="7"/>
  <c r="U84" i="7"/>
  <c r="T61" i="7" l="1"/>
  <c r="U12" i="7"/>
  <c r="J23" i="7"/>
  <c r="I14" i="7"/>
  <c r="U42" i="7"/>
  <c r="U62" i="7" s="1"/>
  <c r="F39" i="7"/>
  <c r="G39" i="7"/>
  <c r="H39" i="7"/>
  <c r="E39" i="7"/>
  <c r="U53" i="7" l="1"/>
  <c r="I17" i="7"/>
  <c r="I23" i="7"/>
  <c r="T68" i="7"/>
  <c r="T86" i="7"/>
  <c r="T85" i="7" s="1"/>
  <c r="T78" i="7"/>
  <c r="T77" i="7"/>
  <c r="I55" i="7" l="1"/>
  <c r="I54" i="7"/>
  <c r="I49" i="7"/>
  <c r="H38" i="7"/>
  <c r="T70" i="7"/>
  <c r="I62" i="7"/>
  <c r="I60" i="7"/>
  <c r="T83" i="7" l="1"/>
  <c r="I29" i="7"/>
  <c r="T79" i="7"/>
  <c r="T80" i="7"/>
  <c r="I56" i="7"/>
  <c r="H55" i="7"/>
  <c r="F49" i="7"/>
  <c r="H62" i="7"/>
  <c r="T42" i="7"/>
  <c r="H24" i="7"/>
  <c r="T53" i="7" l="1"/>
  <c r="T82" i="7" s="1"/>
  <c r="I32" i="7"/>
  <c r="I25" i="7"/>
  <c r="T71" i="7"/>
  <c r="T74" i="7"/>
  <c r="T73" i="7"/>
  <c r="T81" i="7"/>
  <c r="T62" i="7"/>
  <c r="I61" i="7"/>
  <c r="I63" i="7" s="1"/>
  <c r="T72" i="7" s="1"/>
  <c r="T75" i="7"/>
  <c r="T76" i="7"/>
  <c r="S86" i="7"/>
  <c r="R86" i="7"/>
  <c r="Q86" i="7"/>
  <c r="P86" i="7"/>
  <c r="P85" i="7" s="1"/>
  <c r="O86" i="7"/>
  <c r="O85" i="7" s="1"/>
  <c r="P78" i="7"/>
  <c r="O78" i="7"/>
  <c r="S77" i="7"/>
  <c r="R77" i="7"/>
  <c r="Q77" i="7"/>
  <c r="P77" i="7"/>
  <c r="O77" i="7"/>
  <c r="S67" i="7"/>
  <c r="S70" i="7" s="1"/>
  <c r="R67" i="7"/>
  <c r="Q67" i="7"/>
  <c r="Q70" i="7" s="1"/>
  <c r="P67" i="7"/>
  <c r="P70" i="7" s="1"/>
  <c r="O67" i="7"/>
  <c r="O70" i="7" s="1"/>
  <c r="S42" i="7"/>
  <c r="R42" i="7"/>
  <c r="Q42" i="7"/>
  <c r="P42" i="7"/>
  <c r="O42" i="7"/>
  <c r="S31" i="7"/>
  <c r="S61" i="7" s="1"/>
  <c r="R31" i="7"/>
  <c r="Q31" i="7"/>
  <c r="P31" i="7"/>
  <c r="P61" i="7" s="1"/>
  <c r="O31" i="7"/>
  <c r="O61" i="7" s="1"/>
  <c r="R14" i="7"/>
  <c r="Q14" i="7"/>
  <c r="P14" i="7"/>
  <c r="O14" i="7"/>
  <c r="R11" i="7"/>
  <c r="R83" i="7" s="1"/>
  <c r="Q11" i="7"/>
  <c r="F61" i="7" s="1"/>
  <c r="P11" i="7"/>
  <c r="E61" i="7" s="1"/>
  <c r="O11" i="7"/>
  <c r="S7" i="7"/>
  <c r="S12" i="7" s="1"/>
  <c r="R7" i="7"/>
  <c r="R68" i="7" s="1"/>
  <c r="R71" i="7" s="1"/>
  <c r="Q7" i="7"/>
  <c r="P7" i="7"/>
  <c r="O7" i="7"/>
  <c r="O68" i="7" s="1"/>
  <c r="O71" i="7" s="1"/>
  <c r="G62" i="7"/>
  <c r="F62" i="7"/>
  <c r="E62" i="7"/>
  <c r="D62" i="7"/>
  <c r="H60" i="7"/>
  <c r="G60" i="7"/>
  <c r="F60" i="7"/>
  <c r="E60" i="7"/>
  <c r="D60" i="7"/>
  <c r="G55" i="7"/>
  <c r="F55" i="7"/>
  <c r="E55" i="7"/>
  <c r="D55" i="7"/>
  <c r="H54" i="7"/>
  <c r="H56" i="7" s="1"/>
  <c r="G54" i="7"/>
  <c r="F54" i="7"/>
  <c r="E54" i="7"/>
  <c r="E56" i="7" s="1"/>
  <c r="D54" i="7"/>
  <c r="F51" i="7"/>
  <c r="G45" i="7" s="1"/>
  <c r="H49" i="7"/>
  <c r="G49" i="7"/>
  <c r="E49" i="7"/>
  <c r="D49" i="7"/>
  <c r="D51" i="7" s="1"/>
  <c r="E45" i="7" s="1"/>
  <c r="G38" i="7"/>
  <c r="F38" i="7"/>
  <c r="E38" i="7"/>
  <c r="G24" i="7"/>
  <c r="D24" i="7"/>
  <c r="H22" i="7"/>
  <c r="G22" i="7"/>
  <c r="E22" i="7"/>
  <c r="D22" i="7"/>
  <c r="H7" i="7"/>
  <c r="S79" i="7" s="1"/>
  <c r="G7" i="7"/>
  <c r="R79" i="7" s="1"/>
  <c r="F7" i="7"/>
  <c r="Q79" i="7" s="1"/>
  <c r="E7" i="7"/>
  <c r="P79" i="7" s="1"/>
  <c r="D7" i="7"/>
  <c r="O79" i="7" s="1"/>
  <c r="E6" i="7"/>
  <c r="D6" i="7"/>
  <c r="E5" i="7"/>
  <c r="D5" i="7"/>
  <c r="H4" i="7"/>
  <c r="I5" i="7" s="1"/>
  <c r="G4" i="7"/>
  <c r="F4" i="7"/>
  <c r="I6" i="7" s="1"/>
  <c r="N14" i="7"/>
  <c r="M14" i="7"/>
  <c r="C50" i="7"/>
  <c r="N77" i="7"/>
  <c r="B49" i="7"/>
  <c r="M42" i="7"/>
  <c r="M31" i="7"/>
  <c r="M61" i="7" s="1"/>
  <c r="M7" i="7"/>
  <c r="M11" i="7"/>
  <c r="M12" i="7" s="1"/>
  <c r="B24" i="7"/>
  <c r="B32" i="7"/>
  <c r="N78" i="7"/>
  <c r="N42" i="7"/>
  <c r="C49" i="7"/>
  <c r="N85" i="7"/>
  <c r="C54" i="7"/>
  <c r="C56" i="7" s="1"/>
  <c r="C62" i="7"/>
  <c r="C60" i="7"/>
  <c r="N67" i="7"/>
  <c r="N11" i="7"/>
  <c r="N83" i="7" s="1"/>
  <c r="N31" i="7"/>
  <c r="N61" i="7" s="1"/>
  <c r="C5" i="7"/>
  <c r="C7" i="7"/>
  <c r="N79" i="7" s="1"/>
  <c r="J65" i="9"/>
  <c r="K65" i="9"/>
  <c r="L21" i="9"/>
  <c r="L32" i="9"/>
  <c r="L31" i="9"/>
  <c r="M64" i="9"/>
  <c r="M65" i="9"/>
  <c r="N7" i="7"/>
  <c r="B7" i="7"/>
  <c r="B14" i="7"/>
  <c r="B23" i="7" s="1"/>
  <c r="F6" i="9"/>
  <c r="M66" i="9"/>
  <c r="L66" i="9"/>
  <c r="L67" i="9" s="1"/>
  <c r="K66" i="9"/>
  <c r="J66" i="9"/>
  <c r="I66" i="9"/>
  <c r="I65" i="9"/>
  <c r="K64" i="9"/>
  <c r="J64" i="9"/>
  <c r="I64" i="9"/>
  <c r="M63" i="9"/>
  <c r="L63" i="9"/>
  <c r="K63" i="9"/>
  <c r="J63" i="9"/>
  <c r="I63" i="9"/>
  <c r="F60" i="9"/>
  <c r="D60" i="9"/>
  <c r="C60" i="9"/>
  <c r="B60" i="9"/>
  <c r="F58" i="9"/>
  <c r="E58" i="9"/>
  <c r="D58" i="9"/>
  <c r="C58" i="9"/>
  <c r="B58" i="9"/>
  <c r="M53" i="9"/>
  <c r="M56" i="9" s="1"/>
  <c r="L53" i="9"/>
  <c r="L56" i="9" s="1"/>
  <c r="K53" i="9"/>
  <c r="K56" i="9" s="1"/>
  <c r="J53" i="9"/>
  <c r="J56" i="9" s="1"/>
  <c r="I53" i="9"/>
  <c r="I56" i="9" s="1"/>
  <c r="B51" i="9"/>
  <c r="B49" i="9"/>
  <c r="F48" i="9"/>
  <c r="E48" i="9"/>
  <c r="D48" i="9"/>
  <c r="B48" i="9"/>
  <c r="E44" i="9"/>
  <c r="D44" i="9"/>
  <c r="C44" i="9"/>
  <c r="B43" i="9"/>
  <c r="B44" i="9" s="1"/>
  <c r="M36" i="9"/>
  <c r="L36" i="9"/>
  <c r="K36" i="9"/>
  <c r="J36" i="9"/>
  <c r="I36" i="9"/>
  <c r="F34" i="9"/>
  <c r="F33" i="9"/>
  <c r="E33" i="9"/>
  <c r="D33" i="9"/>
  <c r="M26" i="9"/>
  <c r="M42" i="9" s="1"/>
  <c r="L26" i="9"/>
  <c r="K26" i="9"/>
  <c r="K68" i="9" s="1"/>
  <c r="J26" i="9"/>
  <c r="J48" i="9" s="1"/>
  <c r="I26" i="9"/>
  <c r="I48" i="9" s="1"/>
  <c r="D22" i="9"/>
  <c r="C22" i="9"/>
  <c r="M10" i="9"/>
  <c r="F59" i="9" s="1"/>
  <c r="L10" i="9"/>
  <c r="K10" i="9"/>
  <c r="D59" i="9" s="1"/>
  <c r="J10" i="9"/>
  <c r="J69" i="9" s="1"/>
  <c r="I10" i="9"/>
  <c r="I69" i="9" s="1"/>
  <c r="F7" i="9"/>
  <c r="F13" i="9" s="1"/>
  <c r="E7" i="9"/>
  <c r="E13" i="9" s="1"/>
  <c r="E21" i="9" s="1"/>
  <c r="D7" i="9"/>
  <c r="D13" i="9" s="1"/>
  <c r="C7" i="9"/>
  <c r="C13" i="9" s="1"/>
  <c r="B7" i="9"/>
  <c r="B13" i="9" s="1"/>
  <c r="B21" i="9" s="1"/>
  <c r="K6" i="9"/>
  <c r="K54" i="9" s="1"/>
  <c r="K57" i="9" s="1"/>
  <c r="J6" i="9"/>
  <c r="J11" i="9" s="1"/>
  <c r="I5" i="9"/>
  <c r="I6" i="9"/>
  <c r="I11" i="9" s="1"/>
  <c r="E5" i="9"/>
  <c r="D5" i="9"/>
  <c r="M4" i="9"/>
  <c r="M6" i="9" s="1"/>
  <c r="L4" i="9"/>
  <c r="L6" i="9" s="1"/>
  <c r="S62" i="7" l="1"/>
  <c r="S78" i="7"/>
  <c r="L11" i="9"/>
  <c r="L54" i="9"/>
  <c r="L57" i="9" s="1"/>
  <c r="E51" i="7"/>
  <c r="N75" i="7"/>
  <c r="J61" i="9"/>
  <c r="J54" i="9"/>
  <c r="J57" i="9" s="1"/>
  <c r="N12" i="7"/>
  <c r="G51" i="7"/>
  <c r="H45" i="7" s="1"/>
  <c r="H51" i="7" s="1"/>
  <c r="I45" i="7" s="1"/>
  <c r="I51" i="7" s="1"/>
  <c r="J45" i="7" s="1"/>
  <c r="J51" i="7" s="1"/>
  <c r="J12" i="9"/>
  <c r="K67" i="9"/>
  <c r="N62" i="7"/>
  <c r="B17" i="7"/>
  <c r="N68" i="7"/>
  <c r="N71" i="7" s="1"/>
  <c r="D56" i="7"/>
  <c r="P12" i="7"/>
  <c r="L49" i="9"/>
  <c r="D61" i="9"/>
  <c r="F61" i="9"/>
  <c r="M58" i="9" s="1"/>
  <c r="M68" i="9"/>
  <c r="F14" i="7"/>
  <c r="I16" i="7" s="1"/>
  <c r="Q85" i="7"/>
  <c r="J62" i="9"/>
  <c r="K62" i="9"/>
  <c r="L42" i="9"/>
  <c r="K49" i="9"/>
  <c r="R85" i="7"/>
  <c r="F5" i="7"/>
  <c r="D14" i="7"/>
  <c r="D16" i="7" s="1"/>
  <c r="O76" i="7"/>
  <c r="O80" i="7"/>
  <c r="O81" i="7" s="1"/>
  <c r="E60" i="9"/>
  <c r="N80" i="7"/>
  <c r="N81" i="7" s="1"/>
  <c r="M62" i="7"/>
  <c r="S85" i="7"/>
  <c r="H6" i="7"/>
  <c r="O83" i="7"/>
  <c r="F56" i="7"/>
  <c r="F63" i="7"/>
  <c r="Q76" i="7"/>
  <c r="R62" i="7"/>
  <c r="R76" i="7"/>
  <c r="Q78" i="7"/>
  <c r="P83" i="7"/>
  <c r="F14" i="9"/>
  <c r="F16" i="9"/>
  <c r="F21" i="9"/>
  <c r="M11" i="9"/>
  <c r="M60" i="9" s="1"/>
  <c r="M61" i="9"/>
  <c r="M54" i="9"/>
  <c r="M57" i="9" s="1"/>
  <c r="P62" i="7"/>
  <c r="I61" i="9"/>
  <c r="L48" i="9"/>
  <c r="L12" i="9" s="1"/>
  <c r="J49" i="9"/>
  <c r="C14" i="7"/>
  <c r="N84" i="7" s="1"/>
  <c r="O75" i="7"/>
  <c r="R78" i="7"/>
  <c r="P80" i="7"/>
  <c r="P81" i="7" s="1"/>
  <c r="S75" i="7"/>
  <c r="S83" i="7"/>
  <c r="P75" i="7"/>
  <c r="Q80" i="7"/>
  <c r="I49" i="9"/>
  <c r="G61" i="7"/>
  <c r="Q12" i="7"/>
  <c r="R12" i="7"/>
  <c r="Q75" i="7"/>
  <c r="R80" i="7"/>
  <c r="Q83" i="7"/>
  <c r="M62" i="9"/>
  <c r="M49" i="9"/>
  <c r="B25" i="7"/>
  <c r="E14" i="7"/>
  <c r="H61" i="7"/>
  <c r="H63" i="7" s="1"/>
  <c r="Q53" i="7"/>
  <c r="Q82" i="7" s="1"/>
  <c r="O53" i="7"/>
  <c r="O82" i="7" s="1"/>
  <c r="R75" i="7"/>
  <c r="S80" i="7"/>
  <c r="S81" i="7" s="1"/>
  <c r="L62" i="9"/>
  <c r="I62" i="9"/>
  <c r="I67" i="9"/>
  <c r="N53" i="7"/>
  <c r="F6" i="7"/>
  <c r="G56" i="7"/>
  <c r="R53" i="7"/>
  <c r="R82" i="7" s="1"/>
  <c r="Q61" i="7"/>
  <c r="P68" i="7"/>
  <c r="P71" i="7" s="1"/>
  <c r="O84" i="7"/>
  <c r="J67" i="9"/>
  <c r="C51" i="7"/>
  <c r="R61" i="7"/>
  <c r="Q68" i="7"/>
  <c r="Q71" i="7" s="1"/>
  <c r="P76" i="7"/>
  <c r="B59" i="9"/>
  <c r="B61" i="9" s="1"/>
  <c r="I58" i="9" s="1"/>
  <c r="I12" i="9"/>
  <c r="M67" i="9"/>
  <c r="N76" i="7"/>
  <c r="D17" i="7"/>
  <c r="E63" i="7"/>
  <c r="S68" i="7"/>
  <c r="S71" i="7" s="1"/>
  <c r="S53" i="7"/>
  <c r="S82" i="7" s="1"/>
  <c r="S76" i="7"/>
  <c r="G63" i="7"/>
  <c r="O12" i="7"/>
  <c r="Q62" i="7"/>
  <c r="O62" i="7"/>
  <c r="D61" i="7"/>
  <c r="D63" i="7" s="1"/>
  <c r="P53" i="7"/>
  <c r="P82" i="7" s="1"/>
  <c r="T84" i="7"/>
  <c r="G6" i="7"/>
  <c r="G14" i="7"/>
  <c r="R84" i="7" s="1"/>
  <c r="G5" i="7"/>
  <c r="H5" i="7"/>
  <c r="E16" i="7"/>
  <c r="H14" i="7"/>
  <c r="I15" i="7" s="1"/>
  <c r="E23" i="9"/>
  <c r="E47" i="9"/>
  <c r="E24" i="9"/>
  <c r="K58" i="9"/>
  <c r="D14" i="9"/>
  <c r="D16" i="9"/>
  <c r="D21" i="9"/>
  <c r="E14" i="9"/>
  <c r="B47" i="9"/>
  <c r="B52" i="9" s="1"/>
  <c r="B54" i="9" s="1"/>
  <c r="B24" i="9"/>
  <c r="B29" i="9" s="1"/>
  <c r="I59" i="9" s="1"/>
  <c r="J60" i="9"/>
  <c r="C16" i="9"/>
  <c r="C21" i="9"/>
  <c r="F15" i="9"/>
  <c r="I42" i="9"/>
  <c r="I68" i="9" s="1"/>
  <c r="K42" i="9"/>
  <c r="E59" i="9"/>
  <c r="E61" i="9" s="1"/>
  <c r="L58" i="9" s="1"/>
  <c r="I60" i="9"/>
  <c r="K11" i="9"/>
  <c r="K60" i="9" s="1"/>
  <c r="F24" i="9"/>
  <c r="K48" i="9"/>
  <c r="K12" i="9" s="1"/>
  <c r="K61" i="9"/>
  <c r="L68" i="9"/>
  <c r="L60" i="9"/>
  <c r="L61" i="9"/>
  <c r="E16" i="9"/>
  <c r="M53" i="7"/>
  <c r="C61" i="7"/>
  <c r="C63" i="7" s="1"/>
  <c r="B16" i="9"/>
  <c r="C59" i="9"/>
  <c r="C61" i="9" s="1"/>
  <c r="J58" i="9" s="1"/>
  <c r="M48" i="9"/>
  <c r="M12" i="9" s="1"/>
  <c r="J42" i="9"/>
  <c r="J68" i="9" s="1"/>
  <c r="N72" i="7" l="1"/>
  <c r="Q84" i="7"/>
  <c r="Q72" i="7"/>
  <c r="F23" i="7"/>
  <c r="Q74" i="7" s="1"/>
  <c r="D23" i="7"/>
  <c r="D29" i="7" s="1"/>
  <c r="O73" i="7" s="1"/>
  <c r="R72" i="7"/>
  <c r="F15" i="7"/>
  <c r="F17" i="7"/>
  <c r="S84" i="7"/>
  <c r="H23" i="7"/>
  <c r="S74" i="7" s="1"/>
  <c r="D15" i="7"/>
  <c r="O72" i="7"/>
  <c r="S72" i="7"/>
  <c r="Q81" i="7"/>
  <c r="E23" i="7"/>
  <c r="E29" i="7" s="1"/>
  <c r="P73" i="7" s="1"/>
  <c r="C17" i="7"/>
  <c r="C23" i="7"/>
  <c r="F16" i="7"/>
  <c r="P72" i="7"/>
  <c r="E15" i="7"/>
  <c r="P84" i="7"/>
  <c r="E17" i="7"/>
  <c r="R81" i="7"/>
  <c r="F23" i="9"/>
  <c r="F47" i="9"/>
  <c r="H16" i="7"/>
  <c r="H15" i="7"/>
  <c r="H17" i="7"/>
  <c r="D25" i="7"/>
  <c r="G17" i="7"/>
  <c r="G16" i="7"/>
  <c r="G23" i="7"/>
  <c r="R74" i="7" s="1"/>
  <c r="G15" i="7"/>
  <c r="C23" i="9"/>
  <c r="C24" i="9"/>
  <c r="E29" i="9"/>
  <c r="E25" i="9"/>
  <c r="F29" i="9"/>
  <c r="F25" i="9"/>
  <c r="D24" i="9"/>
  <c r="D23" i="9"/>
  <c r="D47" i="9"/>
  <c r="D52" i="9" s="1"/>
  <c r="D54" i="9" s="1"/>
  <c r="F25" i="7" l="1"/>
  <c r="E25" i="7"/>
  <c r="F29" i="7"/>
  <c r="I34" i="7" s="1"/>
  <c r="C29" i="7"/>
  <c r="C25" i="7"/>
  <c r="I31" i="7"/>
  <c r="D34" i="7"/>
  <c r="D31" i="7"/>
  <c r="D32" i="7"/>
  <c r="E33" i="7"/>
  <c r="E34" i="7"/>
  <c r="E31" i="7"/>
  <c r="E32" i="7" s="1"/>
  <c r="H29" i="7"/>
  <c r="H25" i="7"/>
  <c r="G25" i="7"/>
  <c r="G29" i="7"/>
  <c r="L59" i="9"/>
  <c r="M59" i="9"/>
  <c r="F30" i="9"/>
  <c r="D29" i="9"/>
  <c r="E30" i="9" s="1"/>
  <c r="D25" i="9"/>
  <c r="C29" i="9"/>
  <c r="J59" i="9" s="1"/>
  <c r="C25" i="9"/>
  <c r="G33" i="7" l="1"/>
  <c r="G34" i="7"/>
  <c r="H33" i="7"/>
  <c r="H34" i="7"/>
  <c r="I33" i="7"/>
  <c r="Q73" i="7"/>
  <c r="F34" i="7"/>
  <c r="F31" i="7"/>
  <c r="F31" i="9"/>
  <c r="F32" i="7"/>
  <c r="F33" i="7"/>
  <c r="H31" i="7"/>
  <c r="H32" i="7" s="1"/>
  <c r="S73" i="7"/>
  <c r="R73" i="7"/>
  <c r="N73" i="7"/>
  <c r="C32" i="7"/>
  <c r="G32" i="7"/>
  <c r="G31" i="7"/>
  <c r="K59" i="9"/>
  <c r="D30" i="9"/>
</calcChain>
</file>

<file path=xl/sharedStrings.xml><?xml version="1.0" encoding="utf-8"?>
<sst xmlns="http://schemas.openxmlformats.org/spreadsheetml/2006/main" count="362" uniqueCount="167">
  <si>
    <t>Y/E, Mar (Rs. mn)</t>
  </si>
  <si>
    <t>Growth (%)</t>
  </si>
  <si>
    <t>Expenditure</t>
  </si>
  <si>
    <t>EBITDA</t>
  </si>
  <si>
    <t>EBITDA margin (%)</t>
  </si>
  <si>
    <t>Other Income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</si>
  <si>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</si>
  <si>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</si>
  <si>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</si>
  <si>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</si>
  <si>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</si>
  <si>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</si>
  <si>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</si>
  <si>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</si>
  <si>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</si>
  <si>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</si>
  <si>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</si>
  <si>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</si>
  <si>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</si>
  <si>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</si>
  <si>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</si>
  <si>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</si>
  <si>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</si>
  <si>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</si>
  <si>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</si>
  <si>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</si>
  <si>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</si>
  <si>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FY14</t>
  </si>
  <si>
    <t>FY16</t>
  </si>
  <si>
    <t>FY17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</si>
  <si>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</si>
  <si>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</si>
  <si>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</si>
  <si>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</si>
  <si>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</si>
  <si>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</si>
  <si>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</si>
  <si>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</si>
  <si>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CURRENT LIABILITIES &amp; PROVISIONS</t>
  </si>
  <si>
    <t>NET CURRENT ASSETS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</si>
  <si>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</si>
  <si>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</si>
  <si>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</si>
  <si>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</si>
  <si>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</si>
  <si>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</si>
  <si>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</si>
  <si>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</si>
  <si>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</si>
  <si>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</si>
  <si>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</si>
  <si>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</si>
  <si>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</si>
  <si>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</si>
  <si>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</si>
  <si>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</si>
  <si>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</si>
  <si>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</si>
  <si>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</si>
  <si>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</si>
  <si>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</si>
  <si>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</si>
  <si>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</si>
  <si>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</si>
  <si>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</si>
  <si>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</si>
  <si>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</si>
  <si>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</si>
  <si>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</si>
  <si>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</si>
  <si>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</si>
  <si>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</si>
  <si>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FY18</t>
  </si>
  <si>
    <t>Interest Cost</t>
  </si>
  <si>
    <t>TOTAL ASSETS</t>
  </si>
  <si>
    <t>TOTAL LIABILITIES</t>
  </si>
  <si>
    <t>Balance Sheet</t>
  </si>
  <si>
    <t>Income Statement</t>
  </si>
  <si>
    <t>FY19</t>
  </si>
  <si>
    <t>Revenue from Operations</t>
  </si>
  <si>
    <t>Equity Share Capital</t>
  </si>
  <si>
    <t>Other Equity</t>
  </si>
  <si>
    <t>CAGR (%) - 3 Years</t>
  </si>
  <si>
    <t>Cost of materials cosnumed</t>
  </si>
  <si>
    <t>Property, Palnt and Equipment</t>
  </si>
  <si>
    <t>Capital WIP</t>
  </si>
  <si>
    <t>Financial Assets</t>
  </si>
  <si>
    <t>Depreciation and amortisation cost</t>
  </si>
  <si>
    <t>Finance Cost</t>
  </si>
  <si>
    <t>b) Other financial assets</t>
  </si>
  <si>
    <t>Excp Item</t>
  </si>
  <si>
    <t>Other Non-Current assets</t>
  </si>
  <si>
    <t>c) Cash &amp; Cash Equivalents</t>
  </si>
  <si>
    <t>Share of Profit of associates</t>
  </si>
  <si>
    <t>PAT After MI (Total Comprehensive Income)</t>
  </si>
  <si>
    <t>CAGR (%)</t>
  </si>
  <si>
    <t>Current Financial Liabilities</t>
  </si>
  <si>
    <t>a) Trade Payables</t>
  </si>
  <si>
    <t>b) Other Financial liabilities</t>
  </si>
  <si>
    <t>Long Term Provisions</t>
  </si>
  <si>
    <t>Deferred Tax Liability (Net)</t>
  </si>
  <si>
    <t>Other Financial Liabilities</t>
  </si>
  <si>
    <t>Intangible Assets</t>
  </si>
  <si>
    <t>Goodwill</t>
  </si>
  <si>
    <t>Deferred Tax Assets</t>
  </si>
  <si>
    <t>b) Loans to subsidaries</t>
  </si>
  <si>
    <t>Non-Current Tax Assets (Net)</t>
  </si>
  <si>
    <t>Non-Current Assets Classified as Sale</t>
  </si>
  <si>
    <t>Provision</t>
  </si>
  <si>
    <t>East West Ltd. (Standalone)</t>
  </si>
  <si>
    <t>Purchase of Stock in Trade</t>
  </si>
  <si>
    <t>a) Investments</t>
  </si>
  <si>
    <t>b) Trade and other Recievable</t>
  </si>
  <si>
    <t>e) Other Current Financial Assets</t>
  </si>
  <si>
    <t>d) Loans</t>
  </si>
  <si>
    <t>b)Other Current liabilities</t>
  </si>
  <si>
    <t>c)Current Tax Liability (Net)</t>
  </si>
  <si>
    <t>Changes in inventories of FG, WIP and Stock</t>
  </si>
  <si>
    <t>Investment Property</t>
  </si>
  <si>
    <t>NA</t>
  </si>
  <si>
    <t>d) Bank Balances</t>
  </si>
  <si>
    <t>e) Loans</t>
  </si>
  <si>
    <t xml:space="preserve">Changes in inventories </t>
  </si>
  <si>
    <t>Share of profit / (loss) of a joint venture</t>
  </si>
  <si>
    <t>Other intangible assets</t>
  </si>
  <si>
    <t>Intangible assets under development</t>
  </si>
  <si>
    <t>d) Other financial assets</t>
  </si>
  <si>
    <t>Deferred Tax Asset (Net)</t>
  </si>
  <si>
    <t>Right of use Asset</t>
  </si>
  <si>
    <t xml:space="preserve">Share Pending Issuance </t>
  </si>
  <si>
    <t>Lease Liabilities</t>
  </si>
  <si>
    <t>Property, Plant and Equipment</t>
  </si>
  <si>
    <t>Fixed asset turnover</t>
  </si>
  <si>
    <t>Other Non Current Liabilities</t>
  </si>
  <si>
    <t>FY20</t>
  </si>
  <si>
    <t>Interest Coverage</t>
  </si>
  <si>
    <t>Exceptional items ( net )</t>
  </si>
  <si>
    <t>Share of profit/(loss) of associates and Joint ventures(net)</t>
  </si>
  <si>
    <t>b) Other Investment</t>
  </si>
  <si>
    <t>a) Investments in associates &amp; JV</t>
  </si>
  <si>
    <t>c) Loans</t>
  </si>
  <si>
    <t>f) Others Current financial Asset</t>
  </si>
  <si>
    <t>Assets classified as held for disposal</t>
  </si>
  <si>
    <t>Government Grants</t>
  </si>
  <si>
    <t>Net non-current employee defined benefit liabilities</t>
  </si>
  <si>
    <t>Government grants</t>
  </si>
  <si>
    <t>Net Employee Defined Benefit Liability</t>
  </si>
  <si>
    <t>Liabilities for current tax (net)</t>
  </si>
  <si>
    <t>Liabilities directly associated with assets classified as held for disposal</t>
  </si>
  <si>
    <t>Centum Electronics Ltd (Consolidated)</t>
  </si>
  <si>
    <t>PAT from continuing operations</t>
  </si>
  <si>
    <t>PAT Margins from continuing operations</t>
  </si>
  <si>
    <t>Diluted EPS from continuing operations</t>
  </si>
  <si>
    <t>FY21</t>
  </si>
  <si>
    <t>FY22</t>
  </si>
  <si>
    <t>PAT from discontinued operations</t>
  </si>
  <si>
    <t xml:space="preserve">Fixed asset </t>
  </si>
  <si>
    <t>FY23</t>
  </si>
  <si>
    <t xml:space="preserve">FY23 </t>
  </si>
  <si>
    <t>NON-CURRENT ASSETS</t>
  </si>
  <si>
    <t>c) Trade Receivables</t>
  </si>
  <si>
    <t>NET CURRENT LIABILITIES</t>
  </si>
  <si>
    <t>FY24</t>
  </si>
  <si>
    <t>Exchanges Difference &amp; Cash eq in acquisition</t>
  </si>
  <si>
    <t>H1-FY25</t>
  </si>
  <si>
    <t>Loss on account of foreign exchange fluctuation</t>
  </si>
  <si>
    <t>9M-FY25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</si>
</sst>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-409]mmm/yy;@"/>
    <numFmt numFmtId="170" formatCode="#,##0.0"/>
  </numFmts>
  <fonts count="2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rgb="FF000000"/>
      <name val="MyFirstFont"/>
    </font>
    <font>
      <sz val="10"/>
      <name val="MyFirstFont"/>
    </font>
    <font>
      <b/>
      <sz val="9"/>
      <color theme="1"/>
      <name val="Arial"/>
      <family val="2"/>
    </font>
    <font>
      <sz val="10"/>
      <color theme="1"/>
      <name val="MyFirstFont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169" fontId="8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80">
    <xf numFmtId="0" fontId="0" fillId="0" borderId="0" xfId="0"/>
    <xf numFmtId="165" fontId="5" fillId="0" borderId="1" xfId="0" applyNumberFormat="1" applyFont="1" applyBorder="1"/>
    <xf numFmtId="0" fontId="5" fillId="0" borderId="0" xfId="0" applyFont="1"/>
    <xf numFmtId="165" fontId="5" fillId="0" borderId="0" xfId="0" applyNumberFormat="1" applyFont="1"/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10" fontId="5" fillId="4" borderId="1" xfId="1" applyNumberFormat="1" applyFont="1" applyFill="1" applyBorder="1"/>
    <xf numFmtId="43" fontId="5" fillId="0" borderId="1" xfId="2" applyFont="1" applyFill="1" applyBorder="1"/>
    <xf numFmtId="168" fontId="6" fillId="0" borderId="1" xfId="2" applyNumberFormat="1" applyFont="1" applyFill="1" applyBorder="1"/>
    <xf numFmtId="168" fontId="6" fillId="4" borderId="1" xfId="2" applyNumberFormat="1" applyFont="1" applyFill="1" applyBorder="1"/>
    <xf numFmtId="168" fontId="5" fillId="0" borderId="1" xfId="2" applyNumberFormat="1" applyFont="1" applyBorder="1"/>
    <xf numFmtId="10" fontId="7" fillId="4" borderId="1" xfId="0" applyNumberFormat="1" applyFont="1" applyFill="1" applyBorder="1"/>
    <xf numFmtId="43" fontId="6" fillId="0" borderId="1" xfId="2" applyFont="1" applyFill="1" applyBorder="1"/>
    <xf numFmtId="168" fontId="5" fillId="4" borderId="1" xfId="2" applyNumberFormat="1" applyFont="1" applyFill="1" applyBorder="1"/>
    <xf numFmtId="167" fontId="5" fillId="0" borderId="1" xfId="2" applyNumberFormat="1" applyFont="1" applyFill="1" applyBorder="1"/>
    <xf numFmtId="1" fontId="5" fillId="4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168" fontId="6" fillId="0" borderId="1" xfId="2" applyNumberFormat="1" applyFont="1" applyBorder="1"/>
    <xf numFmtId="10" fontId="5" fillId="0" borderId="0" xfId="1" applyNumberFormat="1" applyFont="1"/>
    <xf numFmtId="168" fontId="5" fillId="0" borderId="1" xfId="2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168" fontId="5" fillId="0" borderId="0" xfId="2" applyNumberFormat="1" applyFont="1"/>
    <xf numFmtId="10" fontId="6" fillId="4" borderId="1" xfId="0" applyNumberFormat="1" applyFont="1" applyFill="1" applyBorder="1"/>
    <xf numFmtId="43" fontId="5" fillId="0" borderId="0" xfId="0" applyNumberFormat="1" applyFont="1"/>
    <xf numFmtId="10" fontId="6" fillId="4" borderId="1" xfId="1" applyNumberFormat="1" applyFont="1" applyFill="1" applyBorder="1"/>
    <xf numFmtId="165" fontId="6" fillId="4" borderId="1" xfId="0" applyNumberFormat="1" applyFont="1" applyFill="1" applyBorder="1"/>
    <xf numFmtId="0" fontId="5" fillId="4" borderId="1" xfId="0" applyFont="1" applyFill="1" applyBorder="1"/>
    <xf numFmtId="10" fontId="5" fillId="4" borderId="1" xfId="0" applyNumberFormat="1" applyFont="1" applyFill="1" applyBorder="1"/>
    <xf numFmtId="166" fontId="5" fillId="4" borderId="1" xfId="0" applyNumberFormat="1" applyFont="1" applyFill="1" applyBorder="1"/>
    <xf numFmtId="0" fontId="6" fillId="0" borderId="0" xfId="0" applyFont="1" applyAlignment="1">
      <alignment horizontal="right"/>
    </xf>
    <xf numFmtId="0" fontId="6" fillId="3" borderId="1" xfId="0" applyFont="1" applyFill="1" applyBorder="1"/>
    <xf numFmtId="168" fontId="3" fillId="4" borderId="1" xfId="2" applyNumberFormat="1" applyFont="1" applyFill="1" applyBorder="1"/>
    <xf numFmtId="165" fontId="6" fillId="0" borderId="1" xfId="0" applyNumberFormat="1" applyFont="1" applyBorder="1"/>
    <xf numFmtId="43" fontId="6" fillId="0" borderId="1" xfId="2" applyFont="1" applyBorder="1"/>
    <xf numFmtId="43" fontId="6" fillId="4" borderId="1" xfId="2" applyFont="1" applyFill="1" applyBorder="1"/>
    <xf numFmtId="165" fontId="5" fillId="4" borderId="1" xfId="0" applyNumberFormat="1" applyFont="1" applyFill="1" applyBorder="1"/>
    <xf numFmtId="43" fontId="5" fillId="4" borderId="1" xfId="2" applyFont="1" applyFill="1" applyBorder="1"/>
    <xf numFmtId="168" fontId="2" fillId="4" borderId="1" xfId="2" applyNumberFormat="1" applyFont="1" applyFill="1" applyBorder="1"/>
    <xf numFmtId="166" fontId="5" fillId="0" borderId="1" xfId="0" applyNumberFormat="1" applyFont="1" applyBorder="1"/>
    <xf numFmtId="2" fontId="5" fillId="4" borderId="1" xfId="0" applyNumberFormat="1" applyFont="1" applyFill="1" applyBorder="1"/>
    <xf numFmtId="168" fontId="2" fillId="0" borderId="1" xfId="2" applyNumberFormat="1" applyFont="1" applyBorder="1"/>
    <xf numFmtId="168" fontId="3" fillId="0" borderId="1" xfId="2" applyNumberFormat="1" applyFont="1" applyBorder="1"/>
    <xf numFmtId="10" fontId="3" fillId="4" borderId="1" xfId="0" applyNumberFormat="1" applyFont="1" applyFill="1" applyBorder="1"/>
    <xf numFmtId="168" fontId="2" fillId="0" borderId="1" xfId="2" applyNumberFormat="1" applyFont="1" applyFill="1" applyBorder="1"/>
    <xf numFmtId="0" fontId="3" fillId="0" borderId="0" xfId="0" applyFont="1"/>
    <xf numFmtId="43" fontId="2" fillId="4" borderId="1" xfId="2" applyFont="1" applyFill="1" applyBorder="1"/>
    <xf numFmtId="43" fontId="3" fillId="4" borderId="1" xfId="2" applyFont="1" applyFill="1" applyBorder="1"/>
    <xf numFmtId="43" fontId="3" fillId="0" borderId="1" xfId="2" applyFont="1" applyFill="1" applyBorder="1"/>
    <xf numFmtId="2" fontId="3" fillId="4" borderId="1" xfId="0" applyNumberFormat="1" applyFont="1" applyFill="1" applyBorder="1"/>
    <xf numFmtId="10" fontId="3" fillId="4" borderId="1" xfId="1" applyNumberFormat="1" applyFont="1" applyFill="1" applyBorder="1"/>
    <xf numFmtId="1" fontId="3" fillId="4" borderId="1" xfId="0" applyNumberFormat="1" applyFont="1" applyFill="1" applyBorder="1"/>
    <xf numFmtId="2" fontId="2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3" fontId="11" fillId="0" borderId="0" xfId="0" applyNumberFormat="1" applyFont="1"/>
    <xf numFmtId="3" fontId="12" fillId="0" borderId="1" xfId="0" applyNumberFormat="1" applyFont="1" applyBorder="1"/>
    <xf numFmtId="166" fontId="3" fillId="4" borderId="1" xfId="0" applyNumberFormat="1" applyFont="1" applyFill="1" applyBorder="1"/>
    <xf numFmtId="168" fontId="13" fillId="0" borderId="1" xfId="2" applyNumberFormat="1" applyFont="1" applyFill="1" applyBorder="1"/>
    <xf numFmtId="168" fontId="13" fillId="4" borderId="1" xfId="2" applyNumberFormat="1" applyFont="1" applyFill="1" applyBorder="1"/>
    <xf numFmtId="10" fontId="1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43" fontId="2" fillId="0" borderId="1" xfId="2" applyFont="1" applyFill="1" applyBorder="1"/>
    <xf numFmtId="168" fontId="1" fillId="0" borderId="1" xfId="2" applyNumberFormat="1" applyFont="1" applyBorder="1"/>
    <xf numFmtId="0" fontId="6" fillId="4" borderId="1" xfId="0" applyFont="1" applyFill="1" applyBorder="1" applyAlignment="1">
      <alignment horizontal="right"/>
    </xf>
    <xf numFmtId="165" fontId="6" fillId="4" borderId="3" xfId="0" applyNumberFormat="1" applyFont="1" applyFill="1" applyBorder="1" applyAlignment="1">
      <alignment horizontal="right"/>
    </xf>
    <xf numFmtId="168" fontId="5" fillId="0" borderId="0" xfId="2" applyNumberFormat="1" applyFont="1" applyFill="1"/>
    <xf numFmtId="168" fontId="5" fillId="0" borderId="2" xfId="2" applyNumberFormat="1" applyFont="1" applyFill="1" applyBorder="1"/>
    <xf numFmtId="168" fontId="5" fillId="0" borderId="3" xfId="2" applyNumberFormat="1" applyFont="1" applyFill="1" applyBorder="1"/>
    <xf numFmtId="165" fontId="13" fillId="0" borderId="1" xfId="0" applyNumberFormat="1" applyFont="1" applyBorder="1"/>
    <xf numFmtId="165" fontId="1" fillId="0" borderId="1" xfId="0" applyNumberFormat="1" applyFont="1" applyBorder="1"/>
    <xf numFmtId="0" fontId="13" fillId="0" borderId="1" xfId="0" applyFont="1" applyBorder="1" applyAlignment="1">
      <alignment horizontal="center"/>
    </xf>
    <xf numFmtId="168" fontId="13" fillId="0" borderId="1" xfId="2" applyNumberFormat="1" applyFont="1" applyBorder="1"/>
    <xf numFmtId="168" fontId="13" fillId="4" borderId="3" xfId="2" applyNumberFormat="1" applyFont="1" applyFill="1" applyBorder="1"/>
    <xf numFmtId="43" fontId="13" fillId="4" borderId="1" xfId="2" applyFont="1" applyFill="1" applyBorder="1"/>
    <xf numFmtId="43" fontId="1" fillId="4" borderId="1" xfId="2" applyFont="1" applyFill="1" applyBorder="1"/>
    <xf numFmtId="2" fontId="1" fillId="4" borderId="1" xfId="0" applyNumberFormat="1" applyFont="1" applyFill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3" fontId="14" fillId="0" borderId="1" xfId="0" applyNumberFormat="1" applyFont="1" applyBorder="1"/>
    <xf numFmtId="0" fontId="13" fillId="0" borderId="1" xfId="0" applyFont="1" applyBorder="1" applyAlignment="1">
      <alignment horizontal="right"/>
    </xf>
    <xf numFmtId="0" fontId="17" fillId="0" borderId="1" xfId="0" applyFont="1" applyBorder="1"/>
    <xf numFmtId="0" fontId="17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165" fontId="20" fillId="0" borderId="1" xfId="0" applyNumberFormat="1" applyFont="1" applyBorder="1"/>
    <xf numFmtId="168" fontId="16" fillId="0" borderId="1" xfId="2" applyNumberFormat="1" applyFont="1" applyFill="1" applyBorder="1"/>
    <xf numFmtId="0" fontId="15" fillId="0" borderId="0" xfId="0" applyFont="1"/>
    <xf numFmtId="10" fontId="22" fillId="4" borderId="1" xfId="0" applyNumberFormat="1" applyFont="1" applyFill="1" applyBorder="1"/>
    <xf numFmtId="168" fontId="16" fillId="4" borderId="1" xfId="2" applyNumberFormat="1" applyFont="1" applyFill="1" applyBorder="1"/>
    <xf numFmtId="165" fontId="16" fillId="4" borderId="1" xfId="2" applyNumberFormat="1" applyFont="1" applyFill="1" applyBorder="1"/>
    <xf numFmtId="165" fontId="17" fillId="0" borderId="1" xfId="0" applyNumberFormat="1" applyFont="1" applyBorder="1"/>
    <xf numFmtId="165" fontId="15" fillId="0" borderId="0" xfId="0" applyNumberFormat="1" applyFont="1"/>
    <xf numFmtId="168" fontId="20" fillId="4" borderId="1" xfId="2" applyNumberFormat="1" applyFont="1" applyFill="1" applyBorder="1"/>
    <xf numFmtId="10" fontId="16" fillId="4" borderId="1" xfId="0" applyNumberFormat="1" applyFont="1" applyFill="1" applyBorder="1"/>
    <xf numFmtId="10" fontId="20" fillId="4" borderId="1" xfId="1" applyNumberFormat="1" applyFont="1" applyFill="1" applyBorder="1"/>
    <xf numFmtId="165" fontId="20" fillId="4" borderId="1" xfId="2" applyNumberFormat="1" applyFont="1" applyFill="1" applyBorder="1"/>
    <xf numFmtId="0" fontId="17" fillId="4" borderId="1" xfId="0" applyFont="1" applyFill="1" applyBorder="1"/>
    <xf numFmtId="165" fontId="17" fillId="0" borderId="0" xfId="0" applyNumberFormat="1" applyFont="1"/>
    <xf numFmtId="165" fontId="20" fillId="4" borderId="1" xfId="0" applyNumberFormat="1" applyFont="1" applyFill="1" applyBorder="1"/>
    <xf numFmtId="165" fontId="17" fillId="4" borderId="1" xfId="0" applyNumberFormat="1" applyFont="1" applyFill="1" applyBorder="1"/>
    <xf numFmtId="10" fontId="0" fillId="4" borderId="1" xfId="1" applyNumberFormat="1" applyFont="1" applyFill="1" applyBorder="1"/>
    <xf numFmtId="0" fontId="20" fillId="0" borderId="0" xfId="0" applyFont="1"/>
    <xf numFmtId="0" fontId="20" fillId="0" borderId="9" xfId="0" applyFont="1" applyBorder="1"/>
    <xf numFmtId="10" fontId="17" fillId="0" borderId="0" xfId="1" applyNumberFormat="1" applyFont="1" applyBorder="1"/>
    <xf numFmtId="0" fontId="20" fillId="4" borderId="9" xfId="0" applyFont="1" applyFill="1" applyBorder="1"/>
    <xf numFmtId="0" fontId="17" fillId="0" borderId="9" xfId="0" applyFont="1" applyBorder="1"/>
    <xf numFmtId="43" fontId="17" fillId="0" borderId="0" xfId="0" applyNumberFormat="1" applyFont="1"/>
    <xf numFmtId="0" fontId="17" fillId="0" borderId="10" xfId="0" applyFont="1" applyBorder="1"/>
    <xf numFmtId="0" fontId="20" fillId="0" borderId="10" xfId="0" applyFont="1" applyBorder="1"/>
    <xf numFmtId="0" fontId="21" fillId="4" borderId="9" xfId="0" applyFont="1" applyFill="1" applyBorder="1"/>
    <xf numFmtId="0" fontId="17" fillId="4" borderId="9" xfId="0" applyFont="1" applyFill="1" applyBorder="1"/>
    <xf numFmtId="0" fontId="21" fillId="0" borderId="1" xfId="0" applyFont="1" applyBorder="1"/>
    <xf numFmtId="0" fontId="21" fillId="0" borderId="9" xfId="0" applyFont="1" applyBorder="1"/>
    <xf numFmtId="165" fontId="0" fillId="0" borderId="1" xfId="2" applyNumberFormat="1" applyFont="1" applyFill="1" applyBorder="1"/>
    <xf numFmtId="165" fontId="16" fillId="0" borderId="1" xfId="2" applyNumberFormat="1" applyFont="1" applyFill="1" applyBorder="1"/>
    <xf numFmtId="165" fontId="22" fillId="4" borderId="1" xfId="0" applyNumberFormat="1" applyFont="1" applyFill="1" applyBorder="1"/>
    <xf numFmtId="165" fontId="21" fillId="0" borderId="1" xfId="0" applyNumberFormat="1" applyFont="1" applyBorder="1"/>
    <xf numFmtId="165" fontId="22" fillId="0" borderId="1" xfId="0" applyNumberFormat="1" applyFont="1" applyBorder="1"/>
    <xf numFmtId="165" fontId="20" fillId="0" borderId="0" xfId="0" applyNumberFormat="1" applyFont="1"/>
    <xf numFmtId="165" fontId="0" fillId="4" borderId="1" xfId="2" applyNumberFormat="1" applyFont="1" applyFill="1" applyBorder="1"/>
    <xf numFmtId="170" fontId="16" fillId="4" borderId="1" xfId="2" applyNumberFormat="1" applyFont="1" applyFill="1" applyBorder="1"/>
    <xf numFmtId="170" fontId="20" fillId="4" borderId="1" xfId="2" applyNumberFormat="1" applyFont="1" applyFill="1" applyBorder="1"/>
    <xf numFmtId="170" fontId="17" fillId="0" borderId="1" xfId="0" applyNumberFormat="1" applyFont="1" applyBorder="1"/>
    <xf numFmtId="170" fontId="20" fillId="0" borderId="1" xfId="0" applyNumberFormat="1" applyFont="1" applyBorder="1"/>
    <xf numFmtId="170" fontId="16" fillId="0" borderId="1" xfId="0" applyNumberFormat="1" applyFont="1" applyBorder="1"/>
    <xf numFmtId="170" fontId="0" fillId="4" borderId="1" xfId="2" applyNumberFormat="1" applyFont="1" applyFill="1" applyBorder="1"/>
    <xf numFmtId="170" fontId="17" fillId="4" borderId="1" xfId="2" applyNumberFormat="1" applyFont="1" applyFill="1" applyBorder="1"/>
    <xf numFmtId="170" fontId="0" fillId="4" borderId="1" xfId="1" applyNumberFormat="1" applyFont="1" applyFill="1" applyBorder="1"/>
    <xf numFmtId="170" fontId="17" fillId="4" borderId="1" xfId="0" applyNumberFormat="1" applyFont="1" applyFill="1" applyBorder="1"/>
    <xf numFmtId="166" fontId="22" fillId="4" borderId="1" xfId="1" applyNumberFormat="1" applyFont="1" applyFill="1" applyBorder="1"/>
    <xf numFmtId="166" fontId="16" fillId="4" borderId="1" xfId="1" applyNumberFormat="1" applyFont="1" applyFill="1" applyBorder="1"/>
    <xf numFmtId="166" fontId="0" fillId="4" borderId="1" xfId="1" applyNumberFormat="1" applyFont="1" applyFill="1" applyBorder="1"/>
    <xf numFmtId="10" fontId="16" fillId="4" borderId="1" xfId="1" applyNumberFormat="1" applyFont="1" applyFill="1" applyBorder="1"/>
    <xf numFmtId="0" fontId="16" fillId="4" borderId="9" xfId="0" applyFont="1" applyFill="1" applyBorder="1"/>
    <xf numFmtId="0" fontId="17" fillId="0" borderId="9" xfId="0" applyFont="1" applyBorder="1" applyAlignment="1">
      <alignment horizontal="left" indent="2"/>
    </xf>
    <xf numFmtId="165" fontId="20" fillId="0" borderId="9" xfId="0" applyNumberFormat="1" applyFont="1" applyBorder="1"/>
    <xf numFmtId="165" fontId="20" fillId="4" borderId="9" xfId="0" applyNumberFormat="1" applyFont="1" applyFill="1" applyBorder="1"/>
    <xf numFmtId="165" fontId="17" fillId="4" borderId="9" xfId="0" applyNumberFormat="1" applyFont="1" applyFill="1" applyBorder="1"/>
    <xf numFmtId="166" fontId="17" fillId="4" borderId="9" xfId="0" applyNumberFormat="1" applyFont="1" applyFill="1" applyBorder="1"/>
    <xf numFmtId="166" fontId="17" fillId="4" borderId="1" xfId="0" applyNumberFormat="1" applyFont="1" applyFill="1" applyBorder="1"/>
    <xf numFmtId="0" fontId="17" fillId="4" borderId="16" xfId="0" applyFont="1" applyFill="1" applyBorder="1"/>
    <xf numFmtId="0" fontId="17" fillId="4" borderId="12" xfId="0" applyFont="1" applyFill="1" applyBorder="1"/>
    <xf numFmtId="170" fontId="17" fillId="4" borderId="12" xfId="0" applyNumberFormat="1" applyFont="1" applyFill="1" applyBorder="1"/>
    <xf numFmtId="10" fontId="22" fillId="0" borderId="1" xfId="0" applyNumberFormat="1" applyFont="1" applyBorder="1"/>
    <xf numFmtId="166" fontId="22" fillId="0" borderId="1" xfId="1" applyNumberFormat="1" applyFont="1" applyFill="1" applyBorder="1"/>
    <xf numFmtId="0" fontId="20" fillId="4" borderId="16" xfId="0" applyFont="1" applyFill="1" applyBorder="1"/>
    <xf numFmtId="168" fontId="20" fillId="4" borderId="12" xfId="2" applyNumberFormat="1" applyFont="1" applyFill="1" applyBorder="1"/>
    <xf numFmtId="170" fontId="20" fillId="4" borderId="12" xfId="2" applyNumberFormat="1" applyFont="1" applyFill="1" applyBorder="1"/>
    <xf numFmtId="165" fontId="17" fillId="0" borderId="1" xfId="0" applyNumberFormat="1" applyFont="1" applyBorder="1" applyAlignment="1">
      <alignment horizontal="right"/>
    </xf>
    <xf numFmtId="165" fontId="17" fillId="5" borderId="1" xfId="0" applyNumberFormat="1" applyFont="1" applyFill="1" applyBorder="1" applyAlignment="1">
      <alignment horizontal="right"/>
    </xf>
    <xf numFmtId="170" fontId="17" fillId="0" borderId="0" xfId="0" applyNumberFormat="1" applyFont="1"/>
    <xf numFmtId="9" fontId="22" fillId="4" borderId="1" xfId="1" applyFont="1" applyFill="1" applyBorder="1"/>
    <xf numFmtId="0" fontId="0" fillId="0" borderId="9" xfId="0" applyBorder="1"/>
    <xf numFmtId="3" fontId="0" fillId="0" borderId="1" xfId="0" applyNumberFormat="1" applyBorder="1"/>
    <xf numFmtId="170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8" fontId="0" fillId="4" borderId="1" xfId="2" applyNumberFormat="1" applyFont="1" applyFill="1" applyBorder="1"/>
    <xf numFmtId="170" fontId="0" fillId="4" borderId="1" xfId="0" applyNumberFormat="1" applyFill="1" applyBorder="1"/>
    <xf numFmtId="4" fontId="0" fillId="4" borderId="1" xfId="0" applyNumberFormat="1" applyFill="1" applyBorder="1"/>
    <xf numFmtId="165" fontId="17" fillId="0" borderId="11" xfId="0" applyNumberFormat="1" applyFont="1" applyBorder="1" applyAlignment="1">
      <alignment horizontal="right"/>
    </xf>
    <xf numFmtId="165" fontId="17" fillId="5" borderId="11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12" xfId="0" applyFont="1" applyBorder="1"/>
    <xf numFmtId="165" fontId="17" fillId="0" borderId="12" xfId="0" applyNumberFormat="1" applyFont="1" applyBorder="1"/>
    <xf numFmtId="0" fontId="17" fillId="0" borderId="19" xfId="0" applyFont="1" applyBorder="1"/>
    <xf numFmtId="0" fontId="16" fillId="4" borderId="16" xfId="0" applyFont="1" applyFill="1" applyBorder="1"/>
    <xf numFmtId="2" fontId="16" fillId="0" borderId="1" xfId="2" applyNumberFormat="1" applyFont="1" applyFill="1" applyBorder="1"/>
    <xf numFmtId="168" fontId="0" fillId="0" borderId="1" xfId="2" applyNumberFormat="1" applyFont="1" applyBorder="1"/>
    <xf numFmtId="0" fontId="20" fillId="4" borderId="13" xfId="0" applyFont="1" applyFill="1" applyBorder="1"/>
    <xf numFmtId="165" fontId="20" fillId="4" borderId="14" xfId="2" applyNumberFormat="1" applyFont="1" applyFill="1" applyBorder="1"/>
    <xf numFmtId="170" fontId="20" fillId="4" borderId="14" xfId="2" applyNumberFormat="1" applyFont="1" applyFill="1" applyBorder="1"/>
    <xf numFmtId="0" fontId="20" fillId="0" borderId="13" xfId="0" applyFont="1" applyBorder="1"/>
    <xf numFmtId="0" fontId="20" fillId="0" borderId="14" xfId="0" applyFont="1" applyBorder="1"/>
    <xf numFmtId="170" fontId="20" fillId="0" borderId="14" xfId="0" applyNumberFormat="1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7" fillId="0" borderId="0" xfId="0" applyNumberFormat="1" applyFont="1"/>
    <xf numFmtId="43" fontId="0" fillId="4" borderId="11" xfId="2" applyFont="1" applyFill="1" applyBorder="1" applyAlignment="1">
      <alignment horizontal="right"/>
    </xf>
    <xf numFmtId="43" fontId="22" fillId="4" borderId="11" xfId="2" applyFont="1" applyFill="1" applyBorder="1"/>
    <xf numFmtId="43" fontId="16" fillId="4" borderId="1" xfId="2" applyFont="1" applyFill="1" applyBorder="1"/>
    <xf numFmtId="168" fontId="17" fillId="0" borderId="1" xfId="2" applyNumberFormat="1" applyFont="1" applyBorder="1"/>
    <xf numFmtId="168" fontId="17" fillId="0" borderId="11" xfId="2" applyNumberFormat="1" applyFont="1" applyBorder="1"/>
    <xf numFmtId="168" fontId="0" fillId="0" borderId="1" xfId="2" applyNumberFormat="1" applyFont="1" applyFill="1" applyBorder="1"/>
    <xf numFmtId="43" fontId="0" fillId="4" borderId="1" xfId="2" applyFont="1" applyFill="1" applyBorder="1"/>
    <xf numFmtId="168" fontId="17" fillId="4" borderId="1" xfId="2" applyNumberFormat="1" applyFont="1" applyFill="1" applyBorder="1"/>
    <xf numFmtId="168" fontId="17" fillId="0" borderId="3" xfId="2" applyNumberFormat="1" applyFont="1" applyBorder="1"/>
    <xf numFmtId="168" fontId="16" fillId="4" borderId="3" xfId="2" applyNumberFormat="1" applyFont="1" applyFill="1" applyBorder="1"/>
    <xf numFmtId="168" fontId="20" fillId="4" borderId="23" xfId="2" applyNumberFormat="1" applyFont="1" applyFill="1" applyBorder="1"/>
    <xf numFmtId="168" fontId="20" fillId="4" borderId="14" xfId="2" applyNumberFormat="1" applyFont="1" applyFill="1" applyBorder="1"/>
    <xf numFmtId="168" fontId="20" fillId="4" borderId="21" xfId="2" applyNumberFormat="1" applyFont="1" applyFill="1" applyBorder="1"/>
    <xf numFmtId="168" fontId="0" fillId="0" borderId="4" xfId="2" applyNumberFormat="1" applyFont="1" applyBorder="1"/>
    <xf numFmtId="168" fontId="17" fillId="0" borderId="4" xfId="2" applyNumberFormat="1" applyFont="1" applyBorder="1"/>
    <xf numFmtId="168" fontId="17" fillId="0" borderId="3" xfId="2" applyNumberFormat="1" applyFont="1" applyFill="1" applyBorder="1"/>
    <xf numFmtId="168" fontId="20" fillId="4" borderId="4" xfId="2" applyNumberFormat="1" applyFont="1" applyFill="1" applyBorder="1"/>
    <xf numFmtId="168" fontId="20" fillId="4" borderId="3" xfId="2" applyNumberFormat="1" applyFont="1" applyFill="1" applyBorder="1"/>
    <xf numFmtId="168" fontId="20" fillId="0" borderId="1" xfId="2" applyNumberFormat="1" applyFont="1" applyFill="1" applyBorder="1"/>
    <xf numFmtId="168" fontId="20" fillId="0" borderId="4" xfId="2" applyNumberFormat="1" applyFont="1" applyFill="1" applyBorder="1"/>
    <xf numFmtId="168" fontId="20" fillId="4" borderId="11" xfId="2" applyNumberFormat="1" applyFont="1" applyFill="1" applyBorder="1"/>
    <xf numFmtId="168" fontId="20" fillId="4" borderId="17" xfId="2" applyNumberFormat="1" applyFont="1" applyFill="1" applyBorder="1"/>
    <xf numFmtId="168" fontId="20" fillId="4" borderId="19" xfId="2" applyNumberFormat="1" applyFont="1" applyFill="1" applyBorder="1"/>
    <xf numFmtId="43" fontId="16" fillId="0" borderId="1" xfId="2" applyFont="1" applyBorder="1"/>
    <xf numFmtId="43" fontId="20" fillId="0" borderId="11" xfId="2" applyFont="1" applyBorder="1"/>
    <xf numFmtId="43" fontId="0" fillId="4" borderId="1" xfId="2" applyFont="1" applyFill="1" applyBorder="1" applyAlignment="1">
      <alignment horizontal="right"/>
    </xf>
    <xf numFmtId="43" fontId="17" fillId="4" borderId="11" xfId="2" applyFont="1" applyFill="1" applyBorder="1" applyAlignment="1">
      <alignment horizontal="right"/>
    </xf>
    <xf numFmtId="168" fontId="17" fillId="4" borderId="11" xfId="2" applyNumberFormat="1" applyFont="1" applyFill="1" applyBorder="1" applyAlignment="1">
      <alignment horizontal="right"/>
    </xf>
    <xf numFmtId="167" fontId="17" fillId="4" borderId="1" xfId="2" applyNumberFormat="1" applyFont="1" applyFill="1" applyBorder="1"/>
    <xf numFmtId="167" fontId="0" fillId="4" borderId="1" xfId="2" applyNumberFormat="1" applyFont="1" applyFill="1" applyBorder="1"/>
    <xf numFmtId="168" fontId="0" fillId="4" borderId="1" xfId="2" applyNumberFormat="1" applyFont="1" applyFill="1" applyBorder="1" applyAlignment="1">
      <alignment horizontal="right"/>
    </xf>
    <xf numFmtId="168" fontId="17" fillId="4" borderId="12" xfId="2" applyNumberFormat="1" applyFont="1" applyFill="1" applyBorder="1"/>
    <xf numFmtId="168" fontId="20" fillId="0" borderId="11" xfId="2" applyNumberFormat="1" applyFont="1" applyFill="1" applyBorder="1"/>
    <xf numFmtId="168" fontId="17" fillId="0" borderId="1" xfId="2" applyNumberFormat="1" applyFont="1" applyFill="1" applyBorder="1"/>
    <xf numFmtId="168" fontId="17" fillId="0" borderId="11" xfId="2" applyNumberFormat="1" applyFont="1" applyFill="1" applyBorder="1"/>
    <xf numFmtId="166" fontId="22" fillId="0" borderId="11" xfId="1" applyNumberFormat="1" applyFont="1" applyFill="1" applyBorder="1"/>
    <xf numFmtId="2" fontId="20" fillId="0" borderId="1" xfId="2" applyNumberFormat="1" applyFont="1" applyFill="1" applyBorder="1"/>
    <xf numFmtId="2" fontId="20" fillId="0" borderId="11" xfId="2" applyNumberFormat="1" applyFont="1" applyFill="1" applyBorder="1"/>
    <xf numFmtId="168" fontId="0" fillId="0" borderId="4" xfId="2" applyNumberFormat="1" applyFont="1" applyFill="1" applyBorder="1"/>
    <xf numFmtId="168" fontId="17" fillId="0" borderId="4" xfId="2" applyNumberFormat="1" applyFont="1" applyFill="1" applyBorder="1"/>
    <xf numFmtId="168" fontId="17" fillId="0" borderId="3" xfId="2" applyNumberFormat="1" applyFont="1" applyFill="1" applyBorder="1" applyAlignment="1">
      <alignment wrapText="1"/>
    </xf>
    <xf numFmtId="10" fontId="20" fillId="4" borderId="11" xfId="1" applyNumberFormat="1" applyFont="1" applyFill="1" applyBorder="1"/>
    <xf numFmtId="168" fontId="20" fillId="4" borderId="15" xfId="2" applyNumberFormat="1" applyFont="1" applyFill="1" applyBorder="1"/>
    <xf numFmtId="43" fontId="20" fillId="4" borderId="11" xfId="2" applyFont="1" applyFill="1" applyBorder="1" applyAlignment="1">
      <alignment horizontal="right"/>
    </xf>
    <xf numFmtId="170" fontId="16" fillId="0" borderId="14" xfId="0" applyNumberFormat="1" applyFont="1" applyBorder="1" applyAlignment="1">
      <alignment horizontal="right"/>
    </xf>
    <xf numFmtId="165" fontId="20" fillId="0" borderId="14" xfId="0" applyNumberFormat="1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16" fillId="0" borderId="14" xfId="0" applyFont="1" applyBorder="1" applyAlignment="1">
      <alignment horizontal="center"/>
    </xf>
    <xf numFmtId="165" fontId="16" fillId="0" borderId="14" xfId="0" applyNumberFormat="1" applyFont="1" applyBorder="1" applyAlignment="1">
      <alignment horizontal="center"/>
    </xf>
    <xf numFmtId="165" fontId="16" fillId="0" borderId="14" xfId="0" applyNumberFormat="1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168" fontId="16" fillId="0" borderId="11" xfId="2" applyNumberFormat="1" applyFont="1" applyFill="1" applyBorder="1"/>
    <xf numFmtId="168" fontId="16" fillId="4" borderId="11" xfId="2" applyNumberFormat="1" applyFont="1" applyFill="1" applyBorder="1"/>
    <xf numFmtId="168" fontId="17" fillId="4" borderId="11" xfId="2" applyNumberFormat="1" applyFont="1" applyFill="1" applyBorder="1"/>
    <xf numFmtId="0" fontId="20" fillId="0" borderId="16" xfId="0" applyFont="1" applyBorder="1"/>
    <xf numFmtId="168" fontId="16" fillId="4" borderId="12" xfId="2" applyNumberFormat="1" applyFont="1" applyFill="1" applyBorder="1"/>
    <xf numFmtId="165" fontId="16" fillId="4" borderId="12" xfId="2" applyNumberFormat="1" applyFont="1" applyFill="1" applyBorder="1"/>
    <xf numFmtId="168" fontId="16" fillId="4" borderId="19" xfId="2" applyNumberFormat="1" applyFont="1" applyFill="1" applyBorder="1"/>
    <xf numFmtId="0" fontId="20" fillId="3" borderId="14" xfId="0" applyFont="1" applyFill="1" applyBorder="1"/>
    <xf numFmtId="165" fontId="20" fillId="3" borderId="14" xfId="0" applyNumberFormat="1" applyFont="1" applyFill="1" applyBorder="1"/>
    <xf numFmtId="0" fontId="20" fillId="4" borderId="12" xfId="0" applyFont="1" applyFill="1" applyBorder="1"/>
    <xf numFmtId="0" fontId="17" fillId="0" borderId="13" xfId="0" applyFont="1" applyBorder="1"/>
    <xf numFmtId="3" fontId="23" fillId="0" borderId="14" xfId="0" applyNumberFormat="1" applyFont="1" applyBorder="1"/>
    <xf numFmtId="165" fontId="0" fillId="4" borderId="14" xfId="2" applyNumberFormat="1" applyFont="1" applyFill="1" applyBorder="1"/>
    <xf numFmtId="168" fontId="0" fillId="4" borderId="14" xfId="2" applyNumberFormat="1" applyFont="1" applyFill="1" applyBorder="1"/>
    <xf numFmtId="168" fontId="23" fillId="4" borderId="15" xfId="2" applyNumberFormat="1" applyFont="1" applyFill="1" applyBorder="1" applyAlignment="1">
      <alignment horizontal="right" wrapText="1"/>
    </xf>
    <xf numFmtId="0" fontId="17" fillId="0" borderId="27" xfId="0" applyFont="1" applyBorder="1"/>
    <xf numFmtId="0" fontId="20" fillId="0" borderId="28" xfId="0" applyFont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29" xfId="0" applyFont="1" applyBorder="1" applyAlignment="1">
      <alignment horizontal="right"/>
    </xf>
    <xf numFmtId="168" fontId="0" fillId="4" borderId="11" xfId="2" applyNumberFormat="1" applyFont="1" applyFill="1" applyBorder="1" applyAlignment="1">
      <alignment horizontal="right"/>
    </xf>
    <xf numFmtId="168" fontId="16" fillId="4" borderId="19" xfId="2" applyNumberFormat="1" applyFont="1" applyFill="1" applyBorder="1" applyAlignment="1">
      <alignment horizontal="right"/>
    </xf>
    <xf numFmtId="165" fontId="17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8" fontId="17" fillId="4" borderId="19" xfId="2" applyNumberFormat="1" applyFont="1" applyFill="1" applyBorder="1" applyAlignment="1">
      <alignment horizontal="right"/>
    </xf>
    <xf numFmtId="168" fontId="0" fillId="4" borderId="11" xfId="2" applyNumberFormat="1" applyFont="1" applyFill="1" applyBorder="1"/>
    <xf numFmtId="0" fontId="16" fillId="0" borderId="30" xfId="0" applyFont="1" applyBorder="1"/>
    <xf numFmtId="0" fontId="16" fillId="0" borderId="27" xfId="0" applyFont="1" applyBorder="1"/>
    <xf numFmtId="170" fontId="20" fillId="0" borderId="27" xfId="2" applyNumberFormat="1" applyFont="1" applyFill="1" applyBorder="1"/>
    <xf numFmtId="168" fontId="20" fillId="0" borderId="27" xfId="2" applyNumberFormat="1" applyFont="1" applyFill="1" applyBorder="1"/>
    <xf numFmtId="168" fontId="17" fillId="0" borderId="27" xfId="2" applyNumberFormat="1" applyFont="1" applyBorder="1"/>
    <xf numFmtId="168" fontId="17" fillId="0" borderId="31" xfId="2" applyNumberFormat="1" applyFont="1" applyBorder="1"/>
  </cellXfs>
  <cellStyles count="8">
    <cellStyle name="Comma" xfId="2" builtinId="3"/>
    <cellStyle name="Comma 2" xfId="6"/>
    <cellStyle name="Comma 3" xfId="4"/>
    <cellStyle name="Comma 3 2" xfId="7"/>
    <cellStyle name="Normal" xfId="0" builtinId="0"/>
    <cellStyle name="Normal 2 2" xfId="5"/>
    <cellStyle name="Percent" xfId="1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abSelected="1" zoomScale="85" zoomScaleNormal="85" zoomScaleSheetLayoutView="76" workbookViewId="0">
      <pane ySplit="3" topLeftCell="A4" activePane="bottomLeft" state="frozen"/>
      <selection pane="bottomLeft" activeCell="J59" sqref="J59"/>
    </sheetView>
  </sheetViews>
  <sheetFormatPr defaultColWidth="9.140625" defaultRowHeight="15"/>
  <cols>
    <col min="1" max="1" width="49.85546875" style="86" bestFit="1" customWidth="1"/>
    <col min="2" max="2" width="11.85546875" style="86" hidden="1" customWidth="1"/>
    <col min="3" max="4" width="15.140625" style="86" hidden="1" customWidth="1"/>
    <col min="5" max="8" width="14.5703125" style="86" bestFit="1" customWidth="1"/>
    <col min="9" max="10" width="15.28515625" style="86" bestFit="1" customWidth="1"/>
    <col min="11" max="11" width="2.42578125" style="86" customWidth="1"/>
    <col min="12" max="12" width="39.85546875" style="86" customWidth="1"/>
    <col min="13" max="13" width="12.42578125" style="86" hidden="1" customWidth="1"/>
    <col min="14" max="14" width="11.85546875" style="86" hidden="1" customWidth="1"/>
    <col min="15" max="15" width="12.85546875" style="102" bestFit="1" customWidth="1"/>
    <col min="16" max="17" width="12.42578125" style="91" bestFit="1" customWidth="1"/>
    <col min="18" max="19" width="12.42578125" style="91" customWidth="1"/>
    <col min="20" max="20" width="14.85546875" style="86" customWidth="1"/>
    <col min="21" max="21" width="12.28515625" style="86" bestFit="1" customWidth="1"/>
    <col min="22" max="16384" width="9.140625" style="86"/>
  </cols>
  <sheetData>
    <row r="1" spans="1:25" ht="15.75" thickBot="1">
      <c r="A1" s="263" t="s">
        <v>149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</row>
    <row r="2" spans="1:25">
      <c r="A2" s="260" t="s">
        <v>77</v>
      </c>
      <c r="B2" s="261"/>
      <c r="C2" s="261"/>
      <c r="D2" s="261"/>
      <c r="E2" s="261"/>
      <c r="F2" s="261"/>
      <c r="G2" s="261"/>
      <c r="H2" s="261"/>
      <c r="I2" s="261"/>
      <c r="J2" s="262"/>
      <c r="K2" s="106"/>
      <c r="L2" s="260" t="s">
        <v>76</v>
      </c>
      <c r="M2" s="261"/>
      <c r="N2" s="261"/>
      <c r="O2" s="261"/>
      <c r="P2" s="261"/>
      <c r="Q2" s="261"/>
      <c r="R2" s="261"/>
      <c r="S2" s="261"/>
      <c r="T2" s="261"/>
      <c r="U2" s="262"/>
    </row>
    <row r="3" spans="1:25">
      <c r="A3" s="249" t="s">
        <v>0</v>
      </c>
      <c r="B3" s="250" t="s">
        <v>28</v>
      </c>
      <c r="C3" s="250" t="s">
        <v>29</v>
      </c>
      <c r="D3" s="250" t="s">
        <v>78</v>
      </c>
      <c r="E3" s="251" t="s">
        <v>134</v>
      </c>
      <c r="F3" s="251" t="s">
        <v>153</v>
      </c>
      <c r="G3" s="251" t="s">
        <v>154</v>
      </c>
      <c r="H3" s="251" t="s">
        <v>157</v>
      </c>
      <c r="I3" s="251" t="s">
        <v>162</v>
      </c>
      <c r="J3" s="252" t="s">
        <v>166</v>
      </c>
      <c r="K3" s="106"/>
      <c r="L3" s="107" t="s">
        <v>0</v>
      </c>
      <c r="M3" s="87" t="s">
        <v>28</v>
      </c>
      <c r="N3" s="87" t="s">
        <v>29</v>
      </c>
      <c r="O3" s="88" t="s">
        <v>78</v>
      </c>
      <c r="P3" s="88" t="s">
        <v>134</v>
      </c>
      <c r="Q3" s="88" t="s">
        <v>153</v>
      </c>
      <c r="R3" s="88" t="s">
        <v>154</v>
      </c>
      <c r="S3" s="88" t="s">
        <v>158</v>
      </c>
      <c r="T3" s="88" t="s">
        <v>162</v>
      </c>
      <c r="U3" s="228" t="s">
        <v>164</v>
      </c>
    </row>
    <row r="4" spans="1:25">
      <c r="A4" s="107" t="s">
        <v>79</v>
      </c>
      <c r="B4" s="89">
        <v>4144</v>
      </c>
      <c r="C4" s="89">
        <v>7032.4</v>
      </c>
      <c r="D4" s="119">
        <v>9303.9</v>
      </c>
      <c r="E4" s="90">
        <v>8832.64</v>
      </c>
      <c r="F4" s="90">
        <f>(7668.12+506.18)</f>
        <v>8174.3</v>
      </c>
      <c r="G4" s="90">
        <f>(7333.76+465.64)</f>
        <v>7799.4000000000005</v>
      </c>
      <c r="H4" s="200">
        <f>8841.96+387.73</f>
        <v>9229.6899999999987</v>
      </c>
      <c r="I4" s="200">
        <f>10482.46+425.74</f>
        <v>10908.199999999999</v>
      </c>
      <c r="J4" s="214">
        <f>7651.69+215.1</f>
        <v>7866.79</v>
      </c>
      <c r="K4" s="108"/>
      <c r="L4" s="157" t="s">
        <v>80</v>
      </c>
      <c r="M4" s="158">
        <v>126.61</v>
      </c>
      <c r="N4" s="159">
        <v>127.53</v>
      </c>
      <c r="O4" s="173">
        <v>128.81118000000001</v>
      </c>
      <c r="P4" s="173">
        <v>128.84841</v>
      </c>
      <c r="Q4" s="173">
        <v>128.85</v>
      </c>
      <c r="R4" s="173">
        <v>128.85</v>
      </c>
      <c r="S4" s="187">
        <v>128.85</v>
      </c>
      <c r="T4" s="197">
        <v>128.88</v>
      </c>
      <c r="U4" s="216">
        <v>128.97</v>
      </c>
    </row>
    <row r="5" spans="1:25">
      <c r="A5" s="114" t="s">
        <v>1</v>
      </c>
      <c r="B5" s="92"/>
      <c r="C5" s="134">
        <f t="shared" ref="C5" si="0">(C4/B4-1)</f>
        <v>0.69700772200772199</v>
      </c>
      <c r="D5" s="134">
        <f t="shared" ref="D5" si="1">(D4/C4-1)</f>
        <v>0.32300494852397477</v>
      </c>
      <c r="E5" s="134">
        <f t="shared" ref="E5" si="2">(E4/D4-1)</f>
        <v>-5.0651877169789028E-2</v>
      </c>
      <c r="F5" s="134">
        <f t="shared" ref="F5" si="3">(F4/E4-1)</f>
        <v>-7.4534906890804886E-2</v>
      </c>
      <c r="G5" s="134">
        <f t="shared" ref="G5" si="4">(G4/F4-1)</f>
        <v>-4.5863254345937854E-2</v>
      </c>
      <c r="H5" s="134">
        <f t="shared" ref="H5" si="5">(H4/G4-1)</f>
        <v>0.18338461932969174</v>
      </c>
      <c r="I5" s="134">
        <f>(I4/H4-1)</f>
        <v>0.18185984578030245</v>
      </c>
      <c r="J5" s="183">
        <v>0</v>
      </c>
      <c r="L5" s="157" t="s">
        <v>129</v>
      </c>
      <c r="M5" s="160"/>
      <c r="N5" s="159"/>
      <c r="O5" s="173"/>
      <c r="P5" s="173"/>
      <c r="Q5" s="173"/>
      <c r="R5" s="173"/>
      <c r="S5" s="187"/>
      <c r="T5" s="197"/>
      <c r="U5" s="216"/>
    </row>
    <row r="6" spans="1:25">
      <c r="A6" s="114" t="s">
        <v>82</v>
      </c>
      <c r="B6" s="93"/>
      <c r="C6" s="135"/>
      <c r="D6" s="134" t="e">
        <f t="shared" ref="D6:H6" si="6">(D4/A4)^(1/3)-1</f>
        <v>#VALUE!</v>
      </c>
      <c r="E6" s="134">
        <f t="shared" si="6"/>
        <v>0.28693593468240497</v>
      </c>
      <c r="F6" s="134">
        <f t="shared" si="6"/>
        <v>5.1434772619378233E-2</v>
      </c>
      <c r="G6" s="134">
        <f t="shared" si="6"/>
        <v>-5.7100540564995361E-2</v>
      </c>
      <c r="H6" s="134">
        <f t="shared" si="6"/>
        <v>1.4765113437275712E-2</v>
      </c>
      <c r="I6" s="134">
        <f>(I4/F4)^(1/3)-1</f>
        <v>0.1009497737292282</v>
      </c>
      <c r="J6" s="183">
        <v>0</v>
      </c>
      <c r="L6" s="157" t="s">
        <v>81</v>
      </c>
      <c r="M6" s="158">
        <v>1748.07</v>
      </c>
      <c r="N6" s="159">
        <v>1972.07</v>
      </c>
      <c r="O6" s="173">
        <v>2061.42</v>
      </c>
      <c r="P6" s="173">
        <v>1922.54</v>
      </c>
      <c r="Q6" s="173">
        <v>2101.9899999999998</v>
      </c>
      <c r="R6" s="173">
        <v>1910.83</v>
      </c>
      <c r="S6" s="187">
        <v>1978.32</v>
      </c>
      <c r="T6" s="197">
        <v>1903.84</v>
      </c>
      <c r="U6" s="216">
        <v>1833.71</v>
      </c>
    </row>
    <row r="7" spans="1:25">
      <c r="A7" s="109" t="s">
        <v>2</v>
      </c>
      <c r="B7" s="93">
        <f t="shared" ref="B7:J7" si="7">SUM(B8:B13)</f>
        <v>3562.9799999999996</v>
      </c>
      <c r="C7" s="94">
        <f t="shared" si="7"/>
        <v>6357.7900000000009</v>
      </c>
      <c r="D7" s="94">
        <f t="shared" si="7"/>
        <v>8265.57</v>
      </c>
      <c r="E7" s="93">
        <f t="shared" si="7"/>
        <v>7852.46</v>
      </c>
      <c r="F7" s="93">
        <f t="shared" si="7"/>
        <v>7278.99</v>
      </c>
      <c r="G7" s="93">
        <f t="shared" si="7"/>
        <v>7056.97</v>
      </c>
      <c r="H7" s="97">
        <f t="shared" si="7"/>
        <v>8467.5999999999985</v>
      </c>
      <c r="I7" s="97">
        <f t="shared" si="7"/>
        <v>10049.719999999999</v>
      </c>
      <c r="J7" s="202">
        <f>SUM(J8:J13)</f>
        <v>7315.2000000000007</v>
      </c>
      <c r="L7" s="138" t="s">
        <v>30</v>
      </c>
      <c r="M7" s="94">
        <f>(M4+M6)</f>
        <v>1874.6799999999998</v>
      </c>
      <c r="N7" s="125">
        <f>(N4+N6)</f>
        <v>2099.6</v>
      </c>
      <c r="O7" s="93">
        <f t="shared" ref="O7:Q7" si="8">(O4+O6+O5)</f>
        <v>2190.2311800000002</v>
      </c>
      <c r="P7" s="93">
        <f t="shared" si="8"/>
        <v>2051.38841</v>
      </c>
      <c r="Q7" s="93">
        <f t="shared" si="8"/>
        <v>2230.8399999999997</v>
      </c>
      <c r="R7" s="93">
        <f>(R4+R6+R5)</f>
        <v>2039.6799999999998</v>
      </c>
      <c r="S7" s="93">
        <f t="shared" ref="S7" si="9">(S4+S6+S5)</f>
        <v>2107.17</v>
      </c>
      <c r="T7" s="191">
        <f>(T4+T6+T5)</f>
        <v>2032.7199999999998</v>
      </c>
      <c r="U7" s="202">
        <f>(U4+U6+U5)</f>
        <v>1962.68</v>
      </c>
    </row>
    <row r="8" spans="1:25">
      <c r="A8" s="110" t="s">
        <v>83</v>
      </c>
      <c r="B8" s="160">
        <v>2566.12</v>
      </c>
      <c r="C8" s="161">
        <v>3030.31</v>
      </c>
      <c r="D8" s="161">
        <v>3825.57</v>
      </c>
      <c r="E8" s="173">
        <v>3620.58</v>
      </c>
      <c r="F8" s="173">
        <v>3275.18</v>
      </c>
      <c r="G8" s="187">
        <v>3065.02</v>
      </c>
      <c r="H8" s="215">
        <v>4146.6000000000004</v>
      </c>
      <c r="I8" s="215">
        <v>5446.42</v>
      </c>
      <c r="J8" s="216">
        <v>4277.26</v>
      </c>
      <c r="K8" s="111"/>
      <c r="L8" s="157" t="s">
        <v>31</v>
      </c>
      <c r="M8" s="158">
        <v>0</v>
      </c>
      <c r="N8" s="159">
        <v>216.22</v>
      </c>
      <c r="O8" s="173">
        <v>247.23</v>
      </c>
      <c r="P8" s="173">
        <v>248.25</v>
      </c>
      <c r="Q8" s="173">
        <v>170.41</v>
      </c>
      <c r="R8" s="173">
        <v>-54.48</v>
      </c>
      <c r="S8" s="187">
        <v>-66.599999999999994</v>
      </c>
      <c r="T8" s="197">
        <v>-65.62</v>
      </c>
      <c r="U8" s="216">
        <v>-74.180000000000007</v>
      </c>
    </row>
    <row r="9" spans="1:25" ht="16.5" customHeight="1">
      <c r="A9" s="110" t="s">
        <v>110</v>
      </c>
      <c r="B9" s="160"/>
      <c r="C9" s="161"/>
      <c r="D9" s="161"/>
      <c r="E9" s="173"/>
      <c r="F9" s="173"/>
      <c r="G9" s="187"/>
      <c r="H9" s="215"/>
      <c r="I9" s="215"/>
      <c r="J9" s="216"/>
      <c r="L9" s="157" t="s">
        <v>32</v>
      </c>
      <c r="M9" s="158">
        <v>0</v>
      </c>
      <c r="N9" s="159">
        <v>578.20000000000005</v>
      </c>
      <c r="O9" s="173">
        <v>861.96</v>
      </c>
      <c r="P9" s="173">
        <v>696.45739783500392</v>
      </c>
      <c r="Q9" s="173">
        <v>1088.6199999999999</v>
      </c>
      <c r="R9" s="173">
        <v>815.74</v>
      </c>
      <c r="S9" s="187">
        <v>579.62</v>
      </c>
      <c r="T9" s="222">
        <v>446.71</v>
      </c>
      <c r="U9" s="216">
        <v>314.73</v>
      </c>
    </row>
    <row r="10" spans="1:25">
      <c r="A10" s="110" t="s">
        <v>122</v>
      </c>
      <c r="B10" s="160">
        <v>11.5</v>
      </c>
      <c r="C10" s="161">
        <v>81.069999999999993</v>
      </c>
      <c r="D10" s="161">
        <v>12.06</v>
      </c>
      <c r="E10" s="173">
        <v>-65.42</v>
      </c>
      <c r="F10" s="173">
        <v>179.02</v>
      </c>
      <c r="G10" s="187">
        <v>-45.44</v>
      </c>
      <c r="H10" s="215">
        <v>5.29</v>
      </c>
      <c r="I10" s="215">
        <v>-191.51</v>
      </c>
      <c r="J10" s="216">
        <v>-255.81</v>
      </c>
      <c r="L10" s="157" t="s">
        <v>33</v>
      </c>
      <c r="M10" s="158">
        <v>818.33</v>
      </c>
      <c r="N10" s="159">
        <v>1898.38</v>
      </c>
      <c r="O10" s="173">
        <v>2284.5234603416998</v>
      </c>
      <c r="P10" s="173">
        <v>2024.706744782296</v>
      </c>
      <c r="Q10" s="173">
        <v>2095.17</v>
      </c>
      <c r="R10" s="173">
        <v>1910.25</v>
      </c>
      <c r="S10" s="187">
        <v>2047.99</v>
      </c>
      <c r="T10" s="197">
        <v>1446.03</v>
      </c>
      <c r="U10" s="216">
        <v>1783.21</v>
      </c>
    </row>
    <row r="11" spans="1:25">
      <c r="A11" s="110" t="s">
        <v>165</v>
      </c>
      <c r="B11" s="95"/>
      <c r="C11" s="95"/>
      <c r="D11" s="118"/>
      <c r="E11" s="187"/>
      <c r="F11" s="187"/>
      <c r="G11" s="187"/>
      <c r="H11" s="215">
        <v>106.61</v>
      </c>
      <c r="I11" s="215"/>
      <c r="J11" s="216"/>
      <c r="L11" s="138" t="s">
        <v>34</v>
      </c>
      <c r="M11" s="93">
        <f t="shared" ref="M11:N11" si="10">(M9+M10)</f>
        <v>818.33</v>
      </c>
      <c r="N11" s="125">
        <f t="shared" si="10"/>
        <v>2476.58</v>
      </c>
      <c r="O11" s="93">
        <f t="shared" ref="O11:Q11" si="11">(O9+O10)</f>
        <v>3146.4834603416998</v>
      </c>
      <c r="P11" s="93">
        <f t="shared" si="11"/>
        <v>2721.1641426173001</v>
      </c>
      <c r="Q11" s="93">
        <f t="shared" si="11"/>
        <v>3183.79</v>
      </c>
      <c r="R11" s="93">
        <f>(R9+R10)</f>
        <v>2725.99</v>
      </c>
      <c r="S11" s="93">
        <f>(S9+S10)</f>
        <v>2627.61</v>
      </c>
      <c r="T11" s="191">
        <f>(T9+T10)</f>
        <v>1892.74</v>
      </c>
      <c r="U11" s="202">
        <f>(U9+U10)</f>
        <v>2097.94</v>
      </c>
    </row>
    <row r="12" spans="1:25" ht="15.75" thickBot="1">
      <c r="A12" s="110" t="s">
        <v>58</v>
      </c>
      <c r="B12" s="160">
        <v>538.83000000000004</v>
      </c>
      <c r="C12" s="161">
        <v>2275.89</v>
      </c>
      <c r="D12" s="161">
        <v>3284.83</v>
      </c>
      <c r="E12" s="173">
        <v>3256.63</v>
      </c>
      <c r="F12" s="173">
        <v>3018.39</v>
      </c>
      <c r="G12" s="187">
        <v>3199.02</v>
      </c>
      <c r="H12" s="215">
        <v>3327.22</v>
      </c>
      <c r="I12" s="215">
        <v>3671.16</v>
      </c>
      <c r="J12" s="216">
        <v>2611.8200000000002</v>
      </c>
      <c r="L12" s="171" t="s">
        <v>35</v>
      </c>
      <c r="M12" s="151">
        <f t="shared" ref="M12:N12" si="12">M7+M8+M11</f>
        <v>2693.0099999999998</v>
      </c>
      <c r="N12" s="152">
        <f t="shared" si="12"/>
        <v>4792.3999999999996</v>
      </c>
      <c r="O12" s="151">
        <f t="shared" ref="O12:R12" si="13">O7+O8+O11</f>
        <v>5583.9446403417005</v>
      </c>
      <c r="P12" s="151">
        <f t="shared" si="13"/>
        <v>5020.8025526173005</v>
      </c>
      <c r="Q12" s="151">
        <f t="shared" si="13"/>
        <v>5585.0399999999991</v>
      </c>
      <c r="R12" s="151">
        <f t="shared" si="13"/>
        <v>4711.1899999999996</v>
      </c>
      <c r="S12" s="151">
        <f>S7+S8+S11</f>
        <v>4668.18</v>
      </c>
      <c r="T12" s="192">
        <f>T7+T8+T11</f>
        <v>3859.84</v>
      </c>
      <c r="U12" s="204">
        <f>U7+U8+U11</f>
        <v>3986.44</v>
      </c>
    </row>
    <row r="13" spans="1:25" ht="15.75" thickBot="1">
      <c r="A13" s="110" t="s">
        <v>60</v>
      </c>
      <c r="B13" s="160">
        <v>446.53</v>
      </c>
      <c r="C13" s="161">
        <v>970.52</v>
      </c>
      <c r="D13" s="161">
        <v>1143.1099999999999</v>
      </c>
      <c r="E13" s="173">
        <v>1040.67</v>
      </c>
      <c r="F13" s="173">
        <v>806.4</v>
      </c>
      <c r="G13" s="187">
        <v>838.37</v>
      </c>
      <c r="H13" s="215">
        <v>881.88</v>
      </c>
      <c r="I13" s="215">
        <v>1123.6500000000001</v>
      </c>
      <c r="J13" s="216">
        <v>681.93</v>
      </c>
      <c r="L13" s="274"/>
      <c r="M13" s="275"/>
      <c r="N13" s="276"/>
      <c r="O13" s="277"/>
      <c r="P13" s="277"/>
      <c r="Q13" s="277"/>
      <c r="R13" s="277"/>
      <c r="S13" s="277"/>
      <c r="T13" s="278"/>
      <c r="U13" s="279"/>
    </row>
    <row r="14" spans="1:25">
      <c r="A14" s="109" t="s">
        <v>3</v>
      </c>
      <c r="B14" s="93">
        <f t="shared" ref="B14:J14" si="14">(B4-B7)</f>
        <v>581.02000000000044</v>
      </c>
      <c r="C14" s="94">
        <f t="shared" si="14"/>
        <v>674.60999999999876</v>
      </c>
      <c r="D14" s="94">
        <f t="shared" si="14"/>
        <v>1038.33</v>
      </c>
      <c r="E14" s="93">
        <f t="shared" si="14"/>
        <v>980.17999999999938</v>
      </c>
      <c r="F14" s="93">
        <f t="shared" si="14"/>
        <v>895.3100000000004</v>
      </c>
      <c r="G14" s="93">
        <f t="shared" si="14"/>
        <v>742.43000000000029</v>
      </c>
      <c r="H14" s="97">
        <f t="shared" si="14"/>
        <v>762.09000000000015</v>
      </c>
      <c r="I14" s="97">
        <f t="shared" si="14"/>
        <v>858.47999999999956</v>
      </c>
      <c r="J14" s="202">
        <f>(J4-J7)</f>
        <v>551.58999999999924</v>
      </c>
      <c r="L14" s="174" t="s">
        <v>159</v>
      </c>
      <c r="M14" s="175">
        <f t="shared" ref="M14:N14" si="15">SUM(M15:M24)</f>
        <v>945.32999999999993</v>
      </c>
      <c r="N14" s="176">
        <f t="shared" si="15"/>
        <v>3066.3700000000003</v>
      </c>
      <c r="O14" s="193">
        <f t="shared" ref="O14:R14" si="16">SUM(O15:O24)</f>
        <v>2306.7957922486003</v>
      </c>
      <c r="P14" s="193">
        <f t="shared" si="16"/>
        <v>3079.9458095164996</v>
      </c>
      <c r="Q14" s="193">
        <f t="shared" si="16"/>
        <v>3205.6400000000003</v>
      </c>
      <c r="R14" s="194">
        <f t="shared" si="16"/>
        <v>2586.4</v>
      </c>
      <c r="S14" s="194">
        <f>SUM(S15:S30)</f>
        <v>3359.9699999999993</v>
      </c>
      <c r="T14" s="193">
        <f>SUM(T15:T30)</f>
        <v>3037.7799999999997</v>
      </c>
      <c r="U14" s="224">
        <f>SUM(U15:U30)</f>
        <v>3058.82</v>
      </c>
    </row>
    <row r="15" spans="1:25">
      <c r="A15" s="114" t="s">
        <v>1</v>
      </c>
      <c r="B15" s="92"/>
      <c r="C15" s="134"/>
      <c r="D15" s="134">
        <f t="shared" ref="D15" si="17">(D14/C14-1)</f>
        <v>0.53915595677502837</v>
      </c>
      <c r="E15" s="134">
        <f t="shared" ref="E15" si="18">(E14/D14-1)</f>
        <v>-5.600339005903765E-2</v>
      </c>
      <c r="F15" s="134">
        <f t="shared" ref="F15" si="19">(F14/E14-1)</f>
        <v>-8.6586137240097782E-2</v>
      </c>
      <c r="G15" s="134">
        <f t="shared" ref="G15" si="20">(G14/F14-1)</f>
        <v>-0.17075649774938295</v>
      </c>
      <c r="H15" s="134">
        <f t="shared" ref="H15" si="21">(H14/G14-1)</f>
        <v>2.6480610966690188E-2</v>
      </c>
      <c r="I15" s="134">
        <f>(I14/H14-1)</f>
        <v>0.12648112427665947</v>
      </c>
      <c r="J15" s="183">
        <v>0</v>
      </c>
      <c r="L15" s="110" t="s">
        <v>131</v>
      </c>
      <c r="M15" s="158">
        <v>334.8</v>
      </c>
      <c r="N15" s="159">
        <v>1234.32</v>
      </c>
      <c r="O15" s="173">
        <v>1130.3161141427001</v>
      </c>
      <c r="P15" s="173">
        <v>1253.2814925700325</v>
      </c>
      <c r="Q15" s="173">
        <v>1184.19</v>
      </c>
      <c r="R15" s="195">
        <v>1119.54</v>
      </c>
      <c r="S15" s="220">
        <v>1071.27</v>
      </c>
      <c r="T15" s="215">
        <v>1126.04</v>
      </c>
      <c r="U15" s="216">
        <v>1096.8</v>
      </c>
      <c r="V15" s="102"/>
    </row>
    <row r="16" spans="1:25">
      <c r="A16" s="114" t="s">
        <v>82</v>
      </c>
      <c r="B16" s="92"/>
      <c r="C16" s="134"/>
      <c r="D16" s="134" t="e">
        <f t="shared" ref="D16:H16" si="22">(D14/A14)^(1/3)-1</f>
        <v>#VALUE!</v>
      </c>
      <c r="E16" s="134">
        <f t="shared" si="22"/>
        <v>0.19043289252009998</v>
      </c>
      <c r="F16" s="134">
        <f t="shared" si="22"/>
        <v>9.8938917312854535E-2</v>
      </c>
      <c r="G16" s="134">
        <f t="shared" si="22"/>
        <v>-0.10578894064197042</v>
      </c>
      <c r="H16" s="134">
        <f t="shared" si="22"/>
        <v>-8.0468081917250966E-2</v>
      </c>
      <c r="I16" s="134">
        <f>(I14/F14)^(1/3)-1</f>
        <v>-1.3904639414623055E-2</v>
      </c>
      <c r="J16" s="183">
        <v>0</v>
      </c>
      <c r="L16" s="110" t="s">
        <v>128</v>
      </c>
      <c r="M16" s="160"/>
      <c r="N16" s="159"/>
      <c r="O16" s="173">
        <v>0</v>
      </c>
      <c r="P16" s="173">
        <v>456.69735311779999</v>
      </c>
      <c r="Q16" s="173">
        <v>555.94000000000005</v>
      </c>
      <c r="R16" s="195">
        <v>481.07</v>
      </c>
      <c r="S16" s="220">
        <v>464.74</v>
      </c>
      <c r="T16" s="197">
        <v>529.77</v>
      </c>
      <c r="U16" s="216">
        <v>488.53</v>
      </c>
      <c r="X16" s="155"/>
      <c r="Y16" s="102"/>
    </row>
    <row r="17" spans="1:21">
      <c r="A17" s="109" t="s">
        <v>4</v>
      </c>
      <c r="B17" s="98">
        <f t="shared" ref="B17:J17" si="23">(B14/B4)</f>
        <v>0.14020752895752905</v>
      </c>
      <c r="C17" s="137">
        <f t="shared" si="23"/>
        <v>9.5928843638018138E-2</v>
      </c>
      <c r="D17" s="137">
        <f t="shared" si="23"/>
        <v>0.11160158643149647</v>
      </c>
      <c r="E17" s="137">
        <f t="shared" si="23"/>
        <v>0.1109724838779798</v>
      </c>
      <c r="F17" s="137">
        <f t="shared" si="23"/>
        <v>0.10952742130824662</v>
      </c>
      <c r="G17" s="137">
        <f t="shared" si="23"/>
        <v>9.5190655691463483E-2</v>
      </c>
      <c r="H17" s="99">
        <f t="shared" si="23"/>
        <v>8.25694037394539E-2</v>
      </c>
      <c r="I17" s="99">
        <f t="shared" si="23"/>
        <v>7.8700427201554762E-2</v>
      </c>
      <c r="J17" s="223">
        <f>(J14/J4)</f>
        <v>7.0116273600795143E-2</v>
      </c>
      <c r="L17" s="110" t="s">
        <v>103</v>
      </c>
      <c r="M17" s="158">
        <v>0</v>
      </c>
      <c r="N17" s="159">
        <v>376.23</v>
      </c>
      <c r="O17" s="173">
        <v>376.22725399999985</v>
      </c>
      <c r="P17" s="173">
        <v>376.22725399999985</v>
      </c>
      <c r="Q17" s="173">
        <v>376.23</v>
      </c>
      <c r="R17" s="195">
        <v>376.23</v>
      </c>
      <c r="S17" s="220">
        <v>376.23</v>
      </c>
      <c r="T17" s="197">
        <v>412.58</v>
      </c>
      <c r="U17" s="216">
        <v>412.58</v>
      </c>
    </row>
    <row r="18" spans="1:21">
      <c r="A18" s="110" t="s">
        <v>87</v>
      </c>
      <c r="B18" s="160">
        <v>166.49</v>
      </c>
      <c r="C18" s="161">
        <v>232.47</v>
      </c>
      <c r="D18" s="161">
        <v>278.39</v>
      </c>
      <c r="E18" s="173">
        <v>413.86</v>
      </c>
      <c r="F18" s="173">
        <v>453.01</v>
      </c>
      <c r="G18" s="187">
        <v>431.93</v>
      </c>
      <c r="H18" s="215">
        <v>438.26</v>
      </c>
      <c r="I18" s="215">
        <v>452.74</v>
      </c>
      <c r="J18" s="216">
        <v>339.96</v>
      </c>
      <c r="K18" s="111"/>
      <c r="L18" s="110" t="s">
        <v>85</v>
      </c>
      <c r="M18" s="158">
        <v>208.51</v>
      </c>
      <c r="N18" s="159">
        <v>1.87</v>
      </c>
      <c r="O18" s="173">
        <v>81.337981470000017</v>
      </c>
      <c r="P18" s="173">
        <v>13.505531939999999</v>
      </c>
      <c r="Q18" s="173">
        <v>20.86</v>
      </c>
      <c r="R18" s="195">
        <v>0.09</v>
      </c>
      <c r="S18" s="220">
        <v>54.09</v>
      </c>
      <c r="T18" s="197">
        <v>2.87</v>
      </c>
      <c r="U18" s="216">
        <v>25.07</v>
      </c>
    </row>
    <row r="19" spans="1:21">
      <c r="A19" s="110" t="s">
        <v>88</v>
      </c>
      <c r="B19" s="160">
        <v>40.35</v>
      </c>
      <c r="C19" s="161">
        <v>184.05</v>
      </c>
      <c r="D19" s="161">
        <v>349.21</v>
      </c>
      <c r="E19" s="173">
        <v>368.16</v>
      </c>
      <c r="F19" s="173">
        <v>295.20999999999998</v>
      </c>
      <c r="G19" s="187">
        <v>263.48</v>
      </c>
      <c r="H19" s="215">
        <v>273.39999999999998</v>
      </c>
      <c r="I19" s="215">
        <v>346.31</v>
      </c>
      <c r="J19" s="216">
        <v>231.48</v>
      </c>
      <c r="L19" s="110" t="s">
        <v>118</v>
      </c>
      <c r="M19" s="85"/>
      <c r="N19" s="127"/>
      <c r="O19" s="185"/>
      <c r="P19" s="185"/>
      <c r="Q19" s="185"/>
      <c r="R19" s="196"/>
      <c r="S19" s="221"/>
      <c r="T19" s="197"/>
      <c r="U19" s="216"/>
    </row>
    <row r="20" spans="1:21">
      <c r="A20" s="157" t="s">
        <v>136</v>
      </c>
      <c r="B20" s="160"/>
      <c r="C20" s="161">
        <v>6.95</v>
      </c>
      <c r="D20" s="161"/>
      <c r="E20" s="173">
        <v>-105.27</v>
      </c>
      <c r="F20" s="173">
        <v>0</v>
      </c>
      <c r="G20" s="187">
        <v>-603.54</v>
      </c>
      <c r="H20" s="215"/>
      <c r="I20" s="215">
        <v>-48.79</v>
      </c>
      <c r="J20" s="216">
        <v>-193.05</v>
      </c>
      <c r="L20" s="110" t="s">
        <v>124</v>
      </c>
      <c r="M20" s="158">
        <v>64.849999999999994</v>
      </c>
      <c r="N20" s="159">
        <v>893.71</v>
      </c>
      <c r="O20" s="173">
        <v>541.21703257079992</v>
      </c>
      <c r="P20" s="173">
        <v>478.61027654526771</v>
      </c>
      <c r="Q20" s="173">
        <v>409.21</v>
      </c>
      <c r="R20" s="195">
        <v>416.42</v>
      </c>
      <c r="S20" s="220">
        <v>286.2</v>
      </c>
      <c r="T20" s="197">
        <v>314.67</v>
      </c>
      <c r="U20" s="216">
        <v>302.48</v>
      </c>
    </row>
    <row r="21" spans="1:21">
      <c r="A21" s="157" t="s">
        <v>137</v>
      </c>
      <c r="B21" s="160"/>
      <c r="C21" s="161">
        <v>6.67</v>
      </c>
      <c r="D21" s="161">
        <v>-13.08</v>
      </c>
      <c r="E21" s="173">
        <v>-4.6399999999999997</v>
      </c>
      <c r="F21" s="173">
        <v>-10.71</v>
      </c>
      <c r="G21" s="187">
        <v>-45.74</v>
      </c>
      <c r="H21" s="215">
        <v>12.4</v>
      </c>
      <c r="I21" s="215">
        <v>0</v>
      </c>
      <c r="J21" s="216">
        <v>0</v>
      </c>
      <c r="L21" s="110" t="s">
        <v>125</v>
      </c>
      <c r="M21" s="158">
        <v>0</v>
      </c>
      <c r="N21" s="159">
        <v>111.1</v>
      </c>
      <c r="O21" s="173">
        <v>57.227410065100003</v>
      </c>
      <c r="P21" s="173">
        <v>100.63603807219999</v>
      </c>
      <c r="Q21" s="173">
        <v>171.27</v>
      </c>
      <c r="R21" s="195">
        <v>120.14</v>
      </c>
      <c r="S21" s="220">
        <v>227.56</v>
      </c>
      <c r="T21" s="197">
        <v>100.99</v>
      </c>
      <c r="U21" s="216">
        <v>58.07</v>
      </c>
    </row>
    <row r="22" spans="1:21">
      <c r="A22" s="110" t="s">
        <v>5</v>
      </c>
      <c r="B22" s="160">
        <v>84.11</v>
      </c>
      <c r="C22" s="161">
        <v>304.44</v>
      </c>
      <c r="D22" s="161">
        <f>29.48+41.18</f>
        <v>70.66</v>
      </c>
      <c r="E22" s="173">
        <f>117.93+35.64</f>
        <v>153.57</v>
      </c>
      <c r="F22" s="173">
        <v>57.91</v>
      </c>
      <c r="G22" s="187">
        <f>3.49+43.56+33.19</f>
        <v>80.240000000000009</v>
      </c>
      <c r="H22" s="215">
        <f>37.25+21.28</f>
        <v>58.53</v>
      </c>
      <c r="I22" s="215">
        <v>68.14</v>
      </c>
      <c r="J22" s="216">
        <f>30.94+19.68</f>
        <v>50.620000000000005</v>
      </c>
      <c r="L22" s="110" t="s">
        <v>86</v>
      </c>
      <c r="M22" s="85"/>
      <c r="N22" s="159"/>
      <c r="O22" s="185"/>
      <c r="P22" s="185"/>
      <c r="Q22" s="185"/>
      <c r="R22" s="196"/>
      <c r="S22" s="221"/>
      <c r="T22" s="197"/>
      <c r="U22" s="216"/>
    </row>
    <row r="23" spans="1:21">
      <c r="A23" s="109" t="s">
        <v>6</v>
      </c>
      <c r="B23" s="93">
        <f t="shared" ref="B23:C23" si="24">(B14-B18-B19+B20+B22+B21)</f>
        <v>458.29000000000042</v>
      </c>
      <c r="C23" s="94">
        <f t="shared" si="24"/>
        <v>576.14999999999861</v>
      </c>
      <c r="D23" s="94">
        <f t="shared" ref="D23:F23" si="25">(D14-D18-D19+D20+D22+D21)</f>
        <v>468.31</v>
      </c>
      <c r="E23" s="93">
        <f t="shared" si="25"/>
        <v>241.81999999999937</v>
      </c>
      <c r="F23" s="93">
        <f t="shared" si="25"/>
        <v>194.29000000000042</v>
      </c>
      <c r="G23" s="93">
        <f>(G14-G18-G19+G20+G22+G21)</f>
        <v>-522.01999999999975</v>
      </c>
      <c r="H23" s="97">
        <f>(H14-H18-H19+H20+H22+H21)</f>
        <v>121.36000000000018</v>
      </c>
      <c r="I23" s="97">
        <f>(I14-I18-I19+I20+I22+I21)</f>
        <v>78.779999999999546</v>
      </c>
      <c r="J23" s="202">
        <f>(J14-J18-J19+J20+J22+J21)</f>
        <v>-162.28000000000074</v>
      </c>
      <c r="L23" s="110" t="s">
        <v>139</v>
      </c>
      <c r="M23" s="158">
        <v>323.91000000000003</v>
      </c>
      <c r="N23" s="159">
        <v>368.57</v>
      </c>
      <c r="O23" s="173">
        <v>99.92</v>
      </c>
      <c r="P23" s="173">
        <v>386.72</v>
      </c>
      <c r="Q23" s="173">
        <v>464.83</v>
      </c>
      <c r="R23" s="195">
        <v>59.13</v>
      </c>
      <c r="S23" s="220">
        <v>82.47</v>
      </c>
      <c r="T23" s="197">
        <v>84.17</v>
      </c>
      <c r="U23" s="216">
        <v>87.43</v>
      </c>
    </row>
    <row r="24" spans="1:21">
      <c r="A24" s="110" t="s">
        <v>7</v>
      </c>
      <c r="B24" s="160">
        <f>117.03-4.03-12.24</f>
        <v>100.76</v>
      </c>
      <c r="C24" s="161">
        <v>86.44</v>
      </c>
      <c r="D24" s="161">
        <f>72.31-4.37-44.65-25.91</f>
        <v>-2.620000000000001</v>
      </c>
      <c r="E24" s="173">
        <v>73.790000000000006</v>
      </c>
      <c r="F24" s="173">
        <v>73.900000000000006</v>
      </c>
      <c r="G24" s="187">
        <f>46.44-33.81</f>
        <v>12.629999999999995</v>
      </c>
      <c r="H24" s="215">
        <f>126.51-10.32-61.77</f>
        <v>54.419999999999995</v>
      </c>
      <c r="I24" s="215">
        <v>106.33</v>
      </c>
      <c r="J24" s="216">
        <v>72.239999999999995</v>
      </c>
      <c r="L24" s="110" t="s">
        <v>138</v>
      </c>
      <c r="M24" s="158">
        <v>13.26</v>
      </c>
      <c r="N24" s="159">
        <v>80.569999999999993</v>
      </c>
      <c r="O24" s="173">
        <v>20.55</v>
      </c>
      <c r="P24" s="173">
        <v>14.267863271200001</v>
      </c>
      <c r="Q24" s="173">
        <v>23.11</v>
      </c>
      <c r="R24" s="195">
        <v>13.78</v>
      </c>
      <c r="S24" s="220">
        <v>13.81</v>
      </c>
      <c r="T24" s="197">
        <v>0.55000000000000004</v>
      </c>
      <c r="U24" s="216">
        <v>0.56999999999999995</v>
      </c>
    </row>
    <row r="25" spans="1:21">
      <c r="A25" s="117" t="s">
        <v>8</v>
      </c>
      <c r="B25" s="148">
        <f t="shared" ref="B25:C25" si="26">(B24/B23)</f>
        <v>0.21986078683802812</v>
      </c>
      <c r="C25" s="149">
        <f t="shared" si="26"/>
        <v>0.15003037403453998</v>
      </c>
      <c r="D25" s="149">
        <f t="shared" ref="D25:E25" si="27">(D24/D23)</f>
        <v>-5.5945847835835259E-3</v>
      </c>
      <c r="E25" s="149">
        <f t="shared" si="27"/>
        <v>0.30514432222314203</v>
      </c>
      <c r="F25" s="149">
        <f>(F24/F23)</f>
        <v>0.38035925678109961</v>
      </c>
      <c r="G25" s="149">
        <f>(G24/G23)</f>
        <v>-2.4194475307459488E-2</v>
      </c>
      <c r="H25" s="149">
        <f>(H24/H23)</f>
        <v>0.4484179301252465</v>
      </c>
      <c r="I25" s="149">
        <f>(I24/I23)</f>
        <v>1.3497080477278574</v>
      </c>
      <c r="J25" s="217">
        <f>(J24/J23)</f>
        <v>-0.44515651959575836</v>
      </c>
      <c r="L25" s="110" t="s">
        <v>160</v>
      </c>
      <c r="M25" s="158"/>
      <c r="N25" s="159"/>
      <c r="O25" s="173"/>
      <c r="P25" s="173"/>
      <c r="Q25" s="173"/>
      <c r="R25" s="195">
        <v>269.12</v>
      </c>
      <c r="S25" s="220"/>
      <c r="T25" s="197"/>
      <c r="U25" s="216"/>
    </row>
    <row r="26" spans="1:21">
      <c r="A26" s="110" t="s">
        <v>10</v>
      </c>
      <c r="B26" s="95"/>
      <c r="C26" s="95"/>
      <c r="D26" s="161"/>
      <c r="E26" s="161"/>
      <c r="F26" s="161"/>
      <c r="G26" s="161"/>
      <c r="H26" s="153"/>
      <c r="I26" s="153"/>
      <c r="J26" s="165"/>
      <c r="L26" s="110" t="s">
        <v>140</v>
      </c>
      <c r="M26" s="158">
        <v>15.61</v>
      </c>
      <c r="N26" s="159">
        <v>42.88</v>
      </c>
      <c r="O26" s="173">
        <v>50.089354115100001</v>
      </c>
      <c r="P26" s="173">
        <v>60.822419768299994</v>
      </c>
      <c r="Q26" s="173">
        <v>45.55</v>
      </c>
      <c r="R26" s="195"/>
      <c r="S26" s="220"/>
      <c r="T26" s="197"/>
      <c r="U26" s="216"/>
    </row>
    <row r="27" spans="1:21">
      <c r="A27" s="110" t="s">
        <v>93</v>
      </c>
      <c r="B27" s="95"/>
      <c r="C27" s="95"/>
      <c r="D27" s="161"/>
      <c r="E27" s="161"/>
      <c r="F27" s="161"/>
      <c r="G27" s="161"/>
      <c r="H27" s="153"/>
      <c r="I27" s="153"/>
      <c r="J27" s="165"/>
      <c r="L27" s="110" t="s">
        <v>126</v>
      </c>
      <c r="M27" s="158"/>
      <c r="N27" s="159"/>
      <c r="O27" s="173">
        <v>478.65928339549993</v>
      </c>
      <c r="P27" s="173">
        <v>526.74221563317155</v>
      </c>
      <c r="Q27" s="173">
        <v>289.49</v>
      </c>
      <c r="R27" s="195">
        <v>378.36</v>
      </c>
      <c r="S27" s="220">
        <v>362.62</v>
      </c>
      <c r="T27" s="197">
        <v>275.64</v>
      </c>
      <c r="U27" s="216">
        <v>333.87</v>
      </c>
    </row>
    <row r="28" spans="1:21">
      <c r="A28" s="110" t="s">
        <v>123</v>
      </c>
      <c r="B28" s="95"/>
      <c r="C28" s="95"/>
      <c r="D28" s="161"/>
      <c r="E28" s="161"/>
      <c r="F28" s="161"/>
      <c r="G28" s="161"/>
      <c r="H28" s="154"/>
      <c r="I28" s="154"/>
      <c r="J28" s="166"/>
      <c r="L28" s="110" t="s">
        <v>127</v>
      </c>
      <c r="M28" s="158">
        <v>50.63</v>
      </c>
      <c r="N28" s="159">
        <v>0</v>
      </c>
      <c r="O28" s="173">
        <v>51.009762831000003</v>
      </c>
      <c r="P28" s="173">
        <v>30.369777403000001</v>
      </c>
      <c r="Q28" s="173">
        <v>22.1</v>
      </c>
      <c r="R28" s="195">
        <v>31.58</v>
      </c>
      <c r="S28" s="220">
        <v>69.680000000000007</v>
      </c>
      <c r="T28" s="197">
        <v>102.48</v>
      </c>
      <c r="U28" s="216">
        <v>154.74</v>
      </c>
    </row>
    <row r="29" spans="1:21">
      <c r="A29" s="109" t="s">
        <v>150</v>
      </c>
      <c r="B29" s="103">
        <v>258</v>
      </c>
      <c r="C29" s="103">
        <f>C23-C24-C26+C27+C28</f>
        <v>489.70999999999862</v>
      </c>
      <c r="D29" s="103">
        <f t="shared" ref="D29:F29" si="28">D23-D24+D26+D27+D28</f>
        <v>470.93</v>
      </c>
      <c r="E29" s="97">
        <f t="shared" si="28"/>
        <v>168.02999999999935</v>
      </c>
      <c r="F29" s="97">
        <f t="shared" si="28"/>
        <v>120.39000000000041</v>
      </c>
      <c r="G29" s="97">
        <f>G23-G24+G26+G27+G28</f>
        <v>-534.64999999999975</v>
      </c>
      <c r="H29" s="97">
        <f t="shared" ref="H29" si="29">H23-H24+H26+H27+H28</f>
        <v>66.940000000000197</v>
      </c>
      <c r="I29" s="97">
        <f>I23-I24+I26+I27+I28</f>
        <v>-27.550000000000452</v>
      </c>
      <c r="J29" s="202">
        <f>J23-J24+J26+J27+J28</f>
        <v>-234.52000000000072</v>
      </c>
      <c r="L29" s="110" t="s">
        <v>106</v>
      </c>
      <c r="M29" s="158">
        <v>22.01</v>
      </c>
      <c r="N29" s="159">
        <v>129.03</v>
      </c>
      <c r="O29" s="173">
        <v>33.991500000000002</v>
      </c>
      <c r="P29" s="173">
        <v>34.021107633000007</v>
      </c>
      <c r="Q29" s="173">
        <v>33.54</v>
      </c>
      <c r="R29" s="195">
        <v>48.89</v>
      </c>
      <c r="S29" s="220">
        <v>9.59</v>
      </c>
      <c r="T29" s="197">
        <v>13.43</v>
      </c>
      <c r="U29" s="216">
        <v>33</v>
      </c>
    </row>
    <row r="30" spans="1:21">
      <c r="A30" s="109" t="s">
        <v>155</v>
      </c>
      <c r="B30" s="103"/>
      <c r="C30" s="103"/>
      <c r="D30" s="103">
        <v>0</v>
      </c>
      <c r="E30" s="97">
        <v>-7</v>
      </c>
      <c r="F30" s="97">
        <v>0</v>
      </c>
      <c r="G30" s="97">
        <v>0</v>
      </c>
      <c r="H30" s="97">
        <v>0</v>
      </c>
      <c r="I30" s="97">
        <v>0</v>
      </c>
      <c r="J30" s="202">
        <v>0</v>
      </c>
      <c r="L30" s="110" t="s">
        <v>91</v>
      </c>
      <c r="M30" s="158">
        <v>152.41</v>
      </c>
      <c r="N30" s="159">
        <v>103.24</v>
      </c>
      <c r="O30" s="173">
        <v>60.411903738050256</v>
      </c>
      <c r="P30" s="173">
        <v>27.074171853378726</v>
      </c>
      <c r="Q30" s="173">
        <v>14.36</v>
      </c>
      <c r="R30" s="195">
        <v>41.84</v>
      </c>
      <c r="S30" s="220">
        <v>341.71</v>
      </c>
      <c r="T30" s="197">
        <v>74.59</v>
      </c>
      <c r="U30" s="216">
        <v>65.680000000000007</v>
      </c>
    </row>
    <row r="31" spans="1:21">
      <c r="A31" s="109" t="s">
        <v>9</v>
      </c>
      <c r="B31" s="103"/>
      <c r="C31" s="103"/>
      <c r="D31" s="103">
        <f t="shared" ref="D31:H31" si="30">D29+D30</f>
        <v>470.93</v>
      </c>
      <c r="E31" s="97">
        <f t="shared" si="30"/>
        <v>161.02999999999935</v>
      </c>
      <c r="F31" s="97">
        <f t="shared" si="30"/>
        <v>120.39000000000041</v>
      </c>
      <c r="G31" s="97">
        <f t="shared" si="30"/>
        <v>-534.64999999999975</v>
      </c>
      <c r="H31" s="97">
        <f t="shared" si="30"/>
        <v>66.940000000000197</v>
      </c>
      <c r="I31" s="97">
        <f t="shared" ref="I31" si="31">I29+I30</f>
        <v>-27.550000000000452</v>
      </c>
      <c r="J31" s="202">
        <f>J29+J30</f>
        <v>-234.52000000000072</v>
      </c>
      <c r="L31" s="109" t="s">
        <v>36</v>
      </c>
      <c r="M31" s="100">
        <f t="shared" ref="M31:N31" si="32">SUM(M32:M41)</f>
        <v>2832.5499999999993</v>
      </c>
      <c r="N31" s="126">
        <f t="shared" si="32"/>
        <v>5312.35</v>
      </c>
      <c r="O31" s="97">
        <f t="shared" ref="O31:S31" si="33">SUM(O32:O41)</f>
        <v>7979.734507880099</v>
      </c>
      <c r="P31" s="97">
        <f t="shared" si="33"/>
        <v>7012.71028101502</v>
      </c>
      <c r="Q31" s="97">
        <f t="shared" si="33"/>
        <v>6194.02</v>
      </c>
      <c r="R31" s="198">
        <f t="shared" si="33"/>
        <v>5873.4</v>
      </c>
      <c r="S31" s="198">
        <f t="shared" si="33"/>
        <v>7367.01</v>
      </c>
      <c r="T31" s="199">
        <f>SUM(T32:T41)</f>
        <v>7600.2599999999993</v>
      </c>
      <c r="U31" s="202">
        <f>SUM(U32:U41)</f>
        <v>8452.18</v>
      </c>
    </row>
    <row r="32" spans="1:21">
      <c r="A32" s="109" t="s">
        <v>151</v>
      </c>
      <c r="B32" s="99">
        <f>B29/B4</f>
        <v>6.2258687258687259E-2</v>
      </c>
      <c r="C32" s="99">
        <f>C29/C4</f>
        <v>6.9636255048063062E-2</v>
      </c>
      <c r="D32" s="99">
        <f>D29/D4</f>
        <v>5.0616408172916738E-2</v>
      </c>
      <c r="E32" s="99">
        <f>E31/E4</f>
        <v>1.8231242301282442E-2</v>
      </c>
      <c r="F32" s="99">
        <f>F29/F4</f>
        <v>1.4727866606314964E-2</v>
      </c>
      <c r="G32" s="99">
        <f>G29/G4</f>
        <v>-6.8550144882939673E-2</v>
      </c>
      <c r="H32" s="99">
        <f>H31/H4</f>
        <v>7.2526812926544887E-3</v>
      </c>
      <c r="I32" s="99">
        <f>I29/I4</f>
        <v>-2.5256229258723215E-3</v>
      </c>
      <c r="J32" s="223">
        <f>J29/J4</f>
        <v>-2.9811397024707757E-2</v>
      </c>
      <c r="L32" s="110" t="s">
        <v>37</v>
      </c>
      <c r="M32" s="158">
        <v>1328.6</v>
      </c>
      <c r="N32" s="159">
        <v>1838.98</v>
      </c>
      <c r="O32" s="173">
        <v>2369.0269365046997</v>
      </c>
      <c r="P32" s="173">
        <v>2357.9217688724079</v>
      </c>
      <c r="Q32" s="173">
        <v>1941.88</v>
      </c>
      <c r="R32" s="195">
        <v>2248.25</v>
      </c>
      <c r="S32" s="220">
        <v>2610.62</v>
      </c>
      <c r="T32" s="197">
        <v>3173.77</v>
      </c>
      <c r="U32" s="216">
        <v>4016.24</v>
      </c>
    </row>
    <row r="33" spans="1:22">
      <c r="A33" s="114" t="s">
        <v>1</v>
      </c>
      <c r="B33" s="92"/>
      <c r="C33" s="134"/>
      <c r="D33" s="134" t="s">
        <v>119</v>
      </c>
      <c r="E33" s="134">
        <f>(E29/D29-1)</f>
        <v>-0.64319537935574433</v>
      </c>
      <c r="F33" s="134">
        <f>(F29/E29-1)</f>
        <v>-0.28352079985716316</v>
      </c>
      <c r="G33" s="134">
        <f>(G29/F29-1)</f>
        <v>-5.4409834703878888</v>
      </c>
      <c r="H33" s="134">
        <f>(H29/G29-1)</f>
        <v>-1.1252034040961381</v>
      </c>
      <c r="I33" s="134">
        <f>(I29/H29-1)</f>
        <v>-1.4115625933672</v>
      </c>
      <c r="J33" s="183">
        <v>0</v>
      </c>
      <c r="K33" s="106"/>
      <c r="L33" s="110" t="s">
        <v>86</v>
      </c>
      <c r="M33" s="85"/>
      <c r="N33" s="127"/>
      <c r="O33" s="185"/>
      <c r="P33" s="185"/>
      <c r="Q33" s="185"/>
      <c r="R33" s="196"/>
      <c r="S33" s="196"/>
      <c r="T33" s="190"/>
      <c r="U33" s="186"/>
    </row>
    <row r="34" spans="1:22">
      <c r="A34" s="114" t="s">
        <v>82</v>
      </c>
      <c r="B34" s="92"/>
      <c r="C34" s="134"/>
      <c r="D34" s="134" t="e">
        <f t="shared" ref="D34:I34" si="34">(D29/A29)^(1/3)-1</f>
        <v>#VALUE!</v>
      </c>
      <c r="E34" s="134">
        <f t="shared" si="34"/>
        <v>-0.13319307194964158</v>
      </c>
      <c r="F34" s="134">
        <f t="shared" si="34"/>
        <v>-0.37355374978208222</v>
      </c>
      <c r="G34" s="134">
        <f t="shared" si="34"/>
        <v>-2.0432083900107956</v>
      </c>
      <c r="H34" s="134">
        <f t="shared" si="34"/>
        <v>-0.26418897031758615</v>
      </c>
      <c r="I34" s="134">
        <f t="shared" si="34"/>
        <v>-1.6116604448528551</v>
      </c>
      <c r="J34" s="183">
        <v>0</v>
      </c>
      <c r="K34" s="106"/>
      <c r="L34" s="110" t="s">
        <v>111</v>
      </c>
      <c r="M34" s="85"/>
      <c r="N34" s="127"/>
      <c r="O34" s="185"/>
      <c r="P34" s="185"/>
      <c r="Q34" s="185"/>
      <c r="R34" s="196"/>
      <c r="S34" s="196"/>
      <c r="T34" s="190"/>
      <c r="U34" s="186"/>
    </row>
    <row r="35" spans="1:22">
      <c r="A35" s="117"/>
      <c r="B35" s="116"/>
      <c r="C35" s="121"/>
      <c r="D35" s="122"/>
      <c r="E35" s="122"/>
      <c r="F35" s="122"/>
      <c r="G35" s="122"/>
      <c r="H35" s="153"/>
      <c r="I35" s="153"/>
      <c r="J35" s="165"/>
      <c r="K35" s="106"/>
      <c r="L35" s="110" t="s">
        <v>112</v>
      </c>
      <c r="M35" s="158">
        <v>857.64</v>
      </c>
      <c r="N35" s="159">
        <v>1876.92</v>
      </c>
      <c r="O35" s="173">
        <v>2742.84</v>
      </c>
      <c r="P35" s="173">
        <v>2489.090765830807</v>
      </c>
      <c r="Q35" s="173">
        <v>2161.21</v>
      </c>
      <c r="R35" s="195">
        <v>2499.02</v>
      </c>
      <c r="S35" s="220">
        <v>3309.97</v>
      </c>
      <c r="T35" s="197">
        <v>2279.77</v>
      </c>
      <c r="U35" s="216">
        <v>2296.83</v>
      </c>
    </row>
    <row r="36" spans="1:22">
      <c r="A36" s="117"/>
      <c r="B36" s="116"/>
      <c r="C36" s="121"/>
      <c r="D36" s="122"/>
      <c r="E36" s="122"/>
      <c r="F36" s="122"/>
      <c r="G36" s="122"/>
      <c r="H36" s="153"/>
      <c r="I36" s="153"/>
      <c r="J36" s="165"/>
      <c r="K36" s="106"/>
      <c r="L36" s="110" t="s">
        <v>92</v>
      </c>
      <c r="M36" s="158">
        <v>392.02</v>
      </c>
      <c r="N36" s="159">
        <v>136.59</v>
      </c>
      <c r="O36" s="173">
        <v>173.01856379889995</v>
      </c>
      <c r="P36" s="173">
        <v>136.01970368325269</v>
      </c>
      <c r="Q36" s="173">
        <v>411.48</v>
      </c>
      <c r="R36" s="195">
        <v>480.44</v>
      </c>
      <c r="S36" s="220">
        <v>352.71</v>
      </c>
      <c r="T36" s="197">
        <v>481.21</v>
      </c>
      <c r="U36" s="216">
        <v>417.16</v>
      </c>
    </row>
    <row r="37" spans="1:22">
      <c r="A37" s="107" t="s">
        <v>152</v>
      </c>
      <c r="B37" s="87">
        <v>20.440000000000001</v>
      </c>
      <c r="C37" s="89">
        <v>26.8</v>
      </c>
      <c r="D37" s="119">
        <v>30.51</v>
      </c>
      <c r="E37" s="172">
        <v>15.45</v>
      </c>
      <c r="F37" s="172">
        <v>13.3</v>
      </c>
      <c r="G37" s="172">
        <v>-23.7</v>
      </c>
      <c r="H37" s="218">
        <v>7.55</v>
      </c>
      <c r="I37" s="218">
        <v>1.36</v>
      </c>
      <c r="J37" s="219">
        <v>-15.5</v>
      </c>
      <c r="L37" s="110" t="s">
        <v>120</v>
      </c>
      <c r="M37" s="158">
        <v>115.58</v>
      </c>
      <c r="N37" s="159">
        <v>153.31</v>
      </c>
      <c r="O37" s="173">
        <v>118.54766021</v>
      </c>
      <c r="P37" s="173">
        <v>97.060994170528431</v>
      </c>
      <c r="Q37" s="173">
        <v>187.08</v>
      </c>
      <c r="R37" s="195">
        <v>93.66</v>
      </c>
      <c r="S37" s="220">
        <v>69.25</v>
      </c>
      <c r="T37" s="197">
        <v>234.58</v>
      </c>
      <c r="U37" s="216">
        <v>155.71</v>
      </c>
    </row>
    <row r="38" spans="1:22">
      <c r="A38" s="115" t="s">
        <v>1</v>
      </c>
      <c r="B38" s="101"/>
      <c r="C38" s="104"/>
      <c r="D38" s="120"/>
      <c r="E38" s="156">
        <f>(E37/D37-1)</f>
        <v>-0.49360865290068834</v>
      </c>
      <c r="F38" s="156">
        <f>(F37/E37-1)</f>
        <v>-0.13915857605177984</v>
      </c>
      <c r="G38" s="156">
        <f>(G37/F37-1)</f>
        <v>-2.7819548872180451</v>
      </c>
      <c r="H38" s="156">
        <f>-(H37/G37-1)</f>
        <v>1.3185654008438819</v>
      </c>
      <c r="I38" s="156">
        <f>-(I37/H37-1)</f>
        <v>0.8198675496688741</v>
      </c>
      <c r="J38" s="183">
        <v>0</v>
      </c>
      <c r="L38" s="110" t="s">
        <v>121</v>
      </c>
      <c r="M38" s="158">
        <v>3.66</v>
      </c>
      <c r="N38" s="159">
        <v>221.37</v>
      </c>
      <c r="O38" s="173">
        <v>0.47922799999999999</v>
      </c>
      <c r="P38" s="173">
        <v>0.32117000000000001</v>
      </c>
      <c r="Q38" s="173">
        <v>0.34</v>
      </c>
      <c r="R38" s="195"/>
      <c r="S38" s="220"/>
      <c r="T38" s="197"/>
      <c r="U38" s="216"/>
    </row>
    <row r="39" spans="1:22">
      <c r="A39" s="114" t="s">
        <v>82</v>
      </c>
      <c r="B39" s="101"/>
      <c r="C39" s="104"/>
      <c r="D39" s="120"/>
      <c r="E39" s="134">
        <f>(E37/B37)^(1/3)-1</f>
        <v>-8.9075189872834137E-2</v>
      </c>
      <c r="F39" s="134">
        <f t="shared" ref="F39:H39" si="35">(F37/C37)^(1/3)-1</f>
        <v>-0.20827878528954058</v>
      </c>
      <c r="G39" s="134">
        <f t="shared" si="35"/>
        <v>-1.9192536849174626</v>
      </c>
      <c r="H39" s="134">
        <f t="shared" si="35"/>
        <v>-0.21233873373938639</v>
      </c>
      <c r="I39" s="134">
        <f>(I37/F37)^(1/3)-1</f>
        <v>-0.53237711623811368</v>
      </c>
      <c r="J39" s="183">
        <v>0</v>
      </c>
      <c r="L39" s="110" t="s">
        <v>141</v>
      </c>
      <c r="M39" s="158">
        <v>0.16</v>
      </c>
      <c r="N39" s="159">
        <v>0.92</v>
      </c>
      <c r="O39" s="173">
        <v>978.86</v>
      </c>
      <c r="P39" s="173">
        <v>1609.3416667520401</v>
      </c>
      <c r="Q39" s="173">
        <v>1105.5999999999999</v>
      </c>
      <c r="R39" s="195">
        <v>226.21</v>
      </c>
      <c r="S39" s="220">
        <v>121.2</v>
      </c>
      <c r="T39" s="197">
        <v>440.82</v>
      </c>
      <c r="U39" s="216">
        <v>395.75</v>
      </c>
    </row>
    <row r="40" spans="1:22" ht="15.75" thickBot="1">
      <c r="A40" s="167"/>
      <c r="B40" s="168"/>
      <c r="C40" s="169"/>
      <c r="D40" s="169"/>
      <c r="E40" s="169"/>
      <c r="F40" s="169"/>
      <c r="G40" s="169"/>
      <c r="H40" s="168"/>
      <c r="I40" s="168"/>
      <c r="J40" s="170"/>
      <c r="L40" s="110" t="s">
        <v>142</v>
      </c>
      <c r="M40" s="158">
        <v>0</v>
      </c>
      <c r="N40" s="159">
        <v>0</v>
      </c>
      <c r="O40" s="173">
        <v>1261.8021193664999</v>
      </c>
      <c r="P40" s="173">
        <v>0</v>
      </c>
      <c r="Q40" s="173">
        <v>0</v>
      </c>
      <c r="R40" s="195"/>
      <c r="S40" s="220"/>
      <c r="T40" s="197"/>
      <c r="U40" s="216"/>
    </row>
    <row r="41" spans="1:22">
      <c r="A41" s="112"/>
      <c r="C41" s="102"/>
      <c r="D41" s="102"/>
      <c r="E41" s="102"/>
      <c r="F41" s="102"/>
      <c r="L41" s="110" t="s">
        <v>59</v>
      </c>
      <c r="M41" s="158">
        <v>134.88999999999999</v>
      </c>
      <c r="N41" s="159">
        <v>1084.26</v>
      </c>
      <c r="O41" s="173">
        <v>335.16</v>
      </c>
      <c r="P41" s="173">
        <v>322.95421170598382</v>
      </c>
      <c r="Q41" s="173">
        <v>386.43</v>
      </c>
      <c r="R41" s="195">
        <v>325.82</v>
      </c>
      <c r="S41" s="220">
        <v>903.26</v>
      </c>
      <c r="T41" s="197">
        <v>990.11</v>
      </c>
      <c r="U41" s="216">
        <v>1170.49</v>
      </c>
    </row>
    <row r="42" spans="1:22">
      <c r="A42" s="112"/>
      <c r="C42" s="102"/>
      <c r="D42" s="102"/>
      <c r="E42" s="102"/>
      <c r="F42" s="102"/>
      <c r="G42" s="102"/>
      <c r="L42" s="109" t="s">
        <v>38</v>
      </c>
      <c r="M42" s="97">
        <f t="shared" ref="M42:N42" si="36">SUM(M43:M52)</f>
        <v>1305.23</v>
      </c>
      <c r="N42" s="126">
        <f t="shared" si="36"/>
        <v>3257.11</v>
      </c>
      <c r="O42" s="97">
        <f t="shared" ref="O42:Q42" si="37">SUM(O43:O52)</f>
        <v>5101.6904681928008</v>
      </c>
      <c r="P42" s="97">
        <f t="shared" si="37"/>
        <v>5166.2552848208406</v>
      </c>
      <c r="Q42" s="97">
        <f t="shared" si="37"/>
        <v>3605.9599999999996</v>
      </c>
      <c r="R42" s="198">
        <f>SUM(R43:R52)</f>
        <v>3881.56</v>
      </c>
      <c r="S42" s="198">
        <f>SUM(S43:S52)</f>
        <v>5392.8</v>
      </c>
      <c r="T42" s="199">
        <f>SUM(T43:T52)</f>
        <v>5608.7699999999986</v>
      </c>
      <c r="U42" s="202">
        <f>SUM(U43:U52)</f>
        <v>6866.5599999999995</v>
      </c>
      <c r="V42" s="155"/>
    </row>
    <row r="43" spans="1:22" ht="15.75" thickBot="1">
      <c r="A43" s="113" t="s">
        <v>12</v>
      </c>
      <c r="B43" s="106"/>
      <c r="C43" s="123"/>
      <c r="D43" s="96"/>
      <c r="E43" s="96"/>
      <c r="F43" s="96"/>
      <c r="G43" s="96"/>
      <c r="H43" s="96"/>
      <c r="I43" s="96"/>
      <c r="J43" s="96"/>
      <c r="L43" s="110" t="s">
        <v>96</v>
      </c>
      <c r="M43" s="85"/>
      <c r="N43" s="127"/>
      <c r="O43" s="185"/>
      <c r="P43" s="185"/>
      <c r="Q43" s="185"/>
      <c r="R43" s="196"/>
      <c r="S43" s="196"/>
      <c r="T43" s="190"/>
      <c r="U43" s="186"/>
    </row>
    <row r="44" spans="1:22">
      <c r="A44" s="177" t="s">
        <v>0</v>
      </c>
      <c r="B44" s="229"/>
      <c r="C44" s="230" t="s">
        <v>29</v>
      </c>
      <c r="D44" s="230" t="s">
        <v>78</v>
      </c>
      <c r="E44" s="231" t="s">
        <v>134</v>
      </c>
      <c r="F44" s="231" t="s">
        <v>153</v>
      </c>
      <c r="G44" s="231" t="s">
        <v>154</v>
      </c>
      <c r="H44" s="232" t="s">
        <v>157</v>
      </c>
      <c r="I44" s="232" t="s">
        <v>162</v>
      </c>
      <c r="J44" s="180" t="s">
        <v>164</v>
      </c>
      <c r="L44" s="110" t="s">
        <v>97</v>
      </c>
      <c r="M44" s="158">
        <v>592.32000000000005</v>
      </c>
      <c r="N44" s="159">
        <v>1228.1500000000001</v>
      </c>
      <c r="O44" s="173">
        <v>1446.54</v>
      </c>
      <c r="P44" s="173">
        <v>1780.06</v>
      </c>
      <c r="Q44" s="173">
        <v>1086.0899999999999</v>
      </c>
      <c r="R44" s="195">
        <v>1140.83</v>
      </c>
      <c r="S44" s="220">
        <v>2109.71</v>
      </c>
      <c r="T44" s="197">
        <v>2221.89</v>
      </c>
      <c r="U44" s="216">
        <v>3026.47</v>
      </c>
    </row>
    <row r="45" spans="1:22">
      <c r="A45" s="107" t="s">
        <v>13</v>
      </c>
      <c r="B45" s="90"/>
      <c r="C45" s="119">
        <v>392.02</v>
      </c>
      <c r="D45" s="119">
        <v>217.3</v>
      </c>
      <c r="E45" s="90">
        <f>D51</f>
        <v>173.27</v>
      </c>
      <c r="F45" s="90">
        <v>136.02000000000001</v>
      </c>
      <c r="G45" s="90">
        <f>F51</f>
        <v>411.48</v>
      </c>
      <c r="H45" s="90">
        <f>G51</f>
        <v>480.45</v>
      </c>
      <c r="I45" s="90">
        <f>H51</f>
        <v>211.79000000000008</v>
      </c>
      <c r="J45" s="233">
        <f>I51</f>
        <v>461.12000000000012</v>
      </c>
      <c r="L45" s="110" t="s">
        <v>98</v>
      </c>
      <c r="M45" s="158">
        <v>110.07</v>
      </c>
      <c r="N45" s="159">
        <v>510.54</v>
      </c>
      <c r="O45" s="173">
        <v>1153.22</v>
      </c>
      <c r="P45" s="173">
        <v>1666.25</v>
      </c>
      <c r="Q45" s="173">
        <v>733.2</v>
      </c>
      <c r="R45" s="195">
        <v>598.55999999999995</v>
      </c>
      <c r="S45" s="220">
        <v>517.04</v>
      </c>
      <c r="T45" s="197">
        <v>371.6</v>
      </c>
      <c r="U45" s="216">
        <v>305.45999999999998</v>
      </c>
    </row>
    <row r="46" spans="1:22">
      <c r="A46" s="107" t="s">
        <v>14</v>
      </c>
      <c r="B46" s="160"/>
      <c r="C46" s="161">
        <v>-527.02</v>
      </c>
      <c r="D46" s="161">
        <v>505.01</v>
      </c>
      <c r="E46" s="173">
        <v>1092.6199999999999</v>
      </c>
      <c r="F46" s="173">
        <v>806.03</v>
      </c>
      <c r="G46" s="173">
        <v>1034.8699999999999</v>
      </c>
      <c r="H46" s="185">
        <v>709.32</v>
      </c>
      <c r="I46" s="185">
        <v>2135.67</v>
      </c>
      <c r="J46" s="216">
        <v>52.17</v>
      </c>
      <c r="L46" s="110" t="s">
        <v>130</v>
      </c>
      <c r="M46" s="160"/>
      <c r="N46" s="159"/>
      <c r="O46" s="173">
        <v>0</v>
      </c>
      <c r="P46" s="173">
        <v>103.43158000357279</v>
      </c>
      <c r="Q46" s="173">
        <v>139.63999999999999</v>
      </c>
      <c r="R46" s="195">
        <v>120.03</v>
      </c>
      <c r="S46" s="220">
        <v>91.79</v>
      </c>
      <c r="T46" s="197">
        <v>117.96</v>
      </c>
      <c r="U46" s="216">
        <v>114.1</v>
      </c>
    </row>
    <row r="47" spans="1:22">
      <c r="A47" s="110" t="s">
        <v>69</v>
      </c>
      <c r="B47" s="160"/>
      <c r="C47" s="161">
        <v>-1137.01</v>
      </c>
      <c r="D47" s="161">
        <v>-217.27</v>
      </c>
      <c r="E47" s="173">
        <v>-115.62</v>
      </c>
      <c r="F47" s="173">
        <v>119.45</v>
      </c>
      <c r="G47" s="173">
        <v>-149.32</v>
      </c>
      <c r="H47" s="185">
        <v>-112.49</v>
      </c>
      <c r="I47" s="185">
        <v>-440.16</v>
      </c>
      <c r="J47" s="216">
        <v>-59.07</v>
      </c>
      <c r="L47" s="110" t="s">
        <v>68</v>
      </c>
      <c r="M47" s="158">
        <v>549.04</v>
      </c>
      <c r="N47" s="159">
        <v>1334.13</v>
      </c>
      <c r="O47" s="173">
        <v>1675.91</v>
      </c>
      <c r="P47" s="173">
        <v>1471.44</v>
      </c>
      <c r="Q47" s="173">
        <v>1322.96</v>
      </c>
      <c r="R47" s="195">
        <v>1701.28</v>
      </c>
      <c r="S47" s="220">
        <v>2254.9899999999998</v>
      </c>
      <c r="T47" s="197">
        <v>2516.77</v>
      </c>
      <c r="U47" s="216">
        <v>3033.45</v>
      </c>
    </row>
    <row r="48" spans="1:22">
      <c r="A48" s="110" t="s">
        <v>15</v>
      </c>
      <c r="B48" s="160"/>
      <c r="C48" s="161">
        <v>967.63</v>
      </c>
      <c r="D48" s="161">
        <v>-325.75</v>
      </c>
      <c r="E48" s="173">
        <v>-1021.28</v>
      </c>
      <c r="F48" s="173">
        <v>-659.67</v>
      </c>
      <c r="G48" s="173">
        <v>-811.79</v>
      </c>
      <c r="H48" s="185">
        <v>-880.54</v>
      </c>
      <c r="I48" s="185">
        <v>-1447.53</v>
      </c>
      <c r="J48" s="216">
        <v>-136.4</v>
      </c>
      <c r="L48" s="110" t="s">
        <v>145</v>
      </c>
      <c r="M48" s="160"/>
      <c r="N48" s="159"/>
      <c r="O48" s="173">
        <v>3.6812170000000002</v>
      </c>
      <c r="P48" s="173">
        <v>3.6782245801895499</v>
      </c>
      <c r="Q48" s="173">
        <v>7.87</v>
      </c>
      <c r="R48" s="195">
        <v>7.87</v>
      </c>
      <c r="S48" s="220">
        <v>8.16</v>
      </c>
      <c r="T48" s="197">
        <v>8.0299999999999994</v>
      </c>
      <c r="U48" s="216">
        <v>6.68</v>
      </c>
    </row>
    <row r="49" spans="1:21">
      <c r="A49" s="107" t="s">
        <v>16</v>
      </c>
      <c r="B49" s="93">
        <f t="shared" ref="B49:C49" si="38">SUM(B46:B48)</f>
        <v>0</v>
      </c>
      <c r="C49" s="94">
        <f t="shared" si="38"/>
        <v>-696.4</v>
      </c>
      <c r="D49" s="94">
        <f t="shared" ref="D49:F49" si="39">SUM(D46:D48)</f>
        <v>-38.009999999999991</v>
      </c>
      <c r="E49" s="93">
        <f t="shared" si="39"/>
        <v>-44.280000000000086</v>
      </c>
      <c r="F49" s="93">
        <f t="shared" si="39"/>
        <v>265.81000000000006</v>
      </c>
      <c r="G49" s="93">
        <f>SUM(G46:G48)</f>
        <v>73.759999999999991</v>
      </c>
      <c r="H49" s="93">
        <f>SUM(H46:H48)</f>
        <v>-283.70999999999992</v>
      </c>
      <c r="I49" s="93">
        <f>SUM(I46:I48)</f>
        <v>247.98000000000002</v>
      </c>
      <c r="J49" s="234">
        <f>SUM(J46:J48)</f>
        <v>-143.30000000000001</v>
      </c>
      <c r="L49" s="110" t="s">
        <v>146</v>
      </c>
      <c r="M49" s="158">
        <v>2.5299999999999998</v>
      </c>
      <c r="N49" s="159">
        <v>2.83</v>
      </c>
      <c r="O49" s="173">
        <v>5.9513239999999996</v>
      </c>
      <c r="P49" s="173">
        <v>6.1545310000000004</v>
      </c>
      <c r="Q49" s="173">
        <v>6.27</v>
      </c>
      <c r="R49" s="195">
        <v>6.51</v>
      </c>
      <c r="S49" s="220">
        <v>7.39</v>
      </c>
      <c r="T49" s="197">
        <v>7.98</v>
      </c>
      <c r="U49" s="216">
        <v>7.98</v>
      </c>
    </row>
    <row r="50" spans="1:21">
      <c r="A50" s="110" t="s">
        <v>163</v>
      </c>
      <c r="B50" s="162"/>
      <c r="C50" s="124">
        <f>-36.08+477.05</f>
        <v>440.97</v>
      </c>
      <c r="D50" s="124">
        <v>-6.02</v>
      </c>
      <c r="E50" s="162">
        <v>7.04</v>
      </c>
      <c r="F50" s="162">
        <v>9.65</v>
      </c>
      <c r="G50" s="162">
        <v>-4.79</v>
      </c>
      <c r="H50" s="162">
        <v>15.05</v>
      </c>
      <c r="I50" s="162">
        <v>1.35</v>
      </c>
      <c r="J50" s="235">
        <v>7.79</v>
      </c>
      <c r="L50" s="110" t="s">
        <v>108</v>
      </c>
      <c r="M50" s="158">
        <v>28.01</v>
      </c>
      <c r="N50" s="159">
        <v>20.260000000000002</v>
      </c>
      <c r="O50" s="173">
        <v>16.350000000000001</v>
      </c>
      <c r="P50" s="173">
        <v>57.772974641800005</v>
      </c>
      <c r="Q50" s="173">
        <v>227.7</v>
      </c>
      <c r="R50" s="195">
        <v>274.58999999999997</v>
      </c>
      <c r="S50" s="220">
        <v>287.08</v>
      </c>
      <c r="T50" s="197">
        <v>313.43</v>
      </c>
      <c r="U50" s="216">
        <v>279.47000000000003</v>
      </c>
    </row>
    <row r="51" spans="1:21" ht="15.75" thickBot="1">
      <c r="A51" s="236" t="s">
        <v>62</v>
      </c>
      <c r="B51" s="237"/>
      <c r="C51" s="238">
        <f t="shared" ref="C51" si="40">+C45+C49+C50</f>
        <v>136.59000000000003</v>
      </c>
      <c r="D51" s="238">
        <f t="shared" ref="D51:F51" si="41">+D45+D49+D50</f>
        <v>173.27</v>
      </c>
      <c r="E51" s="237">
        <f t="shared" si="41"/>
        <v>136.02999999999992</v>
      </c>
      <c r="F51" s="237">
        <f t="shared" si="41"/>
        <v>411.48</v>
      </c>
      <c r="G51" s="237">
        <f>+G45+G49+G50</f>
        <v>480.45</v>
      </c>
      <c r="H51" s="237">
        <f>+H45+H49+H50</f>
        <v>211.79000000000008</v>
      </c>
      <c r="I51" s="237">
        <f>+I45+I49+I50</f>
        <v>461.12000000000012</v>
      </c>
      <c r="J51" s="239">
        <f>+J45+J49+J50</f>
        <v>325.61000000000013</v>
      </c>
      <c r="L51" s="110" t="s">
        <v>147</v>
      </c>
      <c r="M51" s="160"/>
      <c r="N51" s="159"/>
      <c r="O51" s="173">
        <v>141.56998447999999</v>
      </c>
      <c r="P51" s="173">
        <v>77.467974595277951</v>
      </c>
      <c r="Q51" s="173">
        <v>82.23</v>
      </c>
      <c r="R51" s="195">
        <v>31.89</v>
      </c>
      <c r="S51" s="220">
        <v>116.64</v>
      </c>
      <c r="T51" s="197">
        <v>51.11</v>
      </c>
      <c r="U51" s="216">
        <v>92.95</v>
      </c>
    </row>
    <row r="52" spans="1:21" ht="15.75" thickBot="1">
      <c r="A52" s="112"/>
      <c r="C52" s="102"/>
      <c r="D52" s="96"/>
      <c r="E52" s="96"/>
      <c r="F52" s="96"/>
      <c r="G52" s="96"/>
      <c r="H52" s="102"/>
      <c r="I52" s="102"/>
      <c r="J52" s="102"/>
      <c r="L52" s="110" t="s">
        <v>148</v>
      </c>
      <c r="M52" s="158">
        <v>23.26</v>
      </c>
      <c r="N52" s="159">
        <v>161.19999999999999</v>
      </c>
      <c r="O52" s="173">
        <v>658.46794271279998</v>
      </c>
      <c r="P52" s="173">
        <v>0</v>
      </c>
      <c r="Q52" s="173"/>
      <c r="R52" s="195"/>
      <c r="S52" s="195"/>
      <c r="T52" s="190"/>
      <c r="U52" s="186"/>
    </row>
    <row r="53" spans="1:21">
      <c r="A53" s="177" t="s">
        <v>17</v>
      </c>
      <c r="B53" s="240"/>
      <c r="C53" s="241" t="s">
        <v>29</v>
      </c>
      <c r="D53" s="230" t="s">
        <v>78</v>
      </c>
      <c r="E53" s="231" t="s">
        <v>134</v>
      </c>
      <c r="F53" s="231" t="s">
        <v>153</v>
      </c>
      <c r="G53" s="231" t="s">
        <v>154</v>
      </c>
      <c r="H53" s="227" t="s">
        <v>157</v>
      </c>
      <c r="I53" s="227" t="s">
        <v>162</v>
      </c>
      <c r="J53" s="180" t="s">
        <v>164</v>
      </c>
      <c r="L53" s="109" t="s">
        <v>161</v>
      </c>
      <c r="M53" s="97">
        <f>(M31-M42-M10)</f>
        <v>708.98999999999921</v>
      </c>
      <c r="N53" s="126">
        <f t="shared" ref="N53" si="42">N31-N42</f>
        <v>2055.2400000000002</v>
      </c>
      <c r="O53" s="97">
        <f t="shared" ref="O53:S53" si="43">O31-O42</f>
        <v>2878.0440396872982</v>
      </c>
      <c r="P53" s="97">
        <f t="shared" si="43"/>
        <v>1846.4549961941793</v>
      </c>
      <c r="Q53" s="97">
        <f t="shared" si="43"/>
        <v>2588.0600000000009</v>
      </c>
      <c r="R53" s="198">
        <f t="shared" si="43"/>
        <v>1991.8399999999997</v>
      </c>
      <c r="S53" s="198">
        <f t="shared" si="43"/>
        <v>1974.21</v>
      </c>
      <c r="T53" s="199">
        <f>T31-T42</f>
        <v>1991.4900000000007</v>
      </c>
      <c r="U53" s="202">
        <f>U31-U42</f>
        <v>1585.6200000000008</v>
      </c>
    </row>
    <row r="54" spans="1:21">
      <c r="A54" s="107" t="s">
        <v>23</v>
      </c>
      <c r="B54" s="87"/>
      <c r="C54" s="89">
        <f t="shared" ref="C54" si="44">C46</f>
        <v>-527.02</v>
      </c>
      <c r="D54" s="94">
        <f t="shared" ref="D54:F54" si="45">D46</f>
        <v>505.01</v>
      </c>
      <c r="E54" s="93">
        <f t="shared" si="45"/>
        <v>1092.6199999999999</v>
      </c>
      <c r="F54" s="93">
        <f t="shared" si="45"/>
        <v>806.03</v>
      </c>
      <c r="G54" s="93">
        <f>G46</f>
        <v>1034.8699999999999</v>
      </c>
      <c r="H54" s="93">
        <f>H46</f>
        <v>709.32</v>
      </c>
      <c r="I54" s="93">
        <f>I46</f>
        <v>2135.67</v>
      </c>
      <c r="J54" s="234">
        <f>J46</f>
        <v>52.17</v>
      </c>
      <c r="L54" s="110" t="s">
        <v>99</v>
      </c>
      <c r="M54" s="158">
        <v>20.3</v>
      </c>
      <c r="N54" s="159">
        <v>154.36000000000001</v>
      </c>
      <c r="O54" s="173">
        <v>103.8149016465</v>
      </c>
      <c r="P54" s="173">
        <v>53.520115328400003</v>
      </c>
      <c r="Q54" s="173">
        <v>32.28</v>
      </c>
      <c r="R54" s="195">
        <v>70.349999999999994</v>
      </c>
      <c r="S54" s="220">
        <v>23.67</v>
      </c>
      <c r="T54" s="197">
        <v>14.51</v>
      </c>
      <c r="U54" s="216">
        <v>6.58</v>
      </c>
    </row>
    <row r="55" spans="1:21">
      <c r="A55" s="110" t="s">
        <v>24</v>
      </c>
      <c r="B55" s="85"/>
      <c r="C55" s="95"/>
      <c r="D55" s="124">
        <f>-341.5+292.63</f>
        <v>-48.870000000000005</v>
      </c>
      <c r="E55" s="162">
        <f>-259.27+93.93</f>
        <v>-165.33999999999997</v>
      </c>
      <c r="F55" s="162">
        <f>-246.18+527.54</f>
        <v>281.35999999999996</v>
      </c>
      <c r="G55" s="162">
        <f>-187.53+3.56</f>
        <v>-183.97</v>
      </c>
      <c r="H55" s="162">
        <f>-217.56+0.63</f>
        <v>-216.93</v>
      </c>
      <c r="I55" s="162">
        <f>-330.42+1.65</f>
        <v>-328.77000000000004</v>
      </c>
      <c r="J55" s="235">
        <v>-91.53</v>
      </c>
      <c r="L55" s="110" t="s">
        <v>100</v>
      </c>
      <c r="M55" s="158">
        <v>0</v>
      </c>
      <c r="N55" s="159">
        <v>127.88</v>
      </c>
      <c r="O55" s="173">
        <v>113.92453382889599</v>
      </c>
      <c r="P55" s="173">
        <v>92.22462262339198</v>
      </c>
      <c r="Q55" s="173">
        <v>70.52</v>
      </c>
      <c r="R55" s="195">
        <v>48.82</v>
      </c>
      <c r="S55" s="220">
        <v>27.12</v>
      </c>
      <c r="T55" s="197">
        <v>5.42</v>
      </c>
      <c r="U55" s="216">
        <v>0</v>
      </c>
    </row>
    <row r="56" spans="1:21" ht="15.75" thickBot="1">
      <c r="A56" s="150" t="s">
        <v>25</v>
      </c>
      <c r="B56" s="242"/>
      <c r="C56" s="238">
        <f t="shared" ref="C56" si="46">+C54+C55</f>
        <v>-527.02</v>
      </c>
      <c r="D56" s="238">
        <f t="shared" ref="D56:F56" si="47">+D54+D55</f>
        <v>456.14</v>
      </c>
      <c r="E56" s="237">
        <f t="shared" si="47"/>
        <v>927.28</v>
      </c>
      <c r="F56" s="237">
        <f t="shared" si="47"/>
        <v>1087.3899999999999</v>
      </c>
      <c r="G56" s="237">
        <f>+G54+G55</f>
        <v>850.89999999999986</v>
      </c>
      <c r="H56" s="237">
        <f>+H54+H55</f>
        <v>492.39000000000004</v>
      </c>
      <c r="I56" s="237">
        <f>+I54+I55</f>
        <v>1806.9</v>
      </c>
      <c r="J56" s="239">
        <f>+J54+J55</f>
        <v>-39.36</v>
      </c>
      <c r="L56" s="110" t="s">
        <v>130</v>
      </c>
      <c r="M56" s="160"/>
      <c r="N56" s="159"/>
      <c r="O56" s="173">
        <v>0</v>
      </c>
      <c r="P56" s="173">
        <v>374.3548753881272</v>
      </c>
      <c r="Q56" s="173">
        <v>419.24</v>
      </c>
      <c r="R56" s="195">
        <v>355.54</v>
      </c>
      <c r="S56" s="220">
        <v>361.58</v>
      </c>
      <c r="T56" s="197">
        <v>407.81</v>
      </c>
      <c r="U56" s="216">
        <v>371.17</v>
      </c>
    </row>
    <row r="57" spans="1:21" ht="15.75" thickBot="1">
      <c r="A57" s="112" t="s">
        <v>26</v>
      </c>
      <c r="C57" s="102"/>
      <c r="D57" s="96"/>
      <c r="E57" s="96"/>
      <c r="F57" s="96"/>
      <c r="G57" s="96"/>
      <c r="H57" s="102"/>
      <c r="I57" s="102"/>
      <c r="J57" s="255"/>
      <c r="L57" s="139" t="s">
        <v>144</v>
      </c>
      <c r="M57" s="158"/>
      <c r="N57" s="159"/>
      <c r="O57" s="173">
        <v>37.023870020000004</v>
      </c>
      <c r="P57" s="173">
        <v>46.059881359999999</v>
      </c>
      <c r="Q57" s="173">
        <v>57.22</v>
      </c>
      <c r="R57" s="195">
        <v>58.28</v>
      </c>
      <c r="S57" s="220">
        <v>61.81</v>
      </c>
      <c r="T57" s="197">
        <v>53.12</v>
      </c>
      <c r="U57" s="216">
        <v>58.41</v>
      </c>
    </row>
    <row r="58" spans="1:21" ht="15.75" thickBot="1">
      <c r="A58" s="177"/>
      <c r="B58" s="240"/>
      <c r="C58" s="241" t="s">
        <v>29</v>
      </c>
      <c r="D58" s="230" t="s">
        <v>78</v>
      </c>
      <c r="E58" s="231" t="s">
        <v>134</v>
      </c>
      <c r="F58" s="231" t="s">
        <v>153</v>
      </c>
      <c r="G58" s="231" t="s">
        <v>154</v>
      </c>
      <c r="H58" s="227" t="s">
        <v>157</v>
      </c>
      <c r="I58" s="227" t="s">
        <v>162</v>
      </c>
      <c r="J58" s="180" t="s">
        <v>166</v>
      </c>
      <c r="L58" s="110" t="s">
        <v>133</v>
      </c>
      <c r="M58" s="158">
        <v>0</v>
      </c>
      <c r="N58" s="159">
        <v>322.12</v>
      </c>
      <c r="O58" s="173">
        <v>0.15989512</v>
      </c>
      <c r="P58" s="173">
        <v>1.99590679</v>
      </c>
      <c r="Q58" s="173">
        <v>0</v>
      </c>
      <c r="R58" s="195">
        <v>77.3</v>
      </c>
      <c r="S58" s="220">
        <v>167.39</v>
      </c>
      <c r="T58" s="197">
        <v>672.17</v>
      </c>
      <c r="U58" s="216">
        <v>208.11</v>
      </c>
    </row>
    <row r="59" spans="1:21">
      <c r="A59" s="243" t="s">
        <v>63</v>
      </c>
      <c r="B59" s="244"/>
      <c r="C59" s="245">
        <v>12752696</v>
      </c>
      <c r="D59" s="245">
        <v>12881058</v>
      </c>
      <c r="E59" s="246">
        <v>12884781</v>
      </c>
      <c r="F59" s="246">
        <v>12884781</v>
      </c>
      <c r="G59" s="246">
        <v>12884781</v>
      </c>
      <c r="H59" s="246">
        <v>12884781</v>
      </c>
      <c r="I59" s="246">
        <v>12888434</v>
      </c>
      <c r="J59" s="247">
        <v>12896807</v>
      </c>
      <c r="L59" s="110" t="s">
        <v>143</v>
      </c>
      <c r="M59" s="158"/>
      <c r="N59" s="159"/>
      <c r="O59" s="173">
        <v>20.14</v>
      </c>
      <c r="P59" s="173">
        <v>16.454709419810449</v>
      </c>
      <c r="Q59" s="173">
        <v>34.44</v>
      </c>
      <c r="R59" s="195">
        <v>26.57</v>
      </c>
      <c r="S59" s="220">
        <v>24.43</v>
      </c>
      <c r="T59" s="197">
        <v>16.399999999999999</v>
      </c>
      <c r="U59" s="216">
        <v>13.73</v>
      </c>
    </row>
    <row r="60" spans="1:21">
      <c r="A60" s="110" t="s">
        <v>64</v>
      </c>
      <c r="B60" s="85"/>
      <c r="C60" s="124">
        <f>C59*N66/1000000</f>
        <v>7448.2120987999988</v>
      </c>
      <c r="D60" s="124">
        <f>D59*O66/1000000</f>
        <v>5586.5148545999991</v>
      </c>
      <c r="E60" s="162">
        <f>E59*P66/1000000</f>
        <v>3092.34744</v>
      </c>
      <c r="F60" s="162">
        <f>(F59*Q66)/1000000</f>
        <v>4885.9089551999996</v>
      </c>
      <c r="G60" s="162">
        <f>(G59*R66)/1000000</f>
        <v>7632.9442644000001</v>
      </c>
      <c r="H60" s="162">
        <f>(H59*S66)/1000000</f>
        <v>9108.8959279500014</v>
      </c>
      <c r="I60" s="162">
        <f>(I59*T66)/1000000</f>
        <v>21646.769324700002</v>
      </c>
      <c r="J60" s="273">
        <f>(J59*U66)/1000000</f>
        <v>26827.293081050004</v>
      </c>
      <c r="L60" s="107"/>
      <c r="M60" s="87"/>
      <c r="N60" s="128"/>
      <c r="O60" s="200"/>
      <c r="P60" s="200"/>
      <c r="Q60" s="200"/>
      <c r="R60" s="201"/>
      <c r="S60" s="201"/>
      <c r="T60" s="190"/>
      <c r="U60" s="186"/>
    </row>
    <row r="61" spans="1:21">
      <c r="A61" s="110" t="s">
        <v>67</v>
      </c>
      <c r="B61" s="85"/>
      <c r="C61" s="124">
        <f t="shared" ref="C61" si="48">N11</f>
        <v>2476.58</v>
      </c>
      <c r="D61" s="124">
        <f t="shared" ref="D61" si="49">O11</f>
        <v>3146.4834603416998</v>
      </c>
      <c r="E61" s="162">
        <f t="shared" ref="E61" si="50">P11</f>
        <v>2721.1641426173001</v>
      </c>
      <c r="F61" s="162">
        <f t="shared" ref="F61" si="51">Q11</f>
        <v>3183.79</v>
      </c>
      <c r="G61" s="162">
        <f t="shared" ref="G61" si="52">R11</f>
        <v>2725.99</v>
      </c>
      <c r="H61" s="162">
        <f t="shared" ref="H61" si="53">S11</f>
        <v>2627.61</v>
      </c>
      <c r="I61" s="162">
        <f>T11</f>
        <v>1892.74</v>
      </c>
      <c r="J61" s="253" t="s">
        <v>119</v>
      </c>
      <c r="L61" s="109" t="s">
        <v>74</v>
      </c>
      <c r="M61" s="97">
        <f t="shared" ref="M61:N61" si="54">SUM(M15:M30)+M31</f>
        <v>4018.5399999999991</v>
      </c>
      <c r="N61" s="126">
        <f t="shared" si="54"/>
        <v>8653.8700000000008</v>
      </c>
      <c r="O61" s="97">
        <f t="shared" ref="O61:S61" si="55">SUM(O15:O30)+O31</f>
        <v>10960.692104208349</v>
      </c>
      <c r="P61" s="97">
        <f t="shared" si="55"/>
        <v>10771.685782822369</v>
      </c>
      <c r="Q61" s="97">
        <f t="shared" si="55"/>
        <v>9804.7000000000007</v>
      </c>
      <c r="R61" s="97">
        <f t="shared" si="55"/>
        <v>9229.59</v>
      </c>
      <c r="S61" s="97">
        <f t="shared" si="55"/>
        <v>10726.98</v>
      </c>
      <c r="T61" s="199">
        <f>SUM(T15:T30)+T31</f>
        <v>10638.039999999999</v>
      </c>
      <c r="U61" s="202">
        <f>SUM(U15:U30)+U31</f>
        <v>11511</v>
      </c>
    </row>
    <row r="62" spans="1:21" ht="15.75" thickBot="1">
      <c r="A62" s="110" t="s">
        <v>65</v>
      </c>
      <c r="B62" s="85"/>
      <c r="C62" s="124">
        <f t="shared" ref="C62" si="56">N37+N36</f>
        <v>289.89999999999998</v>
      </c>
      <c r="D62" s="124">
        <f t="shared" ref="D62" si="57">O37+O36</f>
        <v>291.56622400889995</v>
      </c>
      <c r="E62" s="162">
        <f t="shared" ref="E62" si="58">P37+P36</f>
        <v>233.08069785378112</v>
      </c>
      <c r="F62" s="162">
        <f t="shared" ref="F62" si="59">Q37+Q36</f>
        <v>598.56000000000006</v>
      </c>
      <c r="G62" s="162">
        <f t="shared" ref="G62" si="60">R37+R36</f>
        <v>574.1</v>
      </c>
      <c r="H62" s="162">
        <f>S37+S36</f>
        <v>421.96</v>
      </c>
      <c r="I62" s="162">
        <f>T37+T36</f>
        <v>715.79</v>
      </c>
      <c r="J62" s="253" t="s">
        <v>119</v>
      </c>
      <c r="L62" s="150" t="s">
        <v>75</v>
      </c>
      <c r="M62" s="151">
        <f t="shared" ref="M62:N62" si="61">M59+M42+M11+M7+M54+M60+M55+M58+M57+M8+M56</f>
        <v>4018.54</v>
      </c>
      <c r="N62" s="152">
        <f t="shared" si="61"/>
        <v>8653.8700000000008</v>
      </c>
      <c r="O62" s="151">
        <f t="shared" ref="O62:T62" si="62">O59+O42+O11+O7+O54+O60+O55+O58+O57+O8+O56</f>
        <v>10960.698309149897</v>
      </c>
      <c r="P62" s="151">
        <f t="shared" si="62"/>
        <v>10771.667948347873</v>
      </c>
      <c r="Q62" s="151">
        <f t="shared" si="62"/>
        <v>9804.6999999999989</v>
      </c>
      <c r="R62" s="203">
        <f t="shared" si="62"/>
        <v>9229.61</v>
      </c>
      <c r="S62" s="151">
        <f>S59+S42+S11+S7+S54+S60+S55+S58+S57+S8+S56</f>
        <v>10726.98</v>
      </c>
      <c r="T62" s="192">
        <f t="shared" si="62"/>
        <v>10638.039999999997</v>
      </c>
      <c r="U62" s="204">
        <f>U59+U42+U11+U7+U54+U60+U55+U58+U57+U8+U56</f>
        <v>11511</v>
      </c>
    </row>
    <row r="63" spans="1:21" ht="15.75" thickBot="1">
      <c r="A63" s="167" t="s">
        <v>66</v>
      </c>
      <c r="B63" s="168"/>
      <c r="C63" s="238">
        <f t="shared" ref="C63" si="63">C60+C61-C62</f>
        <v>9634.8920987999991</v>
      </c>
      <c r="D63" s="238">
        <f t="shared" ref="D63:F63" si="64">D60+D61-D62</f>
        <v>8441.432090932798</v>
      </c>
      <c r="E63" s="237">
        <f t="shared" si="64"/>
        <v>5580.4308847635193</v>
      </c>
      <c r="F63" s="237">
        <f t="shared" si="64"/>
        <v>7471.1389551999991</v>
      </c>
      <c r="G63" s="237">
        <f>G60+G61-G62</f>
        <v>9784.8342643999986</v>
      </c>
      <c r="H63" s="237">
        <f>H60+H61-H62</f>
        <v>11314.545927950003</v>
      </c>
      <c r="I63" s="237">
        <f>I60+I61-I62</f>
        <v>22823.719324700003</v>
      </c>
      <c r="J63" s="254" t="s">
        <v>119</v>
      </c>
      <c r="L63" s="248"/>
      <c r="T63" s="91"/>
    </row>
    <row r="64" spans="1:21" ht="15.75" thickBot="1">
      <c r="A64" s="112"/>
      <c r="D64" s="91"/>
      <c r="E64" s="91"/>
      <c r="F64" s="91"/>
      <c r="G64" s="91"/>
      <c r="H64" s="91"/>
      <c r="I64" s="91"/>
      <c r="J64" s="91"/>
      <c r="L64" s="257" t="s">
        <v>40</v>
      </c>
      <c r="M64" s="258"/>
      <c r="N64" s="258"/>
      <c r="O64" s="258"/>
      <c r="P64" s="258"/>
      <c r="Q64" s="258"/>
      <c r="R64" s="258"/>
      <c r="S64" s="258"/>
      <c r="T64" s="258"/>
      <c r="U64" s="259"/>
    </row>
    <row r="65" spans="1:23">
      <c r="A65" s="112"/>
      <c r="D65" s="91"/>
      <c r="E65" s="91"/>
      <c r="F65" s="91"/>
      <c r="G65" s="91"/>
      <c r="H65" s="91"/>
      <c r="I65" s="91"/>
      <c r="J65" s="91"/>
      <c r="L65" s="177" t="s">
        <v>41</v>
      </c>
      <c r="M65" s="178"/>
      <c r="N65" s="179" t="s">
        <v>29</v>
      </c>
      <c r="O65" s="179" t="s">
        <v>78</v>
      </c>
      <c r="P65" s="226" t="s">
        <v>134</v>
      </c>
      <c r="Q65" s="226" t="s">
        <v>153</v>
      </c>
      <c r="R65" s="226" t="s">
        <v>154</v>
      </c>
      <c r="S65" s="226" t="s">
        <v>157</v>
      </c>
      <c r="T65" s="227" t="s">
        <v>162</v>
      </c>
      <c r="U65" s="180" t="s">
        <v>166</v>
      </c>
    </row>
    <row r="66" spans="1:23">
      <c r="A66" s="112"/>
      <c r="D66" s="91"/>
      <c r="E66" s="91"/>
      <c r="F66" s="91"/>
      <c r="G66" s="91"/>
      <c r="H66" s="91"/>
      <c r="I66" s="91"/>
      <c r="J66" s="91"/>
      <c r="L66" s="140" t="s">
        <v>42</v>
      </c>
      <c r="M66" s="89"/>
      <c r="N66" s="129">
        <v>584.04999999999995</v>
      </c>
      <c r="O66" s="205">
        <v>433.7</v>
      </c>
      <c r="P66" s="205">
        <v>240</v>
      </c>
      <c r="Q66" s="205">
        <v>379.2</v>
      </c>
      <c r="R66" s="205">
        <v>592.4</v>
      </c>
      <c r="S66" s="205">
        <v>706.95</v>
      </c>
      <c r="T66" s="205">
        <v>1679.55</v>
      </c>
      <c r="U66" s="206">
        <v>2080.15</v>
      </c>
    </row>
    <row r="67" spans="1:23">
      <c r="A67" s="112"/>
      <c r="D67" s="91"/>
      <c r="E67" s="91"/>
      <c r="F67" s="91"/>
      <c r="G67" s="91"/>
      <c r="H67" s="91"/>
      <c r="I67" s="91"/>
      <c r="J67" s="91"/>
      <c r="L67" s="141" t="s">
        <v>43</v>
      </c>
      <c r="M67" s="103"/>
      <c r="N67" s="125">
        <f t="shared" ref="N67:S67" si="65">C37</f>
        <v>26.8</v>
      </c>
      <c r="O67" s="184">
        <f t="shared" si="65"/>
        <v>30.51</v>
      </c>
      <c r="P67" s="184">
        <f t="shared" si="65"/>
        <v>15.45</v>
      </c>
      <c r="Q67" s="184">
        <f t="shared" si="65"/>
        <v>13.3</v>
      </c>
      <c r="R67" s="184">
        <f t="shared" si="65"/>
        <v>-23.7</v>
      </c>
      <c r="S67" s="184">
        <f t="shared" si="65"/>
        <v>7.55</v>
      </c>
      <c r="T67" s="184">
        <v>1.36</v>
      </c>
      <c r="U67" s="225">
        <f>T67+J37-(5.49)</f>
        <v>-19.630000000000003</v>
      </c>
      <c r="W67" s="181"/>
    </row>
    <row r="68" spans="1:23">
      <c r="A68" s="112"/>
      <c r="D68" s="91"/>
      <c r="E68" s="91"/>
      <c r="F68" s="91"/>
      <c r="G68" s="91"/>
      <c r="H68" s="91"/>
      <c r="I68" s="91"/>
      <c r="J68" s="91"/>
      <c r="L68" s="142" t="s">
        <v>44</v>
      </c>
      <c r="M68" s="104"/>
      <c r="N68" s="130">
        <f t="shared" ref="N68:U68" si="66">(N7*1000000)/C59</f>
        <v>164.63969657866855</v>
      </c>
      <c r="O68" s="188">
        <f t="shared" si="66"/>
        <v>170.03503749459088</v>
      </c>
      <c r="P68" s="188">
        <f t="shared" si="66"/>
        <v>159.21018836098185</v>
      </c>
      <c r="Q68" s="188">
        <f t="shared" si="66"/>
        <v>173.13759543138525</v>
      </c>
      <c r="R68" s="188">
        <f t="shared" si="66"/>
        <v>158.30148762326652</v>
      </c>
      <c r="S68" s="188">
        <f t="shared" si="66"/>
        <v>163.53945014664976</v>
      </c>
      <c r="T68" s="207">
        <f t="shared" si="66"/>
        <v>157.71660079106584</v>
      </c>
      <c r="U68" s="208" t="s">
        <v>119</v>
      </c>
    </row>
    <row r="69" spans="1:23">
      <c r="A69" s="112"/>
      <c r="H69" s="91"/>
      <c r="L69" s="142" t="s">
        <v>45</v>
      </c>
      <c r="M69" s="104"/>
      <c r="N69" s="163">
        <v>2</v>
      </c>
      <c r="O69" s="188">
        <v>1</v>
      </c>
      <c r="P69" s="188">
        <v>4</v>
      </c>
      <c r="Q69" s="188">
        <v>2</v>
      </c>
      <c r="R69" s="188">
        <v>2.5</v>
      </c>
      <c r="S69" s="188">
        <v>4</v>
      </c>
      <c r="T69" s="207">
        <v>3</v>
      </c>
      <c r="U69" s="208" t="s">
        <v>119</v>
      </c>
    </row>
    <row r="70" spans="1:23">
      <c r="A70" s="112"/>
      <c r="L70" s="142" t="s">
        <v>46</v>
      </c>
      <c r="M70" s="104"/>
      <c r="N70" s="131" t="s">
        <v>119</v>
      </c>
      <c r="O70" s="188">
        <f>(O66/O67)</f>
        <v>14.215011471648639</v>
      </c>
      <c r="P70" s="188">
        <f>(P66/P67)</f>
        <v>15.533980582524272</v>
      </c>
      <c r="Q70" s="188">
        <f>(Q66/Q67)</f>
        <v>28.511278195488721</v>
      </c>
      <c r="R70" s="207" t="s">
        <v>119</v>
      </c>
      <c r="S70" s="207">
        <f>S66/S67</f>
        <v>93.635761589403984</v>
      </c>
      <c r="T70" s="207">
        <f>T66/T67</f>
        <v>1234.9632352941176</v>
      </c>
      <c r="U70" s="182" t="s">
        <v>119</v>
      </c>
    </row>
    <row r="71" spans="1:23">
      <c r="A71" s="112"/>
      <c r="L71" s="142" t="s">
        <v>47</v>
      </c>
      <c r="M71" s="104"/>
      <c r="N71" s="131">
        <f t="shared" ref="N71" si="67">(N66/N68)</f>
        <v>3.547443369594208</v>
      </c>
      <c r="O71" s="188">
        <f t="shared" ref="O71:S71" si="68">(O66/O68)</f>
        <v>2.5506507740429485</v>
      </c>
      <c r="P71" s="188">
        <f t="shared" si="68"/>
        <v>1.5074412163613617</v>
      </c>
      <c r="Q71" s="188">
        <f t="shared" si="68"/>
        <v>2.1901655677681955</v>
      </c>
      <c r="R71" s="188">
        <f t="shared" si="68"/>
        <v>3.7422263611939131</v>
      </c>
      <c r="S71" s="188">
        <f t="shared" si="68"/>
        <v>4.3228101804553027</v>
      </c>
      <c r="T71" s="207">
        <f>(T66/T68)</f>
        <v>10.649164333848242</v>
      </c>
      <c r="U71" s="182" t="s">
        <v>119</v>
      </c>
    </row>
    <row r="72" spans="1:23">
      <c r="A72" s="112"/>
      <c r="L72" s="142" t="s">
        <v>48</v>
      </c>
      <c r="M72" s="104"/>
      <c r="N72" s="130">
        <f t="shared" ref="N72:T72" si="69">C63/C14</f>
        <v>14.282166138657916</v>
      </c>
      <c r="O72" s="188">
        <f t="shared" si="69"/>
        <v>8.1298162346583442</v>
      </c>
      <c r="P72" s="188">
        <f t="shared" si="69"/>
        <v>5.6932715264171101</v>
      </c>
      <c r="Q72" s="188">
        <f t="shared" si="69"/>
        <v>8.3447509300689102</v>
      </c>
      <c r="R72" s="188">
        <f t="shared" si="69"/>
        <v>13.179470474522844</v>
      </c>
      <c r="S72" s="188">
        <f t="shared" si="69"/>
        <v>14.846731918736634</v>
      </c>
      <c r="T72" s="188">
        <f t="shared" si="69"/>
        <v>26.586198076484035</v>
      </c>
      <c r="U72" s="209" t="s">
        <v>119</v>
      </c>
    </row>
    <row r="73" spans="1:23">
      <c r="A73" s="112"/>
      <c r="L73" s="143" t="s">
        <v>49</v>
      </c>
      <c r="M73" s="144"/>
      <c r="N73" s="136">
        <f t="shared" ref="N73:T73" si="70">(C29/(N7+N8))</f>
        <v>0.2114628943527557</v>
      </c>
      <c r="O73" s="136">
        <f t="shared" si="70"/>
        <v>0.19320512829664838</v>
      </c>
      <c r="P73" s="136">
        <f t="shared" si="70"/>
        <v>7.30680089832033E-2</v>
      </c>
      <c r="Q73" s="136">
        <f t="shared" si="70"/>
        <v>5.0136387298282327E-2</v>
      </c>
      <c r="R73" s="136">
        <f t="shared" si="70"/>
        <v>-0.26931795285109805</v>
      </c>
      <c r="S73" s="136">
        <f t="shared" si="70"/>
        <v>3.2804559510332988E-2</v>
      </c>
      <c r="T73" s="136">
        <f t="shared" si="70"/>
        <v>-1.4005388643180546E-2</v>
      </c>
      <c r="U73" s="209" t="s">
        <v>119</v>
      </c>
    </row>
    <row r="74" spans="1:23">
      <c r="A74" s="112"/>
      <c r="L74" s="143" t="s">
        <v>50</v>
      </c>
      <c r="M74" s="144"/>
      <c r="N74" s="136">
        <v>0.1014</v>
      </c>
      <c r="O74" s="136">
        <v>0.11169999999999999</v>
      </c>
      <c r="P74" s="136">
        <v>0.1193</v>
      </c>
      <c r="Q74" s="136">
        <f>(F23+F19)/Q12</f>
        <v>8.7644851245470126E-2</v>
      </c>
      <c r="R74" s="136">
        <f>(G23+G19)/R12</f>
        <v>-5.4877854639698201E-2</v>
      </c>
      <c r="S74" s="136">
        <f>(H23+H19)/S12</f>
        <v>8.4564005672446249E-2</v>
      </c>
      <c r="T74" s="136">
        <f>(I23+I19)/T12</f>
        <v>0.110131508041784</v>
      </c>
      <c r="U74" s="209" t="s">
        <v>119</v>
      </c>
    </row>
    <row r="75" spans="1:23">
      <c r="A75" s="112"/>
      <c r="L75" s="142" t="s">
        <v>51</v>
      </c>
      <c r="M75" s="104"/>
      <c r="N75" s="164">
        <f t="shared" ref="N75" si="71">(N11/(N7+N8))</f>
        <v>1.0694181758513184</v>
      </c>
      <c r="O75" s="188">
        <f t="shared" ref="O75:S75" si="72">(O11/(O7+O8))</f>
        <v>1.2908855682131108</v>
      </c>
      <c r="P75" s="188">
        <f t="shared" si="72"/>
        <v>1.1833008749481184</v>
      </c>
      <c r="Q75" s="188">
        <f t="shared" si="72"/>
        <v>1.3258885996876628</v>
      </c>
      <c r="R75" s="188">
        <f t="shared" si="72"/>
        <v>1.3731563570421117</v>
      </c>
      <c r="S75" s="188">
        <f t="shared" si="72"/>
        <v>1.2876843234978461</v>
      </c>
      <c r="T75" s="207">
        <f>(T11/(T7+T8))</f>
        <v>0.96219815972751777</v>
      </c>
      <c r="U75" s="209" t="s">
        <v>119</v>
      </c>
    </row>
    <row r="76" spans="1:23">
      <c r="A76" s="112"/>
      <c r="L76" s="142" t="s">
        <v>52</v>
      </c>
      <c r="M76" s="104"/>
      <c r="N76" s="163">
        <f t="shared" ref="N76" si="73">(N11-N37-N36)/(N7+N8)</f>
        <v>0.94423573507440139</v>
      </c>
      <c r="O76" s="188">
        <f t="shared" ref="O76:S76" si="74">(O11-O37-O36)/(O7+O8)</f>
        <v>1.1712667507315131</v>
      </c>
      <c r="P76" s="188">
        <f t="shared" si="74"/>
        <v>1.0819455067127353</v>
      </c>
      <c r="Q76" s="188">
        <f t="shared" si="74"/>
        <v>1.0766184279021345</v>
      </c>
      <c r="R76" s="188">
        <f t="shared" si="74"/>
        <v>1.0839663509973807</v>
      </c>
      <c r="S76" s="188">
        <f t="shared" si="74"/>
        <v>1.0808989645050158</v>
      </c>
      <c r="T76" s="207">
        <f>(T11-T37-T36)/(T7+T8)</f>
        <v>0.59831731991256165</v>
      </c>
      <c r="U76" s="209" t="s">
        <v>119</v>
      </c>
    </row>
    <row r="77" spans="1:23">
      <c r="A77" s="112"/>
      <c r="L77" s="142" t="s">
        <v>53</v>
      </c>
      <c r="M77" s="104"/>
      <c r="N77" s="105">
        <f t="shared" ref="N77" si="75">(N69/N66)</f>
        <v>3.4243643523670922E-3</v>
      </c>
      <c r="O77" s="105">
        <f t="shared" ref="O77:S77" si="76">(O69/O66)</f>
        <v>2.3057412958266085E-3</v>
      </c>
      <c r="P77" s="105">
        <f t="shared" si="76"/>
        <v>1.6666666666666666E-2</v>
      </c>
      <c r="Q77" s="105">
        <f t="shared" si="76"/>
        <v>5.2742616033755272E-3</v>
      </c>
      <c r="R77" s="105">
        <f t="shared" si="76"/>
        <v>4.2201215395003379E-3</v>
      </c>
      <c r="S77" s="105">
        <f t="shared" si="76"/>
        <v>5.6581087771412405E-3</v>
      </c>
      <c r="T77" s="105">
        <f t="shared" ref="T77" si="77">(T69/T66)</f>
        <v>1.7861927301955881E-3</v>
      </c>
      <c r="U77" s="209" t="s">
        <v>119</v>
      </c>
    </row>
    <row r="78" spans="1:23">
      <c r="A78" s="112"/>
      <c r="L78" s="142" t="s">
        <v>54</v>
      </c>
      <c r="M78" s="104"/>
      <c r="N78" s="133">
        <f t="shared" ref="N78" si="78">(AVERAGE(N35)/C4)*365</f>
        <v>97.417069563733591</v>
      </c>
      <c r="O78" s="210">
        <f t="shared" ref="O78" si="79">(AVERAGE(O35)/D4)*365</f>
        <v>107.60397252764972</v>
      </c>
      <c r="P78" s="210">
        <f t="shared" ref="P78" si="80">(AVERAGE(P35)/E4)*365</f>
        <v>102.85918247865244</v>
      </c>
      <c r="Q78" s="210">
        <f t="shared" ref="Q78" si="81">(AVERAGE(Q35)/F4)*365</f>
        <v>96.502654661561238</v>
      </c>
      <c r="R78" s="210">
        <f t="shared" ref="R78" si="82">(AVERAGE(R35)/G4)*365</f>
        <v>116.9503166910275</v>
      </c>
      <c r="S78" s="210">
        <f>(AVERAGE(S35)/H4)*365</f>
        <v>130.89703446161249</v>
      </c>
      <c r="T78" s="210">
        <f>(AVERAGE(T35)/I4)*365</f>
        <v>76.28353440530978</v>
      </c>
      <c r="U78" s="209" t="s">
        <v>119</v>
      </c>
    </row>
    <row r="79" spans="1:23">
      <c r="A79" s="112"/>
      <c r="L79" s="142" t="s">
        <v>55</v>
      </c>
      <c r="M79" s="104"/>
      <c r="N79" s="133">
        <f>AVERAGE(N44)/(C7)*365</f>
        <v>70.507951662448747</v>
      </c>
      <c r="O79" s="210">
        <f t="shared" ref="O79:T79" si="83">AVERAGE(N44:O44)/(D7)*365</f>
        <v>59.055930202030837</v>
      </c>
      <c r="P79" s="210">
        <f t="shared" si="83"/>
        <v>74.98981210983564</v>
      </c>
      <c r="Q79" s="210">
        <f t="shared" si="83"/>
        <v>71.860570628617424</v>
      </c>
      <c r="R79" s="210">
        <f t="shared" si="83"/>
        <v>57.590283081832567</v>
      </c>
      <c r="S79" s="210">
        <f t="shared" si="83"/>
        <v>70.058050687325817</v>
      </c>
      <c r="T79" s="210">
        <f t="shared" si="83"/>
        <v>78.660599499289546</v>
      </c>
      <c r="U79" s="209" t="s">
        <v>119</v>
      </c>
    </row>
    <row r="80" spans="1:23">
      <c r="A80" s="112"/>
      <c r="L80" s="142" t="s">
        <v>56</v>
      </c>
      <c r="M80" s="104"/>
      <c r="N80" s="133">
        <f>(AVERAGE(M32:N32)/(C7))*365</f>
        <v>90.925203569164751</v>
      </c>
      <c r="O80" s="210">
        <f>(AVERAGE(N32:O32)/(D7))*365</f>
        <v>92.910865906659524</v>
      </c>
      <c r="P80" s="210">
        <f>(AVERAGE(O32:P32)/(E7))*365</f>
        <v>109.85960307105317</v>
      </c>
      <c r="Q80" s="210">
        <f>(AVERAGE(O32:Q32)/(F7))*365</f>
        <v>111.46795903747839</v>
      </c>
      <c r="R80" s="210">
        <f>(AVERAGE(P32:R32)/(G7))*365</f>
        <v>112.89259156259361</v>
      </c>
      <c r="S80" s="210">
        <f>(AVERAGE(R32:S32)/(H7))*365</f>
        <v>104.72197257782608</v>
      </c>
      <c r="T80" s="210">
        <f>(AVERAGE(S32:T32)/(I7))*365</f>
        <v>105.04284447725907</v>
      </c>
      <c r="U80" s="209" t="s">
        <v>119</v>
      </c>
    </row>
    <row r="81" spans="1:21">
      <c r="A81" s="112"/>
      <c r="L81" s="142" t="s">
        <v>71</v>
      </c>
      <c r="M81" s="104"/>
      <c r="N81" s="133">
        <f t="shared" ref="N81" si="84">(N80+N78-N79)</f>
        <v>117.83432147044961</v>
      </c>
      <c r="O81" s="210">
        <f t="shared" ref="O81:Q81" si="85">(O80+O78-O79)</f>
        <v>141.45890823227842</v>
      </c>
      <c r="P81" s="210">
        <f t="shared" si="85"/>
        <v>137.72897343986997</v>
      </c>
      <c r="Q81" s="210">
        <f t="shared" si="85"/>
        <v>136.11004307042219</v>
      </c>
      <c r="R81" s="210">
        <f>(R80+R78-R79)</f>
        <v>172.25262517178851</v>
      </c>
      <c r="S81" s="210">
        <f>(S80+S78-S79)</f>
        <v>165.56095635211275</v>
      </c>
      <c r="T81" s="210">
        <f>(T80+T78-T79)</f>
        <v>102.66577938327931</v>
      </c>
      <c r="U81" s="209" t="s">
        <v>119</v>
      </c>
    </row>
    <row r="82" spans="1:21">
      <c r="A82" s="112"/>
      <c r="L82" s="142" t="s">
        <v>57</v>
      </c>
      <c r="M82" s="104"/>
      <c r="N82" s="163">
        <v>100</v>
      </c>
      <c r="O82" s="211">
        <f t="shared" ref="O82" si="86">+O53/D4*365</f>
        <v>112.90814330397616</v>
      </c>
      <c r="P82" s="211">
        <f t="shared" ref="P82" si="87">+P53/E4*365</f>
        <v>76.302903051734873</v>
      </c>
      <c r="Q82" s="211">
        <f t="shared" ref="Q82" si="88">+Q53/F4*365</f>
        <v>115.5624212470793</v>
      </c>
      <c r="R82" s="211">
        <f t="shared" ref="R82" si="89">+R53/G4*365</f>
        <v>93.215067825730173</v>
      </c>
      <c r="S82" s="211">
        <f>+S53/H4*365</f>
        <v>78.072681747707676</v>
      </c>
      <c r="T82" s="211">
        <f>+T53/I4*365</f>
        <v>66.637378302561402</v>
      </c>
      <c r="U82" s="209" t="s">
        <v>119</v>
      </c>
    </row>
    <row r="83" spans="1:21">
      <c r="A83" s="112"/>
      <c r="L83" s="115" t="s">
        <v>73</v>
      </c>
      <c r="M83" s="101"/>
      <c r="N83" s="136">
        <f t="shared" ref="N83:T83" si="90">C19/N11</f>
        <v>7.431619410638865E-2</v>
      </c>
      <c r="O83" s="136">
        <f t="shared" si="90"/>
        <v>0.11098421599904952</v>
      </c>
      <c r="P83" s="136">
        <f t="shared" si="90"/>
        <v>0.13529503576579263</v>
      </c>
      <c r="Q83" s="136">
        <f t="shared" si="90"/>
        <v>9.2722824055606681E-2</v>
      </c>
      <c r="R83" s="136">
        <f t="shared" si="90"/>
        <v>9.665479330445087E-2</v>
      </c>
      <c r="S83" s="136">
        <f t="shared" si="90"/>
        <v>0.10404892659108465</v>
      </c>
      <c r="T83" s="136">
        <f t="shared" si="90"/>
        <v>0.18296754968986759</v>
      </c>
      <c r="U83" s="209" t="s">
        <v>119</v>
      </c>
    </row>
    <row r="84" spans="1:21">
      <c r="L84" s="115" t="s">
        <v>135</v>
      </c>
      <c r="M84" s="101"/>
      <c r="N84" s="132">
        <f t="shared" ref="N84:U84" si="91">(C14-C18)/C19</f>
        <v>2.4022819885900502</v>
      </c>
      <c r="O84" s="162">
        <f t="shared" si="91"/>
        <v>2.1761690673233871</v>
      </c>
      <c r="P84" s="162">
        <f t="shared" si="91"/>
        <v>1.5382442416340703</v>
      </c>
      <c r="Q84" s="162">
        <f t="shared" si="91"/>
        <v>1.4982554791504368</v>
      </c>
      <c r="R84" s="162">
        <f t="shared" si="91"/>
        <v>1.1784575679368463</v>
      </c>
      <c r="S84" s="162">
        <f t="shared" si="91"/>
        <v>1.1844550109729342</v>
      </c>
      <c r="T84" s="212">
        <f t="shared" si="91"/>
        <v>1.171609251826397</v>
      </c>
      <c r="U84" s="209">
        <f t="shared" si="91"/>
        <v>0.91424745118368445</v>
      </c>
    </row>
    <row r="85" spans="1:21">
      <c r="L85" s="115" t="s">
        <v>132</v>
      </c>
      <c r="M85" s="101"/>
      <c r="N85" s="133">
        <f t="shared" ref="N85" si="92">C4/N86</f>
        <v>4.7865179245989333</v>
      </c>
      <c r="O85" s="189">
        <f t="shared" ref="O85" si="93">D4/O86</f>
        <v>4.4199305821911823</v>
      </c>
      <c r="P85" s="189">
        <f t="shared" ref="P85" si="94">E4/P86</f>
        <v>3.3137488977840412</v>
      </c>
      <c r="Q85" s="189">
        <f t="shared" ref="Q85" si="95">F4/Q86</f>
        <v>3.0310659883419113</v>
      </c>
      <c r="R85" s="189">
        <f t="shared" ref="R85" si="96">G4/R86</f>
        <v>3.1031272380042969</v>
      </c>
      <c r="S85" s="189">
        <f>H4/S86</f>
        <v>3.8044888705688371</v>
      </c>
      <c r="T85" s="189">
        <f>I4/T86</f>
        <v>4.3912964714880944</v>
      </c>
      <c r="U85" s="209" t="s">
        <v>119</v>
      </c>
    </row>
    <row r="86" spans="1:21" ht="15.75" thickBot="1">
      <c r="L86" s="145" t="s">
        <v>156</v>
      </c>
      <c r="M86" s="146"/>
      <c r="N86" s="147">
        <v>1469.21</v>
      </c>
      <c r="O86" s="213">
        <f t="shared" ref="O86:S86" si="97">O15+O20+O16+O17+O21</f>
        <v>2104.9878107785999</v>
      </c>
      <c r="P86" s="213">
        <f t="shared" si="97"/>
        <v>2665.4524143053</v>
      </c>
      <c r="Q86" s="213">
        <f t="shared" si="97"/>
        <v>2696.84</v>
      </c>
      <c r="R86" s="213">
        <f t="shared" si="97"/>
        <v>2513.4</v>
      </c>
      <c r="S86" s="213">
        <f t="shared" si="97"/>
        <v>2426</v>
      </c>
      <c r="T86" s="213">
        <f t="shared" ref="T86:U86" si="98">T15+T20+T16+T17+T21</f>
        <v>2484.0499999999997</v>
      </c>
      <c r="U86" s="272" t="s">
        <v>119</v>
      </c>
    </row>
    <row r="87" spans="1:21" ht="17.100000000000001" customHeight="1">
      <c r="L87" s="256"/>
      <c r="M87" s="256"/>
      <c r="N87" s="256"/>
      <c r="O87" s="256"/>
      <c r="P87" s="256"/>
      <c r="Q87" s="256"/>
      <c r="R87" s="256"/>
      <c r="S87" s="256"/>
      <c r="T87" s="256"/>
    </row>
    <row r="88" spans="1:21">
      <c r="P88" s="86"/>
      <c r="Q88" s="86"/>
      <c r="R88" s="86"/>
      <c r="S88" s="86"/>
    </row>
    <row r="89" spans="1:21">
      <c r="P89" s="86"/>
      <c r="Q89" s="86"/>
      <c r="R89" s="86"/>
      <c r="S89" s="86"/>
    </row>
    <row r="90" spans="1:21">
      <c r="P90" s="86"/>
      <c r="Q90" s="86"/>
      <c r="R90" s="86"/>
      <c r="S90" s="86"/>
    </row>
    <row r="91" spans="1:21">
      <c r="P91" s="86"/>
      <c r="Q91" s="86"/>
      <c r="R91" s="86"/>
      <c r="S91" s="86"/>
    </row>
    <row r="92" spans="1:21">
      <c r="P92" s="86"/>
      <c r="Q92" s="86"/>
      <c r="R92" s="86"/>
      <c r="S92" s="86"/>
    </row>
    <row r="93" spans="1:21">
      <c r="P93" s="86"/>
      <c r="Q93" s="86"/>
      <c r="R93" s="86"/>
      <c r="S93" s="86"/>
    </row>
    <row r="99" spans="15:15">
      <c r="O99" s="86"/>
    </row>
    <row r="100" spans="15:15">
      <c r="O100" s="86"/>
    </row>
    <row r="101" spans="15:15">
      <c r="O101" s="86"/>
    </row>
    <row r="102" spans="15:15">
      <c r="O102" s="86"/>
    </row>
  </sheetData>
  <mergeCells count="5">
    <mergeCell ref="L87:T87"/>
    <mergeCell ref="L64:U64"/>
    <mergeCell ref="L2:U2"/>
    <mergeCell ref="A1:U1"/>
    <mergeCell ref="A2:J2"/>
  </mergeCells>
  <pageMargins left="0.25" right="0.25" top="0.75" bottom="0.75" header="0.3" footer="0.3"/>
  <pageSetup paperSize="9" scale="44" orientation="portrait" horizontalDpi="1200" verticalDpi="1200" r:id="rId1"/>
  <ignoredErrors>
    <ignoredError sqref="O79:S80 F49 R14 T79:T80" formulaRange="1"/>
    <ignoredError sqref="E32 H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view="pageBreakPreview" topLeftCell="A19" zoomScale="90" zoomScaleSheetLayoutView="90" workbookViewId="0">
      <selection activeCell="F37" sqref="F37"/>
    </sheetView>
  </sheetViews>
  <sheetFormatPr defaultColWidth="9.140625" defaultRowHeight="12"/>
  <cols>
    <col min="1" max="1" width="45.42578125" style="2" customWidth="1"/>
    <col min="2" max="2" width="8.42578125" style="2" hidden="1" customWidth="1"/>
    <col min="3" max="3" width="11.140625" style="2" hidden="1" customWidth="1"/>
    <col min="4" max="4" width="13.140625" style="2" bestFit="1" customWidth="1"/>
    <col min="5" max="5" width="13.140625" style="2" customWidth="1"/>
    <col min="6" max="6" width="13.42578125" style="2" customWidth="1"/>
    <col min="7" max="7" width="10.42578125" style="2" customWidth="1"/>
    <col min="8" max="8" width="35.85546875" style="2" customWidth="1"/>
    <col min="9" max="9" width="13.85546875" style="2" hidden="1" customWidth="1"/>
    <col min="10" max="10" width="13.85546875" style="49" hidden="1" customWidth="1"/>
    <col min="11" max="11" width="10.85546875" style="49" bestFit="1" customWidth="1"/>
    <col min="12" max="12" width="10.42578125" style="3" bestFit="1" customWidth="1"/>
    <col min="13" max="13" width="11.140625" style="49" customWidth="1"/>
    <col min="14" max="14" width="9.140625" style="2"/>
    <col min="15" max="15" width="9.85546875" style="2" bestFit="1" customWidth="1"/>
    <col min="16" max="16384" width="9.140625" style="2"/>
  </cols>
  <sheetData>
    <row r="1" spans="1:15" ht="15">
      <c r="A1" s="265" t="s">
        <v>109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5">
      <c r="A2" s="267" t="s">
        <v>77</v>
      </c>
      <c r="B2" s="268"/>
      <c r="C2" s="268"/>
      <c r="D2" s="268"/>
      <c r="E2" s="268"/>
      <c r="F2" s="269"/>
      <c r="G2" s="18"/>
      <c r="H2" s="270" t="s">
        <v>76</v>
      </c>
      <c r="I2" s="271"/>
      <c r="J2" s="271"/>
      <c r="K2" s="271"/>
      <c r="L2" s="271"/>
      <c r="M2" s="271"/>
    </row>
    <row r="3" spans="1:15">
      <c r="A3" s="19" t="s">
        <v>0</v>
      </c>
      <c r="B3" s="16" t="s">
        <v>27</v>
      </c>
      <c r="C3" s="16" t="s">
        <v>28</v>
      </c>
      <c r="D3" s="16" t="s">
        <v>29</v>
      </c>
      <c r="E3" s="16" t="s">
        <v>72</v>
      </c>
      <c r="F3" s="16" t="s">
        <v>78</v>
      </c>
      <c r="G3" s="18"/>
      <c r="H3" s="20" t="s">
        <v>0</v>
      </c>
      <c r="I3" s="4" t="s">
        <v>27</v>
      </c>
      <c r="J3" s="68" t="s">
        <v>28</v>
      </c>
      <c r="K3" s="68" t="s">
        <v>29</v>
      </c>
      <c r="L3" s="69" t="s">
        <v>72</v>
      </c>
      <c r="M3" s="68" t="s">
        <v>78</v>
      </c>
    </row>
    <row r="4" spans="1:15">
      <c r="A4" s="20" t="s">
        <v>79</v>
      </c>
      <c r="B4" s="21">
        <v>6912.23</v>
      </c>
      <c r="C4" s="21">
        <v>31.567</v>
      </c>
      <c r="D4" s="21">
        <v>33.67</v>
      </c>
      <c r="E4" s="8">
        <v>0</v>
      </c>
      <c r="F4" s="8">
        <v>15.002000000000001</v>
      </c>
      <c r="G4" s="22"/>
      <c r="H4" s="5" t="s">
        <v>80</v>
      </c>
      <c r="I4" s="10">
        <v>190.001</v>
      </c>
      <c r="J4" s="23">
        <v>35.799999999999997</v>
      </c>
      <c r="K4" s="23">
        <v>35.799999999999997</v>
      </c>
      <c r="L4" s="23">
        <f>175300000/1000000</f>
        <v>175.3</v>
      </c>
      <c r="M4" s="23">
        <f>175300000/1000000</f>
        <v>175.3</v>
      </c>
    </row>
    <row r="5" spans="1:15">
      <c r="A5" s="25" t="s">
        <v>1</v>
      </c>
      <c r="B5" s="11"/>
      <c r="C5" s="11"/>
      <c r="D5" s="11">
        <f>(D4/C4-1)</f>
        <v>6.6620204644090464E-2</v>
      </c>
      <c r="E5" s="11">
        <f>(E4/D4-1)</f>
        <v>-1</v>
      </c>
      <c r="F5" s="11"/>
      <c r="G5" s="22"/>
      <c r="H5" s="5" t="s">
        <v>81</v>
      </c>
      <c r="I5" s="10">
        <f>1578.376+28.845</f>
        <v>1607.221</v>
      </c>
      <c r="J5" s="23">
        <v>5.9802109999999997</v>
      </c>
      <c r="K5" s="23">
        <v>7.2452769999999997</v>
      </c>
      <c r="L5" s="23">
        <v>419.87315799999999</v>
      </c>
      <c r="M5" s="23">
        <v>423.51691</v>
      </c>
    </row>
    <row r="6" spans="1:15">
      <c r="A6" s="25" t="s">
        <v>82</v>
      </c>
      <c r="B6" s="11"/>
      <c r="C6" s="11"/>
      <c r="D6" s="11"/>
      <c r="E6" s="11"/>
      <c r="F6" s="11">
        <f>+((C4/F4)^(1/3)-1)</f>
        <v>0.28142949599527056</v>
      </c>
      <c r="H6" s="24" t="s">
        <v>30</v>
      </c>
      <c r="I6" s="9">
        <f>(I4+I5)</f>
        <v>1797.222</v>
      </c>
      <c r="J6" s="9">
        <f>(J4+J5)</f>
        <v>41.780210999999994</v>
      </c>
      <c r="K6" s="9">
        <f>(K4+K5)</f>
        <v>43.045276999999999</v>
      </c>
      <c r="L6" s="9">
        <f>(L4+L5)</f>
        <v>595.17315800000006</v>
      </c>
      <c r="M6" s="9">
        <f>(M4+M5)</f>
        <v>598.81691000000001</v>
      </c>
    </row>
    <row r="7" spans="1:15">
      <c r="A7" s="24" t="s">
        <v>2</v>
      </c>
      <c r="B7" s="9">
        <f>SUM(B8:B12)</f>
        <v>6031.4109999999991</v>
      </c>
      <c r="C7" s="9">
        <f>SUM(C8:C12)</f>
        <v>31.872999999999998</v>
      </c>
      <c r="D7" s="9">
        <f>SUM(D8:D12)</f>
        <v>34.344000000000001</v>
      </c>
      <c r="E7" s="9">
        <f>SUM(E8:E12)</f>
        <v>4.0910000000000002</v>
      </c>
      <c r="F7" s="9">
        <f>SUM(F8:F12)</f>
        <v>18.211999999999996</v>
      </c>
      <c r="H7" s="5" t="s">
        <v>31</v>
      </c>
      <c r="I7" s="10"/>
      <c r="J7" s="23">
        <v>0</v>
      </c>
      <c r="K7" s="23">
        <v>0</v>
      </c>
      <c r="L7" s="23"/>
      <c r="M7" s="23"/>
      <c r="O7" s="28"/>
    </row>
    <row r="8" spans="1:15">
      <c r="A8" s="5" t="s">
        <v>83</v>
      </c>
      <c r="B8" s="10">
        <v>4379.5349999999999</v>
      </c>
      <c r="C8" s="10">
        <v>0</v>
      </c>
      <c r="D8" s="10">
        <v>0</v>
      </c>
      <c r="E8" s="23">
        <v>0</v>
      </c>
      <c r="F8" s="23">
        <v>0</v>
      </c>
      <c r="H8" s="5" t="s">
        <v>32</v>
      </c>
      <c r="I8" s="10">
        <v>4955.598</v>
      </c>
      <c r="J8" s="23">
        <v>0</v>
      </c>
      <c r="K8" s="23">
        <v>0</v>
      </c>
      <c r="L8" s="23">
        <v>0</v>
      </c>
      <c r="M8" s="23">
        <v>0</v>
      </c>
    </row>
    <row r="9" spans="1:15">
      <c r="A9" s="5" t="s">
        <v>110</v>
      </c>
      <c r="B9" s="10">
        <v>72.775000000000006</v>
      </c>
      <c r="C9" s="10">
        <v>16.326000000000001</v>
      </c>
      <c r="D9" s="10">
        <v>27.135000000000002</v>
      </c>
      <c r="E9" s="23">
        <v>0</v>
      </c>
      <c r="F9" s="23">
        <v>14.773999999999999</v>
      </c>
      <c r="H9" s="5" t="s">
        <v>33</v>
      </c>
      <c r="I9" s="10">
        <v>1652.4570000000001</v>
      </c>
      <c r="J9" s="23">
        <v>0</v>
      </c>
      <c r="K9" s="23">
        <v>0</v>
      </c>
      <c r="L9" s="23">
        <v>0</v>
      </c>
      <c r="M9" s="23">
        <v>0</v>
      </c>
      <c r="N9" s="28"/>
    </row>
    <row r="10" spans="1:15">
      <c r="A10" s="5" t="s">
        <v>117</v>
      </c>
      <c r="B10" s="10"/>
      <c r="C10" s="10">
        <v>12.159000000000001</v>
      </c>
      <c r="D10" s="10">
        <v>4.9859999999999998</v>
      </c>
      <c r="E10" s="23">
        <v>0</v>
      </c>
      <c r="F10" s="23">
        <v>0</v>
      </c>
      <c r="H10" s="24" t="s">
        <v>34</v>
      </c>
      <c r="I10" s="9">
        <f>(I8+I9)</f>
        <v>6608.0550000000003</v>
      </c>
      <c r="J10" s="9">
        <f>(J8+J9)</f>
        <v>0</v>
      </c>
      <c r="K10" s="9">
        <f>(K8+K9)</f>
        <v>0</v>
      </c>
      <c r="L10" s="9">
        <f>(L8+L9)</f>
        <v>0</v>
      </c>
      <c r="M10" s="9">
        <f>(M8+M9)</f>
        <v>0</v>
      </c>
    </row>
    <row r="11" spans="1:15">
      <c r="A11" s="5" t="s">
        <v>58</v>
      </c>
      <c r="B11" s="10">
        <v>640.47699999999998</v>
      </c>
      <c r="C11" s="10">
        <v>0.81399999999999995</v>
      </c>
      <c r="D11" s="10">
        <v>0.93400000000000005</v>
      </c>
      <c r="E11" s="23">
        <v>1.175</v>
      </c>
      <c r="F11" s="23">
        <v>1.3640000000000001</v>
      </c>
      <c r="H11" s="24" t="s">
        <v>35</v>
      </c>
      <c r="I11" s="9">
        <f>(I6+I8+I7+I46+I43+I44)</f>
        <v>7029.6509999999998</v>
      </c>
      <c r="J11" s="9">
        <f>(J6+J8+J7+J46+J43+J44)</f>
        <v>41.782278999999996</v>
      </c>
      <c r="K11" s="9">
        <f>(K6+K8+K7+K46+K43+K44+K45)</f>
        <v>43.045451999999997</v>
      </c>
      <c r="L11" s="9">
        <f>(L6+L8+L7+L46+L43+L44+L45)</f>
        <v>595.17315800000006</v>
      </c>
      <c r="M11" s="9">
        <f>(M6+M8+M7+M46+M43+M44+M45)</f>
        <v>598.81696899999997</v>
      </c>
    </row>
    <row r="12" spans="1:15">
      <c r="A12" s="5" t="s">
        <v>60</v>
      </c>
      <c r="B12" s="10">
        <v>938.62400000000002</v>
      </c>
      <c r="C12" s="10">
        <v>2.5739999999999998</v>
      </c>
      <c r="D12" s="10">
        <v>1.2889999999999999</v>
      </c>
      <c r="E12" s="23">
        <v>2.9159999999999999</v>
      </c>
      <c r="F12" s="23">
        <v>2.0739999999999998</v>
      </c>
      <c r="H12" s="24" t="s">
        <v>35</v>
      </c>
      <c r="I12" s="9">
        <f>I48-I36-I9</f>
        <v>2958.2479999999996</v>
      </c>
      <c r="J12" s="9">
        <f>J48-J36-J9</f>
        <v>41.782279000000003</v>
      </c>
      <c r="K12" s="9">
        <f>K48-K36-K9</f>
        <v>43.068157999999997</v>
      </c>
      <c r="L12" s="9">
        <f>L48-L36-L9</f>
        <v>595.17321800000002</v>
      </c>
      <c r="M12" s="9">
        <f>M48-M36-M9</f>
        <v>599.01720819999991</v>
      </c>
      <c r="O12" s="3"/>
    </row>
    <row r="13" spans="1:15">
      <c r="A13" s="24" t="s">
        <v>3</v>
      </c>
      <c r="B13" s="9" t="e">
        <f>(#REF!-B7)</f>
        <v>#REF!</v>
      </c>
      <c r="C13" s="9">
        <f>(C4-C7)</f>
        <v>-0.30599999999999739</v>
      </c>
      <c r="D13" s="9">
        <f>(D4-D7)</f>
        <v>-0.67399999999999949</v>
      </c>
      <c r="E13" s="9">
        <f>(E4-E7)</f>
        <v>-4.0910000000000002</v>
      </c>
      <c r="F13" s="9">
        <f>(F4-F7)</f>
        <v>-3.2099999999999955</v>
      </c>
      <c r="H13" s="5"/>
      <c r="I13" s="23"/>
      <c r="J13" s="23"/>
      <c r="K13" s="23"/>
      <c r="L13" s="23"/>
      <c r="M13" s="23"/>
      <c r="N13" s="3"/>
    </row>
    <row r="14" spans="1:15">
      <c r="A14" s="25" t="s">
        <v>1</v>
      </c>
      <c r="B14" s="11"/>
      <c r="C14" s="11"/>
      <c r="D14" s="11">
        <f>(D13/C13-1)</f>
        <v>1.2026143790849844</v>
      </c>
      <c r="E14" s="11">
        <f>(E13/D13-1)</f>
        <v>5.0697329376854645</v>
      </c>
      <c r="F14" s="11">
        <f>(F13/E13-1)</f>
        <v>-0.21535076998289038</v>
      </c>
      <c r="I14" s="26"/>
      <c r="J14" s="70"/>
      <c r="K14" s="70"/>
      <c r="L14" s="71"/>
      <c r="M14" s="71"/>
    </row>
    <row r="15" spans="1:15">
      <c r="A15" s="25" t="s">
        <v>82</v>
      </c>
      <c r="B15" s="11"/>
      <c r="C15" s="11"/>
      <c r="D15" s="11"/>
      <c r="E15" s="11"/>
      <c r="F15" s="11">
        <f>+((F13/C13)^(1/3)-1)</f>
        <v>1.1890778265717628</v>
      </c>
      <c r="H15" s="5" t="s">
        <v>84</v>
      </c>
      <c r="I15" s="10">
        <v>4353.3829999999998</v>
      </c>
      <c r="J15" s="23">
        <v>8.6829999999999997E-3</v>
      </c>
      <c r="K15" s="23">
        <v>0</v>
      </c>
      <c r="L15" s="23">
        <v>0</v>
      </c>
      <c r="M15" s="23">
        <v>0</v>
      </c>
    </row>
    <row r="16" spans="1:15">
      <c r="A16" s="24" t="s">
        <v>4</v>
      </c>
      <c r="B16" s="27" t="e">
        <f>(B13/#REF!)</f>
        <v>#REF!</v>
      </c>
      <c r="C16" s="27">
        <f>(C13/C4)</f>
        <v>-9.6936674375137765E-3</v>
      </c>
      <c r="D16" s="27">
        <f>(D13/D4)</f>
        <v>-2.0017820017820001E-2</v>
      </c>
      <c r="E16" s="27" t="e">
        <f>(E13/E4)</f>
        <v>#DIV/0!</v>
      </c>
      <c r="F16" s="27">
        <f>(F13/F4)</f>
        <v>-0.21397147047060361</v>
      </c>
      <c r="H16" s="5" t="s">
        <v>85</v>
      </c>
      <c r="I16" s="10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5">
      <c r="A17" s="5" t="s">
        <v>87</v>
      </c>
      <c r="B17" s="10">
        <v>365.72800000000001</v>
      </c>
      <c r="C17" s="10">
        <v>0</v>
      </c>
      <c r="D17" s="10">
        <v>8.9999999999999993E-3</v>
      </c>
      <c r="E17" s="23">
        <v>0</v>
      </c>
      <c r="F17" s="23">
        <v>0</v>
      </c>
      <c r="H17" s="5" t="s">
        <v>102</v>
      </c>
      <c r="I17" s="10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5">
      <c r="A18" s="5" t="s">
        <v>88</v>
      </c>
      <c r="B18" s="10">
        <v>802.21900000000005</v>
      </c>
      <c r="C18" s="10">
        <v>0</v>
      </c>
      <c r="D18" s="10">
        <v>0</v>
      </c>
      <c r="E18" s="23">
        <v>0</v>
      </c>
      <c r="F18" s="23">
        <v>0</v>
      </c>
      <c r="H18" s="5" t="s">
        <v>103</v>
      </c>
      <c r="I18" s="10">
        <v>1961.405</v>
      </c>
      <c r="J18" s="23">
        <v>0</v>
      </c>
      <c r="K18" s="23">
        <v>0</v>
      </c>
      <c r="L18" s="23">
        <v>0</v>
      </c>
      <c r="M18" s="23">
        <v>0</v>
      </c>
    </row>
    <row r="19" spans="1:15">
      <c r="A19" s="5" t="s">
        <v>90</v>
      </c>
      <c r="B19" s="10">
        <v>0</v>
      </c>
      <c r="C19" s="10">
        <v>0</v>
      </c>
      <c r="D19" s="10">
        <v>0</v>
      </c>
      <c r="E19" s="23">
        <v>0</v>
      </c>
      <c r="F19" s="23">
        <v>0</v>
      </c>
      <c r="H19" s="5" t="s">
        <v>104</v>
      </c>
      <c r="I19" s="10"/>
      <c r="J19" s="23">
        <v>0</v>
      </c>
      <c r="K19" s="23">
        <v>0</v>
      </c>
      <c r="L19" s="23">
        <v>0</v>
      </c>
      <c r="M19" s="23">
        <v>0</v>
      </c>
      <c r="O19" s="3"/>
    </row>
    <row r="20" spans="1:15">
      <c r="A20" s="5" t="s">
        <v>5</v>
      </c>
      <c r="B20" s="10">
        <v>8.9009999999999998</v>
      </c>
      <c r="C20" s="10">
        <v>0.754</v>
      </c>
      <c r="D20" s="10">
        <v>2.6280000000000001</v>
      </c>
      <c r="E20" s="23">
        <v>15.356999999999999</v>
      </c>
      <c r="F20" s="23">
        <v>11.573</v>
      </c>
      <c r="H20" s="5" t="s">
        <v>86</v>
      </c>
      <c r="I20" s="10"/>
      <c r="J20" s="23"/>
      <c r="K20" s="23"/>
      <c r="L20" s="23"/>
      <c r="M20" s="23"/>
    </row>
    <row r="21" spans="1:15">
      <c r="A21" s="24" t="s">
        <v>6</v>
      </c>
      <c r="B21" s="9" t="e">
        <f>(B13-B17-B18+B19+B20)</f>
        <v>#REF!</v>
      </c>
      <c r="C21" s="9">
        <f>(C13-C17-C18+C19+C20)</f>
        <v>0.44800000000000262</v>
      </c>
      <c r="D21" s="9">
        <f>(D13-D17-D18+D19+D20)</f>
        <v>1.9450000000000007</v>
      </c>
      <c r="E21" s="9">
        <f>(E13-E17-E18+E19+E20)</f>
        <v>11.265999999999998</v>
      </c>
      <c r="F21" s="9">
        <f>(F13-F17-F18+F19+F20)</f>
        <v>8.3630000000000049</v>
      </c>
      <c r="H21" s="5" t="s">
        <v>111</v>
      </c>
      <c r="I21" s="10"/>
      <c r="J21" s="23">
        <v>0</v>
      </c>
      <c r="K21" s="23">
        <v>0.31923899999999999</v>
      </c>
      <c r="L21" s="23">
        <f>406171857/1000000</f>
        <v>406.17185699999999</v>
      </c>
      <c r="M21" s="23">
        <v>0</v>
      </c>
    </row>
    <row r="22" spans="1:15">
      <c r="A22" s="5" t="s">
        <v>7</v>
      </c>
      <c r="B22" s="10">
        <v>6.3959999999999999</v>
      </c>
      <c r="C22" s="10">
        <f>0.002-0.084</f>
        <v>-8.2000000000000003E-2</v>
      </c>
      <c r="D22" s="10">
        <f>0.59-0.002</f>
        <v>0.58799999999999997</v>
      </c>
      <c r="E22" s="23">
        <v>3.1880000000000002</v>
      </c>
      <c r="F22" s="23">
        <v>2.19</v>
      </c>
      <c r="G22" s="28"/>
      <c r="H22" s="5" t="s">
        <v>105</v>
      </c>
      <c r="I22" s="10"/>
      <c r="J22" s="23">
        <v>0</v>
      </c>
      <c r="K22" s="23">
        <v>0</v>
      </c>
      <c r="L22" s="23">
        <v>0</v>
      </c>
      <c r="M22" s="23">
        <v>0</v>
      </c>
    </row>
    <row r="23" spans="1:15">
      <c r="A23" s="25" t="s">
        <v>8</v>
      </c>
      <c r="B23" s="11">
        <v>0</v>
      </c>
      <c r="C23" s="11">
        <f>(C22/C21)</f>
        <v>-0.18303571428571322</v>
      </c>
      <c r="D23" s="11">
        <f>(D22/D21)</f>
        <v>0.30231362467866313</v>
      </c>
      <c r="E23" s="11">
        <f>(E22/E21)</f>
        <v>0.28297532398366776</v>
      </c>
      <c r="F23" s="11">
        <f>(F22/F21)</f>
        <v>0.26186775080712649</v>
      </c>
      <c r="H23" s="5" t="s">
        <v>89</v>
      </c>
      <c r="I23" s="10">
        <v>0</v>
      </c>
      <c r="J23" s="23">
        <v>0</v>
      </c>
      <c r="K23" s="23">
        <v>0</v>
      </c>
      <c r="L23" s="23">
        <v>0</v>
      </c>
      <c r="M23" s="23">
        <v>0</v>
      </c>
    </row>
    <row r="24" spans="1:15">
      <c r="A24" s="24" t="s">
        <v>9</v>
      </c>
      <c r="B24" s="9" t="e">
        <f>(B21-B22)</f>
        <v>#REF!</v>
      </c>
      <c r="C24" s="9">
        <f>(C21-C22)</f>
        <v>0.53000000000000258</v>
      </c>
      <c r="D24" s="9">
        <f>(D21-D22)</f>
        <v>1.3570000000000007</v>
      </c>
      <c r="E24" s="9">
        <f>(E21-E22)</f>
        <v>8.0779999999999976</v>
      </c>
      <c r="F24" s="9">
        <f>(F21-F22)</f>
        <v>6.1730000000000054</v>
      </c>
      <c r="H24" s="5" t="s">
        <v>106</v>
      </c>
      <c r="I24" s="10">
        <v>220.53899999999999</v>
      </c>
      <c r="J24" s="23">
        <v>3.944709</v>
      </c>
      <c r="K24" s="23"/>
      <c r="L24" s="23">
        <v>0</v>
      </c>
      <c r="M24" s="23">
        <v>0</v>
      </c>
    </row>
    <row r="25" spans="1:15">
      <c r="A25" s="24" t="s">
        <v>70</v>
      </c>
      <c r="B25" s="29">
        <v>0</v>
      </c>
      <c r="C25" s="29">
        <f>C24/C4</f>
        <v>1.678968543098814E-2</v>
      </c>
      <c r="D25" s="29">
        <f>D24/D4</f>
        <v>4.0302940302940321E-2</v>
      </c>
      <c r="E25" s="29" t="e">
        <f>E24/E4</f>
        <v>#DIV/0!</v>
      </c>
      <c r="F25" s="29">
        <f>F24/F4</f>
        <v>0.41147846953739536</v>
      </c>
      <c r="H25" s="5" t="s">
        <v>91</v>
      </c>
      <c r="I25" s="10">
        <v>7.9480000000000004</v>
      </c>
      <c r="J25" s="23">
        <v>0</v>
      </c>
      <c r="K25" s="23">
        <v>0</v>
      </c>
      <c r="L25" s="23">
        <v>0</v>
      </c>
      <c r="M25" s="23">
        <v>0</v>
      </c>
    </row>
    <row r="26" spans="1:15">
      <c r="A26" s="5" t="s">
        <v>10</v>
      </c>
      <c r="B26" s="1"/>
      <c r="C26" s="1">
        <v>0</v>
      </c>
      <c r="D26" s="1">
        <v>0</v>
      </c>
      <c r="E26" s="1">
        <v>0</v>
      </c>
      <c r="F26" s="1">
        <v>0</v>
      </c>
      <c r="H26" s="24" t="s">
        <v>36</v>
      </c>
      <c r="I26" s="9">
        <f>SUM(I27:I35)</f>
        <v>1509.585</v>
      </c>
      <c r="J26" s="9">
        <f>SUM(J27:J35)</f>
        <v>37.969014999999999</v>
      </c>
      <c r="K26" s="9">
        <f>SUM(K27:K35)</f>
        <v>48.662321999999996</v>
      </c>
      <c r="L26" s="9">
        <f>SUM(L27:L35)</f>
        <v>191.56921400000002</v>
      </c>
      <c r="M26" s="9">
        <f>SUM(M27:M35)</f>
        <v>614.82621799999993</v>
      </c>
    </row>
    <row r="27" spans="1:15">
      <c r="A27" s="5" t="s">
        <v>93</v>
      </c>
      <c r="B27" s="1">
        <v>825.95399999999995</v>
      </c>
      <c r="C27" s="1">
        <v>0</v>
      </c>
      <c r="D27" s="1">
        <v>0</v>
      </c>
      <c r="E27" s="1">
        <v>0</v>
      </c>
      <c r="F27" s="1">
        <v>0</v>
      </c>
      <c r="H27" s="5" t="s">
        <v>37</v>
      </c>
      <c r="I27" s="10">
        <v>1395.806</v>
      </c>
      <c r="J27" s="23">
        <v>4.9856959999999999</v>
      </c>
      <c r="K27" s="23">
        <v>0</v>
      </c>
      <c r="L27" s="23"/>
      <c r="M27" s="23">
        <v>0</v>
      </c>
    </row>
    <row r="28" spans="1:15">
      <c r="A28" s="5" t="s">
        <v>61</v>
      </c>
      <c r="B28" s="1"/>
      <c r="C28" s="1">
        <v>0</v>
      </c>
      <c r="D28" s="1">
        <v>0</v>
      </c>
      <c r="E28" s="1">
        <v>0</v>
      </c>
      <c r="F28" s="1">
        <v>-0.40200000000000002</v>
      </c>
      <c r="H28" s="5" t="s">
        <v>86</v>
      </c>
      <c r="I28" s="10"/>
      <c r="J28" s="23"/>
      <c r="K28" s="23"/>
      <c r="L28" s="23"/>
      <c r="M28" s="23"/>
    </row>
    <row r="29" spans="1:15">
      <c r="A29" s="24" t="s">
        <v>94</v>
      </c>
      <c r="B29" s="30" t="e">
        <f>(B24-B26+B28+B27)</f>
        <v>#REF!</v>
      </c>
      <c r="C29" s="30">
        <f>(C24-C26+C28+C27)</f>
        <v>0.53000000000000258</v>
      </c>
      <c r="D29" s="30">
        <f>(D24-D26+D28+D27)</f>
        <v>1.3570000000000007</v>
      </c>
      <c r="E29" s="30">
        <f>(E24-E26+E28+E27)</f>
        <v>8.0779999999999976</v>
      </c>
      <c r="F29" s="30">
        <f>(F24-F26+F28+F27)</f>
        <v>5.7710000000000052</v>
      </c>
      <c r="G29" s="28"/>
      <c r="H29" s="5" t="s">
        <v>111</v>
      </c>
      <c r="I29" s="10"/>
      <c r="J29" s="23">
        <v>0</v>
      </c>
      <c r="K29" s="23"/>
      <c r="L29" s="23"/>
      <c r="M29" s="23">
        <v>491.25065000000001</v>
      </c>
      <c r="N29" s="3"/>
    </row>
    <row r="30" spans="1:15">
      <c r="A30" s="25" t="s">
        <v>1</v>
      </c>
      <c r="B30" s="11"/>
      <c r="C30" s="11"/>
      <c r="D30" s="11">
        <f>(D29/C29-1)</f>
        <v>1.5603773584905549</v>
      </c>
      <c r="E30" s="11">
        <f>(E29/D29-1)</f>
        <v>4.9528371407516536</v>
      </c>
      <c r="F30" s="11">
        <f>(F29/E29-1)</f>
        <v>-0.28559049269621106</v>
      </c>
      <c r="H30" s="5" t="s">
        <v>112</v>
      </c>
      <c r="I30" s="10">
        <v>0</v>
      </c>
      <c r="J30" s="23">
        <v>0</v>
      </c>
      <c r="K30" s="23">
        <v>8.6259099999999993</v>
      </c>
      <c r="L30" s="23"/>
      <c r="M30" s="23">
        <v>17.946981999999998</v>
      </c>
    </row>
    <row r="31" spans="1:15">
      <c r="A31" s="25" t="s">
        <v>95</v>
      </c>
      <c r="B31" s="11"/>
      <c r="C31" s="11"/>
      <c r="D31" s="11"/>
      <c r="E31" s="11"/>
      <c r="F31" s="11">
        <f>+((F29/C29)^(1/3)-1)</f>
        <v>1.2164523624269639</v>
      </c>
      <c r="H31" s="5" t="s">
        <v>92</v>
      </c>
      <c r="I31" s="10">
        <v>100.908</v>
      </c>
      <c r="J31" s="23">
        <v>1.79186</v>
      </c>
      <c r="K31" s="23">
        <v>3.5168940000000002</v>
      </c>
      <c r="L31" s="23">
        <f>90331209/1000000</f>
        <v>90.331209000000001</v>
      </c>
      <c r="M31" s="23">
        <v>17.685472000000001</v>
      </c>
    </row>
    <row r="32" spans="1:15">
      <c r="A32" s="20" t="s">
        <v>11</v>
      </c>
      <c r="B32" s="12">
        <v>5.22</v>
      </c>
      <c r="C32" s="12">
        <v>0.15</v>
      </c>
      <c r="D32" s="12">
        <v>0.38</v>
      </c>
      <c r="E32" s="12">
        <v>2.14</v>
      </c>
      <c r="F32" s="12">
        <v>0.35</v>
      </c>
      <c r="H32" s="5" t="s">
        <v>114</v>
      </c>
      <c r="I32" s="10">
        <v>0</v>
      </c>
      <c r="J32" s="23">
        <v>4.0447800000000003</v>
      </c>
      <c r="K32" s="23">
        <v>36.279662999999999</v>
      </c>
      <c r="L32" s="23">
        <f>101111936/1000000</f>
        <v>101.111936</v>
      </c>
      <c r="M32" s="23">
        <v>87.688902999999996</v>
      </c>
    </row>
    <row r="33" spans="1:13">
      <c r="A33" s="31" t="s">
        <v>1</v>
      </c>
      <c r="B33" s="32"/>
      <c r="C33" s="32"/>
      <c r="D33" s="32">
        <f>(D32/C32-1)</f>
        <v>1.5333333333333337</v>
      </c>
      <c r="E33" s="32">
        <f>(E32/D32-1)</f>
        <v>4.6315789473684212</v>
      </c>
      <c r="F33" s="32">
        <f>(F32/E32-1)</f>
        <v>-0.83644859813084116</v>
      </c>
      <c r="H33" s="5" t="s">
        <v>113</v>
      </c>
      <c r="I33" s="10">
        <v>12.871</v>
      </c>
      <c r="J33" s="23">
        <v>0</v>
      </c>
      <c r="K33" s="23">
        <v>0</v>
      </c>
      <c r="L33" s="23"/>
      <c r="M33" s="23">
        <v>0.127</v>
      </c>
    </row>
    <row r="34" spans="1:13">
      <c r="A34" s="31" t="s">
        <v>95</v>
      </c>
      <c r="B34" s="33"/>
      <c r="C34" s="33"/>
      <c r="D34" s="61"/>
      <c r="E34" s="11"/>
      <c r="F34" s="11">
        <f>+((F32/C32)^(1/3)-1)</f>
        <v>0.32635240263213072</v>
      </c>
      <c r="H34" s="5" t="s">
        <v>59</v>
      </c>
      <c r="I34" s="10"/>
      <c r="J34" s="23">
        <v>27.146678999999999</v>
      </c>
      <c r="K34" s="23">
        <v>0.23985500000000001</v>
      </c>
      <c r="L34" s="23">
        <v>0.12606899999999999</v>
      </c>
      <c r="M34" s="23">
        <v>0.12721099999999999</v>
      </c>
    </row>
    <row r="35" spans="1:13">
      <c r="G35" s="18"/>
      <c r="H35" s="5" t="s">
        <v>107</v>
      </c>
      <c r="I35" s="10"/>
      <c r="J35" s="23"/>
      <c r="K35" s="23"/>
      <c r="L35" s="23"/>
      <c r="M35" s="23">
        <v>0</v>
      </c>
    </row>
    <row r="36" spans="1:13">
      <c r="G36" s="18"/>
      <c r="H36" s="24" t="s">
        <v>38</v>
      </c>
      <c r="I36" s="9">
        <f>SUM(I37:I41)</f>
        <v>3442.1549999999993</v>
      </c>
      <c r="J36" s="9">
        <f>SUM(J37:J41)</f>
        <v>0.140128</v>
      </c>
      <c r="K36" s="9">
        <f>SUM(K37:K41)</f>
        <v>5.9134029999999997</v>
      </c>
      <c r="L36" s="9">
        <f>SUM(L37:L41)</f>
        <v>2.5678529999999999</v>
      </c>
      <c r="M36" s="9">
        <f>SUM(M37:M41)</f>
        <v>15.809009799999998</v>
      </c>
    </row>
    <row r="37" spans="1:13">
      <c r="A37" s="18" t="s">
        <v>12</v>
      </c>
      <c r="G37" s="18"/>
      <c r="H37" s="5" t="s">
        <v>96</v>
      </c>
      <c r="I37" s="10"/>
      <c r="J37" s="23"/>
      <c r="K37" s="23"/>
      <c r="L37" s="23"/>
      <c r="M37" s="23"/>
    </row>
    <row r="38" spans="1:13">
      <c r="A38" s="20" t="s">
        <v>0</v>
      </c>
      <c r="B38" s="17" t="s">
        <v>27</v>
      </c>
      <c r="C38" s="17" t="s">
        <v>28</v>
      </c>
      <c r="D38" s="75" t="s">
        <v>29</v>
      </c>
      <c r="E38" s="75" t="s">
        <v>72</v>
      </c>
      <c r="F38" s="34"/>
      <c r="G38" s="18"/>
      <c r="H38" s="5" t="s">
        <v>97</v>
      </c>
      <c r="I38" s="10">
        <v>1119.2059999999999</v>
      </c>
      <c r="J38" s="23">
        <v>0</v>
      </c>
      <c r="K38" s="23">
        <v>5.4175649999999997</v>
      </c>
      <c r="L38" s="23">
        <v>1.2334350000000001</v>
      </c>
      <c r="M38" s="23">
        <v>14.822642999999999</v>
      </c>
    </row>
    <row r="39" spans="1:13">
      <c r="A39" s="20" t="s">
        <v>13</v>
      </c>
      <c r="B39" s="8">
        <v>65.924000000000007</v>
      </c>
      <c r="C39" s="48"/>
      <c r="D39" s="62">
        <v>2.0699999999999998</v>
      </c>
      <c r="E39" s="62">
        <v>3.5689299999999999</v>
      </c>
      <c r="F39" s="56"/>
      <c r="H39" s="5" t="s">
        <v>115</v>
      </c>
      <c r="I39" s="10">
        <v>2302.5369999999998</v>
      </c>
      <c r="J39" s="23">
        <v>6.3249999999999999E-3</v>
      </c>
      <c r="K39" s="23">
        <v>0</v>
      </c>
      <c r="L39" s="23">
        <v>0.44413200000000003</v>
      </c>
      <c r="M39" s="23">
        <v>2.2248799999999999E-2</v>
      </c>
    </row>
    <row r="40" spans="1:13">
      <c r="A40" s="20" t="s">
        <v>14</v>
      </c>
      <c r="B40" s="21">
        <v>1688.242</v>
      </c>
      <c r="C40" s="45"/>
      <c r="D40" s="62">
        <v>30</v>
      </c>
      <c r="E40" s="62">
        <v>6.53437</v>
      </c>
      <c r="F40" s="56"/>
      <c r="H40" s="5" t="s">
        <v>116</v>
      </c>
      <c r="I40" s="10">
        <v>20.411999999999999</v>
      </c>
      <c r="J40" s="23"/>
      <c r="K40" s="23"/>
      <c r="L40" s="23">
        <v>0.89028600000000002</v>
      </c>
      <c r="M40" s="23">
        <v>0.96411800000000003</v>
      </c>
    </row>
    <row r="41" spans="1:13">
      <c r="A41" s="5" t="s">
        <v>69</v>
      </c>
      <c r="B41" s="10">
        <v>-1200.932</v>
      </c>
      <c r="C41" s="46"/>
      <c r="D41" s="67">
        <v>3.62547</v>
      </c>
      <c r="E41" s="67">
        <v>-61.6</v>
      </c>
      <c r="F41" s="57"/>
      <c r="H41" s="5" t="s">
        <v>108</v>
      </c>
      <c r="I41" s="10">
        <v>0</v>
      </c>
      <c r="J41" s="23">
        <v>0.13380300000000001</v>
      </c>
      <c r="K41" s="23">
        <v>0.495838</v>
      </c>
      <c r="L41" s="23"/>
      <c r="M41" s="23">
        <v>0</v>
      </c>
    </row>
    <row r="42" spans="1:13">
      <c r="A42" s="5" t="s">
        <v>15</v>
      </c>
      <c r="B42" s="10">
        <v>-452.32600000000002</v>
      </c>
      <c r="C42" s="46"/>
      <c r="D42" s="67">
        <v>32.200000000000003</v>
      </c>
      <c r="E42" s="67">
        <v>14.190028999999999</v>
      </c>
      <c r="F42" s="57"/>
      <c r="H42" s="24" t="s">
        <v>39</v>
      </c>
      <c r="I42" s="9">
        <f>(I26-I36-I9)</f>
        <v>-3585.0269999999991</v>
      </c>
      <c r="J42" s="9">
        <f>(J26-J36-J9)</f>
        <v>37.828887000000002</v>
      </c>
      <c r="K42" s="9">
        <f>(K26-K36-K9)</f>
        <v>42.748918999999994</v>
      </c>
      <c r="L42" s="9">
        <f>(L26-L36-L9)</f>
        <v>189.001361</v>
      </c>
      <c r="M42" s="9">
        <f>(M26-M36-M9)</f>
        <v>599.01720819999991</v>
      </c>
    </row>
    <row r="43" spans="1:13">
      <c r="A43" s="20" t="s">
        <v>16</v>
      </c>
      <c r="B43" s="21">
        <f>+B40+B41+B42</f>
        <v>34.983999999999924</v>
      </c>
      <c r="C43" s="45"/>
      <c r="D43" s="76">
        <v>1.4</v>
      </c>
      <c r="E43" s="76">
        <v>86.143000000000001</v>
      </c>
      <c r="F43" s="56"/>
      <c r="H43" s="5" t="s">
        <v>99</v>
      </c>
      <c r="I43" s="10">
        <v>0</v>
      </c>
      <c r="J43" s="23">
        <v>0</v>
      </c>
      <c r="K43" s="23">
        <v>0</v>
      </c>
      <c r="L43" s="23"/>
      <c r="M43" s="23"/>
    </row>
    <row r="44" spans="1:13">
      <c r="A44" s="20" t="s">
        <v>62</v>
      </c>
      <c r="B44" s="9">
        <f>+B39+B43</f>
        <v>100.90799999999993</v>
      </c>
      <c r="C44" s="9">
        <f>+C39+C43</f>
        <v>0</v>
      </c>
      <c r="D44" s="63">
        <f>+D39+D43</f>
        <v>3.4699999999999998</v>
      </c>
      <c r="E44" s="77">
        <f>+E39+E43</f>
        <v>89.711929999999995</v>
      </c>
      <c r="F44" s="56"/>
      <c r="H44" s="5" t="s">
        <v>100</v>
      </c>
      <c r="I44" s="10">
        <v>276.83100000000002</v>
      </c>
      <c r="J44" s="23">
        <v>2.068E-3</v>
      </c>
      <c r="K44" s="23">
        <v>1.75E-4</v>
      </c>
      <c r="L44" s="23">
        <v>0</v>
      </c>
      <c r="M44" s="23">
        <v>5.8999999999999998E-5</v>
      </c>
    </row>
    <row r="45" spans="1:13">
      <c r="C45" s="49"/>
      <c r="D45" s="49"/>
      <c r="E45" s="49"/>
      <c r="F45" s="49"/>
      <c r="H45" s="5" t="s">
        <v>101</v>
      </c>
      <c r="I45" s="10"/>
      <c r="J45" s="23">
        <v>0</v>
      </c>
      <c r="K45" s="72">
        <v>0</v>
      </c>
      <c r="L45" s="23">
        <v>0</v>
      </c>
      <c r="M45" s="23">
        <v>0</v>
      </c>
    </row>
    <row r="46" spans="1:13">
      <c r="A46" s="35" t="s">
        <v>17</v>
      </c>
      <c r="B46" s="17" t="s">
        <v>27</v>
      </c>
      <c r="C46" s="17" t="s">
        <v>28</v>
      </c>
      <c r="D46" s="17" t="s">
        <v>29</v>
      </c>
      <c r="E46" s="17" t="s">
        <v>72</v>
      </c>
      <c r="F46" s="17" t="s">
        <v>78</v>
      </c>
      <c r="H46" s="5"/>
      <c r="I46" s="10">
        <v>0</v>
      </c>
      <c r="J46" s="23"/>
      <c r="K46" s="23"/>
      <c r="L46" s="23"/>
      <c r="M46" s="23"/>
    </row>
    <row r="47" spans="1:13">
      <c r="A47" s="5" t="s">
        <v>18</v>
      </c>
      <c r="B47" s="36" t="e">
        <f>B21</f>
        <v>#REF!</v>
      </c>
      <c r="C47" s="13">
        <v>295.11599999999896</v>
      </c>
      <c r="D47" s="13">
        <f>D21</f>
        <v>1.9450000000000007</v>
      </c>
      <c r="E47" s="13">
        <f>E21</f>
        <v>11.265999999999998</v>
      </c>
      <c r="F47" s="13">
        <f>F21</f>
        <v>8.3630000000000049</v>
      </c>
      <c r="H47" s="20"/>
      <c r="I47" s="8"/>
      <c r="J47" s="8"/>
      <c r="K47" s="8"/>
      <c r="L47" s="8"/>
      <c r="M47" s="8"/>
    </row>
    <row r="48" spans="1:13">
      <c r="A48" s="5" t="s">
        <v>19</v>
      </c>
      <c r="B48" s="36">
        <f>B17</f>
        <v>365.72800000000001</v>
      </c>
      <c r="C48" s="13">
        <v>268.62599999999998</v>
      </c>
      <c r="D48" s="13">
        <f>D17</f>
        <v>8.9999999999999993E-3</v>
      </c>
      <c r="E48" s="13">
        <f>E17</f>
        <v>0</v>
      </c>
      <c r="F48" s="13">
        <f>F17</f>
        <v>0</v>
      </c>
      <c r="H48" s="24" t="s">
        <v>74</v>
      </c>
      <c r="I48" s="9">
        <f>SUM(I15:I25)+I26</f>
        <v>8052.86</v>
      </c>
      <c r="J48" s="9">
        <f>SUM(J15:J25)+J26</f>
        <v>41.922407</v>
      </c>
      <c r="K48" s="9">
        <f>SUM(K15:K25)+K26</f>
        <v>48.981560999999999</v>
      </c>
      <c r="L48" s="9">
        <f>SUM(L15:L25)+L26</f>
        <v>597.74107100000003</v>
      </c>
      <c r="M48" s="9">
        <f>SUM(M15:M25)+M26</f>
        <v>614.82621799999993</v>
      </c>
    </row>
    <row r="49" spans="1:13">
      <c r="A49" s="5" t="s">
        <v>20</v>
      </c>
      <c r="B49" s="36">
        <f>B20</f>
        <v>8.9009999999999998</v>
      </c>
      <c r="C49" s="13">
        <v>-597.6</v>
      </c>
      <c r="D49" s="13">
        <v>66.3</v>
      </c>
      <c r="E49" s="13">
        <v>20.100000000000023</v>
      </c>
      <c r="F49" s="13">
        <v>20.100000000000023</v>
      </c>
      <c r="H49" s="24" t="s">
        <v>75</v>
      </c>
      <c r="I49" s="9">
        <f>I46+I36+I10+I6+I43+I47+I44</f>
        <v>12124.262999999999</v>
      </c>
      <c r="J49" s="9">
        <f>J46+J36+J10+J6+J43+J47+J44</f>
        <v>41.922406999999993</v>
      </c>
      <c r="K49" s="9">
        <f>K46+K36+K10+K6+K43+K47+K44+K45</f>
        <v>48.958855</v>
      </c>
      <c r="L49" s="9">
        <f>L46+L36+L10+L6+L43+L47+L44+L45</f>
        <v>597.74101100000007</v>
      </c>
      <c r="M49" s="9">
        <f>M46+M36+M10+M6+M43+M47+M44+M45</f>
        <v>614.62597879999998</v>
      </c>
    </row>
    <row r="50" spans="1:13">
      <c r="A50" s="5" t="s">
        <v>21</v>
      </c>
      <c r="B50" s="36"/>
      <c r="C50" s="13">
        <v>2336.8000000000002</v>
      </c>
      <c r="D50" s="13">
        <v>592.5</v>
      </c>
      <c r="E50" s="13">
        <v>-977.7</v>
      </c>
      <c r="F50" s="13">
        <v>-977.7</v>
      </c>
      <c r="H50" s="18" t="s">
        <v>40</v>
      </c>
      <c r="L50" s="58"/>
    </row>
    <row r="51" spans="1:13">
      <c r="A51" s="5" t="s">
        <v>22</v>
      </c>
      <c r="B51" s="36">
        <f>-B22</f>
        <v>-6.3959999999999999</v>
      </c>
      <c r="C51" s="13">
        <v>-38.4</v>
      </c>
      <c r="D51" s="13">
        <v>-67.8</v>
      </c>
      <c r="E51" s="13">
        <v>-129</v>
      </c>
      <c r="F51" s="13">
        <v>-129</v>
      </c>
      <c r="H51" s="20" t="s">
        <v>41</v>
      </c>
      <c r="I51" s="4" t="s">
        <v>27</v>
      </c>
      <c r="J51" s="65" t="s">
        <v>28</v>
      </c>
      <c r="K51" s="84" t="s">
        <v>29</v>
      </c>
      <c r="L51" s="84" t="s">
        <v>72</v>
      </c>
      <c r="M51" s="75" t="s">
        <v>78</v>
      </c>
    </row>
    <row r="52" spans="1:13">
      <c r="A52" s="20" t="s">
        <v>23</v>
      </c>
      <c r="B52" s="42" t="e">
        <f>SUM(B47:B51)</f>
        <v>#REF!</v>
      </c>
      <c r="C52" s="9">
        <v>2264.541999999999</v>
      </c>
      <c r="D52" s="9">
        <f>SUM(D47:D51)</f>
        <v>592.95400000000006</v>
      </c>
      <c r="E52" s="9">
        <v>703.77900000000113</v>
      </c>
      <c r="F52" s="9">
        <v>703.77900000000113</v>
      </c>
      <c r="H52" s="37" t="s">
        <v>42</v>
      </c>
      <c r="I52" s="38">
        <v>84.05</v>
      </c>
      <c r="J52" s="66"/>
      <c r="K52" s="73">
        <v>1.54999995231628</v>
      </c>
      <c r="L52" s="73">
        <v>3.8599998950958301</v>
      </c>
      <c r="M52" s="73">
        <v>52.599998474121101</v>
      </c>
    </row>
    <row r="53" spans="1:13">
      <c r="A53" s="5" t="s">
        <v>24</v>
      </c>
      <c r="B53" s="36"/>
      <c r="C53" s="13">
        <v>-457</v>
      </c>
      <c r="D53" s="13">
        <v>-1032</v>
      </c>
      <c r="E53" s="13">
        <v>-657</v>
      </c>
      <c r="F53" s="13">
        <v>-657</v>
      </c>
      <c r="H53" s="30" t="s">
        <v>43</v>
      </c>
      <c r="I53" s="39">
        <f>B32</f>
        <v>5.22</v>
      </c>
      <c r="J53" s="50">
        <f>C32</f>
        <v>0.15</v>
      </c>
      <c r="K53" s="78">
        <f>D32</f>
        <v>0.38</v>
      </c>
      <c r="L53" s="78">
        <f>E32</f>
        <v>2.14</v>
      </c>
      <c r="M53" s="78">
        <f>F32</f>
        <v>0.35</v>
      </c>
    </row>
    <row r="54" spans="1:13">
      <c r="A54" s="24" t="s">
        <v>25</v>
      </c>
      <c r="B54" s="42" t="e">
        <f>SUM(B52:B53)</f>
        <v>#REF!</v>
      </c>
      <c r="C54" s="9">
        <v>1807.541999999999</v>
      </c>
      <c r="D54" s="9">
        <f>SUM(D52:D53)</f>
        <v>-439.04599999999994</v>
      </c>
      <c r="E54" s="9">
        <v>46.779000000001098</v>
      </c>
      <c r="F54" s="9">
        <v>46.779000000001098</v>
      </c>
      <c r="H54" s="40" t="s">
        <v>44</v>
      </c>
      <c r="I54" s="41">
        <v>0</v>
      </c>
      <c r="J54" s="51">
        <f>(J6*1000000)/C57</f>
        <v>1.5736455031498926</v>
      </c>
      <c r="K54" s="79">
        <f>(K6*1000000)/D57</f>
        <v>12.023820391061452</v>
      </c>
      <c r="L54" s="79">
        <f>(L6*1000000)/E57</f>
        <v>33.951691842555618</v>
      </c>
      <c r="M54" s="79">
        <f>(M6*1000000)/F57</f>
        <v>34.159549914432404</v>
      </c>
    </row>
    <row r="55" spans="1:13">
      <c r="A55" s="2" t="s">
        <v>26</v>
      </c>
      <c r="C55" s="49"/>
      <c r="D55" s="49"/>
      <c r="E55" s="49"/>
      <c r="F55" s="49"/>
      <c r="H55" s="1" t="s">
        <v>45</v>
      </c>
      <c r="I55" s="7"/>
      <c r="J55" s="52">
        <v>0</v>
      </c>
      <c r="K55" s="74">
        <v>0</v>
      </c>
      <c r="L55" s="74">
        <v>0</v>
      </c>
      <c r="M55" s="74">
        <v>0</v>
      </c>
    </row>
    <row r="56" spans="1:13">
      <c r="C56" s="49"/>
      <c r="D56" s="49"/>
      <c r="E56" s="49"/>
      <c r="F56" s="49"/>
      <c r="H56" s="1" t="s">
        <v>46</v>
      </c>
      <c r="I56" s="41">
        <f>(I52/I53)</f>
        <v>16.101532567049809</v>
      </c>
      <c r="J56" s="51">
        <f>(J52/J53)</f>
        <v>0</v>
      </c>
      <c r="K56" s="79">
        <f>(K52/K53)</f>
        <v>4.0789472429375788</v>
      </c>
      <c r="L56" s="79">
        <f>(L52/L53)</f>
        <v>1.803738268736369</v>
      </c>
      <c r="M56" s="79">
        <f>(M52/M53)</f>
        <v>150.28570992606029</v>
      </c>
    </row>
    <row r="57" spans="1:13" ht="12.75">
      <c r="A57" s="5" t="s">
        <v>63</v>
      </c>
      <c r="B57" s="14"/>
      <c r="C57" s="60">
        <v>26549951</v>
      </c>
      <c r="D57" s="59">
        <v>3580000</v>
      </c>
      <c r="E57" s="83">
        <v>17530000</v>
      </c>
      <c r="F57" s="83">
        <v>17530000</v>
      </c>
      <c r="H57" s="1" t="s">
        <v>47</v>
      </c>
      <c r="I57" s="41">
        <v>0</v>
      </c>
      <c r="J57" s="51">
        <f>(J52/J54)</f>
        <v>0</v>
      </c>
      <c r="K57" s="79">
        <f>(K52/K54)</f>
        <v>0.12891077061235504</v>
      </c>
      <c r="L57" s="79">
        <f>(L52/L54)</f>
        <v>0.11369094397403907</v>
      </c>
      <c r="M57" s="79">
        <f>(M52/M54)</f>
        <v>1.539832890242433</v>
      </c>
    </row>
    <row r="58" spans="1:13">
      <c r="A58" s="5" t="s">
        <v>64</v>
      </c>
      <c r="B58" s="13">
        <f>B57*I52/1000000</f>
        <v>0</v>
      </c>
      <c r="C58" s="13">
        <f>C57*J52/1000000</f>
        <v>0</v>
      </c>
      <c r="D58" s="13">
        <f>D57*K52/1000000</f>
        <v>5.5489998292922822</v>
      </c>
      <c r="E58" s="13">
        <f>E57*L52/1000000</f>
        <v>67.665798161029912</v>
      </c>
      <c r="F58" s="13">
        <f>F57*M52/1000000</f>
        <v>922.07797325134288</v>
      </c>
      <c r="H58" s="1" t="s">
        <v>48</v>
      </c>
      <c r="I58" s="41" t="e">
        <f>B61/B13</f>
        <v>#REF!</v>
      </c>
      <c r="J58" s="51">
        <f>C61/C13</f>
        <v>19.073986928104738</v>
      </c>
      <c r="K58" s="79">
        <f>D61/D13</f>
        <v>50.812399363067868</v>
      </c>
      <c r="L58" s="79">
        <f>E61/E13</f>
        <v>30.256012427027645</v>
      </c>
      <c r="M58" s="79">
        <f>F61/F13</f>
        <v>-254.42479696303553</v>
      </c>
    </row>
    <row r="59" spans="1:13">
      <c r="A59" s="5" t="s">
        <v>67</v>
      </c>
      <c r="B59" s="13">
        <f>I10</f>
        <v>6608.0550000000003</v>
      </c>
      <c r="C59" s="13">
        <f>J10</f>
        <v>0</v>
      </c>
      <c r="D59" s="13">
        <f>K10</f>
        <v>0</v>
      </c>
      <c r="E59" s="13">
        <f>L10</f>
        <v>0</v>
      </c>
      <c r="F59" s="13">
        <f>M10</f>
        <v>0</v>
      </c>
      <c r="H59" s="43" t="s">
        <v>49</v>
      </c>
      <c r="I59" s="32" t="e">
        <f>(B29/I6)</f>
        <v>#REF!</v>
      </c>
      <c r="J59" s="47">
        <f>(C29/J6)</f>
        <v>1.2685431387601242E-2</v>
      </c>
      <c r="K59" s="64">
        <f>(D29/K6)</f>
        <v>3.1524945233829038E-2</v>
      </c>
      <c r="L59" s="64">
        <f>(E29/L6)</f>
        <v>1.3572520688172562E-2</v>
      </c>
      <c r="M59" s="64">
        <f>(F29/M6)</f>
        <v>9.6373363938570232E-3</v>
      </c>
    </row>
    <row r="60" spans="1:13">
      <c r="A60" s="5" t="s">
        <v>65</v>
      </c>
      <c r="B60" s="13">
        <f>I32</f>
        <v>0</v>
      </c>
      <c r="C60" s="13">
        <f>J32+J31</f>
        <v>5.8366400000000001</v>
      </c>
      <c r="D60" s="13">
        <f>K32+K31</f>
        <v>39.796557</v>
      </c>
      <c r="E60" s="13">
        <f>L32+L31</f>
        <v>191.44314500000002</v>
      </c>
      <c r="F60" s="13">
        <f>M32+M31</f>
        <v>105.374375</v>
      </c>
      <c r="H60" s="43" t="s">
        <v>50</v>
      </c>
      <c r="I60" s="32" t="e">
        <f>(B13-B17)/I11</f>
        <v>#REF!</v>
      </c>
      <c r="J60" s="47">
        <f>(C13-C17)/J11</f>
        <v>-7.3236790171258351E-3</v>
      </c>
      <c r="K60" s="64">
        <f>(D13-D17)/K11</f>
        <v>-1.5866949195933629E-2</v>
      </c>
      <c r="L60" s="64">
        <f>(E13-E17)/L11</f>
        <v>-6.8736298756268844E-3</v>
      </c>
      <c r="M60" s="64">
        <f>(F13-F17)/M11</f>
        <v>-5.3605695332257621E-3</v>
      </c>
    </row>
    <row r="61" spans="1:13">
      <c r="A61" s="5" t="s">
        <v>66</v>
      </c>
      <c r="B61" s="9">
        <f>B58+B59-B60</f>
        <v>6608.0550000000003</v>
      </c>
      <c r="C61" s="9">
        <f>C58+C59-C60</f>
        <v>-5.8366400000000001</v>
      </c>
      <c r="D61" s="9">
        <f>D58+D59-D60</f>
        <v>-34.247557170707715</v>
      </c>
      <c r="E61" s="9">
        <f>E58+E59-E60</f>
        <v>-123.7773468389701</v>
      </c>
      <c r="F61" s="9">
        <f>F58+F59-F60</f>
        <v>816.7035982513429</v>
      </c>
      <c r="H61" s="1" t="s">
        <v>51</v>
      </c>
      <c r="I61" s="44">
        <f>(I10/I6)</f>
        <v>3.6768162196990692</v>
      </c>
      <c r="J61" s="53">
        <f>(J10/J6)</f>
        <v>0</v>
      </c>
      <c r="K61" s="80">
        <f>(K10/K6)</f>
        <v>0</v>
      </c>
      <c r="L61" s="80">
        <f>(L10/L6)</f>
        <v>0</v>
      </c>
      <c r="M61" s="80">
        <f>(M10/M6)</f>
        <v>0</v>
      </c>
    </row>
    <row r="62" spans="1:13">
      <c r="C62" s="49"/>
      <c r="D62" s="49"/>
      <c r="E62" s="49"/>
      <c r="F62" s="49"/>
      <c r="H62" s="1" t="s">
        <v>52</v>
      </c>
      <c r="I62" s="44">
        <f>(I10-I32-I31)/I6</f>
        <v>3.6206695666979369</v>
      </c>
      <c r="J62" s="53">
        <f>(J10-J32-J31)/J6</f>
        <v>-0.13969867217760104</v>
      </c>
      <c r="K62" s="80">
        <f>(K10-K32-K31)/K6</f>
        <v>-0.9245278407663633</v>
      </c>
      <c r="L62" s="80">
        <f>(L10-L32-L31)/L6</f>
        <v>-0.32165957490979458</v>
      </c>
      <c r="M62" s="80">
        <f>(M10-M32-M31)/M6</f>
        <v>-0.17597094076718708</v>
      </c>
    </row>
    <row r="63" spans="1:13" ht="12.75">
      <c r="C63" s="49"/>
      <c r="D63" s="49"/>
      <c r="E63" s="59"/>
      <c r="F63" s="49"/>
      <c r="H63" s="1" t="s">
        <v>53</v>
      </c>
      <c r="I63" s="6">
        <f>(I55/I52)</f>
        <v>0</v>
      </c>
      <c r="J63" s="54" t="e">
        <f>(J55/J52)</f>
        <v>#DIV/0!</v>
      </c>
      <c r="K63" s="81">
        <f>(K55/K52)</f>
        <v>0</v>
      </c>
      <c r="L63" s="81">
        <f>(L55/L52)</f>
        <v>0</v>
      </c>
      <c r="M63" s="81">
        <f>(M55/M52)</f>
        <v>0</v>
      </c>
    </row>
    <row r="64" spans="1:13">
      <c r="C64" s="49"/>
      <c r="D64" s="49"/>
      <c r="E64" s="49"/>
      <c r="F64" s="49"/>
      <c r="H64" s="1" t="s">
        <v>54</v>
      </c>
      <c r="I64" s="15" t="e">
        <f>(AVERAGE(#REF!)/#REF!*365)</f>
        <v>#REF!</v>
      </c>
      <c r="J64" s="55" t="e">
        <f>(AVERAGE(#REF!)/#REF!*365)</f>
        <v>#REF!</v>
      </c>
      <c r="K64" s="82">
        <f>(AVERAGE(K30)/D4*365)</f>
        <v>93.509270864270846</v>
      </c>
      <c r="L64" s="82" t="s">
        <v>119</v>
      </c>
      <c r="M64" s="82">
        <f>(AVERAGE(M30)/F4*365)</f>
        <v>436.65167510998526</v>
      </c>
    </row>
    <row r="65" spans="3:13">
      <c r="C65" s="49"/>
      <c r="D65" s="49"/>
      <c r="E65" s="49"/>
      <c r="F65" s="49"/>
      <c r="H65" s="1" t="s">
        <v>55</v>
      </c>
      <c r="I65" s="15">
        <f>AVERAGE(I38)/(B8+B9+B11)*365</f>
        <v>80.213484286698034</v>
      </c>
      <c r="J65" s="55">
        <f>AVERAGE(J38:J38)/(C8+C9+C11)*365</f>
        <v>0</v>
      </c>
      <c r="K65" s="82">
        <f>AVERAGE(J38:K38)/(D8+D9+D11)*365</f>
        <v>35.224112455021547</v>
      </c>
      <c r="L65" s="82" t="s">
        <v>119</v>
      </c>
      <c r="M65" s="82">
        <f>AVERAGE(L38:M38)/(F8+F9+F10)*365</f>
        <v>198.33722993095981</v>
      </c>
    </row>
    <row r="66" spans="3:13">
      <c r="C66" s="49"/>
      <c r="D66" s="49"/>
      <c r="E66" s="49"/>
      <c r="F66" s="49"/>
      <c r="H66" s="1" t="s">
        <v>56</v>
      </c>
      <c r="I66" s="15">
        <f>(AVERAGE(I27:I27)/(B8+B9+B11)*365)</f>
        <v>100.03740388121476</v>
      </c>
      <c r="J66" s="55">
        <f>(AVERAGE(J27:J27)/(C8+C9+C11)*365)</f>
        <v>106.17147257876313</v>
      </c>
      <c r="K66" s="82">
        <f>(AVERAGE(J27:K27)/(D8+D9+D11)*365)</f>
        <v>32.416171577184791</v>
      </c>
      <c r="L66" s="82">
        <f>(AVERAGE(K27:L27)/(E8+E9+E11)*365)</f>
        <v>0</v>
      </c>
      <c r="M66" s="82">
        <f>(AVERAGE(L27:M27)/(F8+F9+F11)*365)</f>
        <v>0</v>
      </c>
    </row>
    <row r="67" spans="3:13">
      <c r="H67" s="1" t="s">
        <v>71</v>
      </c>
      <c r="I67" s="15" t="e">
        <f>(I66+I64-I65)</f>
        <v>#REF!</v>
      </c>
      <c r="J67" s="55" t="e">
        <f>(J66+J64-J65)</f>
        <v>#REF!</v>
      </c>
      <c r="K67" s="82">
        <f>(K66+K64-K65)</f>
        <v>90.701329986434075</v>
      </c>
      <c r="L67" s="82" t="e">
        <f>(L66+L64-L65)</f>
        <v>#VALUE!</v>
      </c>
      <c r="M67" s="82">
        <f>(M66+M64-M65)</f>
        <v>238.31444517902545</v>
      </c>
    </row>
    <row r="68" spans="3:13">
      <c r="H68" s="1" t="s">
        <v>57</v>
      </c>
      <c r="I68" s="15" t="e">
        <f>AVERAGE(I42:I42)/#REF!*365</f>
        <v>#REF!</v>
      </c>
      <c r="J68" s="55" t="e">
        <f>AVERAGE(J42:J42)/#REF!*365</f>
        <v>#REF!</v>
      </c>
      <c r="K68" s="82">
        <f>+K26/D4*365</f>
        <v>527.52442916542907</v>
      </c>
      <c r="L68" s="82" t="e">
        <f>+L26/E4*365</f>
        <v>#DIV/0!</v>
      </c>
      <c r="M68" s="82">
        <f>+M26/F4*365</f>
        <v>14958.776801093185</v>
      </c>
    </row>
    <row r="69" spans="3:13">
      <c r="H69" s="5" t="s">
        <v>73</v>
      </c>
      <c r="I69" s="6">
        <f>B18/I10</f>
        <v>0.1214001699441061</v>
      </c>
      <c r="J69" s="54" t="e">
        <f>C18/J10</f>
        <v>#DIV/0!</v>
      </c>
      <c r="K69" s="81" t="s">
        <v>119</v>
      </c>
      <c r="L69" s="81" t="s">
        <v>119</v>
      </c>
      <c r="M69" s="81" t="s">
        <v>119</v>
      </c>
    </row>
    <row r="70" spans="3:13">
      <c r="L70" s="58"/>
    </row>
    <row r="71" spans="3:13">
      <c r="L71" s="58"/>
    </row>
    <row r="72" spans="3:13">
      <c r="L72" s="58"/>
    </row>
    <row r="84" spans="12:12">
      <c r="L84" s="2"/>
    </row>
    <row r="85" spans="12:12">
      <c r="L85" s="2"/>
    </row>
    <row r="86" spans="12:12">
      <c r="L86" s="2"/>
    </row>
    <row r="87" spans="12:12">
      <c r="L87" s="2"/>
    </row>
  </sheetData>
  <mergeCells count="3">
    <mergeCell ref="A1:M1"/>
    <mergeCell ref="A2:F2"/>
    <mergeCell ref="H2:M2"/>
  </mergeCells>
  <pageMargins left="0.7" right="0.7" top="0.75" bottom="0.75" header="0.3" footer="0.3"/>
  <pageSetup paperSize="9" scale="4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sheet- CONSOLIDATED</vt:lpstr>
      <vt:lpstr>Standalone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cp:lastPrinted>2021-07-01T14:58:27Z</cp:lastPrinted>
  <dcterms:created xsi:type="dcterms:W3CDTF">2017-09-19T08:05:47Z</dcterms:created>
  <dcterms:modified xsi:type="dcterms:W3CDTF">2025-02-20T12:20:01Z</dcterms:modified>
</cp:coreProperties>
</file>