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42a0939aee27bb1/Desktop/Amir/Q3FY25 SS/"/>
    </mc:Choice>
  </mc:AlternateContent>
  <xr:revisionPtr revIDLastSave="0" documentId="8_{39BF537A-95D8-416F-A13B-B06BD857176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xcluding Other Income" sheetId="3" r:id="rId1"/>
  </sheets>
  <definedNames>
    <definedName name="_xlnm.Print_Area" localSheetId="0">'Excluding Other Income'!$A$1:$AB$65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65" i="3" l="1"/>
  <c r="AC49" i="3"/>
  <c r="AD49" i="3"/>
  <c r="AD48" i="3"/>
  <c r="AD51" i="3" s="1"/>
  <c r="N28" i="3"/>
  <c r="N23" i="3"/>
  <c r="N12" i="3"/>
  <c r="N7" i="3" s="1"/>
  <c r="AD10" i="3"/>
  <c r="AD40" i="3"/>
  <c r="AD36" i="3"/>
  <c r="V14" i="3"/>
  <c r="W14" i="3"/>
  <c r="X14" i="3"/>
  <c r="Y14" i="3"/>
  <c r="Z14" i="3"/>
  <c r="AA14" i="3"/>
  <c r="AC14" i="3"/>
  <c r="U14" i="3"/>
  <c r="N53" i="3"/>
  <c r="J47" i="3"/>
  <c r="K47" i="3"/>
  <c r="L47" i="3"/>
  <c r="M47" i="3"/>
  <c r="N47" i="3"/>
  <c r="M42" i="3"/>
  <c r="N42" i="3"/>
  <c r="AD31" i="3"/>
  <c r="AD30" i="3" s="1"/>
  <c r="AD43" i="3" s="1"/>
  <c r="AD25" i="3"/>
  <c r="N54" i="3" s="1"/>
  <c r="AD18" i="3"/>
  <c r="AD14" i="3" s="1"/>
  <c r="AD6" i="3"/>
  <c r="AD11" i="3" s="1"/>
  <c r="N46" i="3"/>
  <c r="N52" i="3"/>
  <c r="O12" i="3"/>
  <c r="AD52" i="3" l="1"/>
  <c r="N55" i="3"/>
  <c r="AD22" i="3"/>
  <c r="AD42" i="3" s="1"/>
  <c r="AD12" i="3" s="1"/>
  <c r="N48" i="3"/>
  <c r="N13" i="3"/>
  <c r="K6" i="3"/>
  <c r="J6" i="3"/>
  <c r="I6" i="3"/>
  <c r="H6" i="3"/>
  <c r="AD37" i="3" l="1"/>
  <c r="N16" i="3"/>
  <c r="N22" i="3"/>
  <c r="AC58" i="3"/>
  <c r="AC48" i="3"/>
  <c r="AC51" i="3" s="1"/>
  <c r="M46" i="3"/>
  <c r="M48" i="3" s="1"/>
  <c r="AC22" i="3"/>
  <c r="AC42" i="3" s="1"/>
  <c r="AC10" i="3"/>
  <c r="AC6" i="3"/>
  <c r="M34" i="3"/>
  <c r="M54" i="3"/>
  <c r="M52" i="3"/>
  <c r="N24" i="3" l="1"/>
  <c r="N25" i="3"/>
  <c r="N26" i="3" s="1"/>
  <c r="AC52" i="3"/>
  <c r="AC11" i="3"/>
  <c r="AC56" i="3"/>
  <c r="AC57" i="3"/>
  <c r="M23" i="3"/>
  <c r="M33" i="3"/>
  <c r="AB48" i="3"/>
  <c r="Z48" i="3"/>
  <c r="AA48" i="3"/>
  <c r="AC30" i="3"/>
  <c r="AC43" i="3" s="1"/>
  <c r="M53" i="3"/>
  <c r="M55" i="3" s="1"/>
  <c r="M28" i="3"/>
  <c r="N29" i="3" l="1"/>
  <c r="AC12" i="3"/>
  <c r="M12" i="3"/>
  <c r="L12" i="3"/>
  <c r="M21" i="3"/>
  <c r="M19" i="3"/>
  <c r="AC64" i="3" s="1"/>
  <c r="M18" i="3"/>
  <c r="M17" i="3"/>
  <c r="M11" i="3"/>
  <c r="M10" i="3"/>
  <c r="M8" i="3"/>
  <c r="M9" i="3"/>
  <c r="M4" i="3"/>
  <c r="M6" i="3" s="1"/>
  <c r="M7" i="3" l="1"/>
  <c r="M13" i="3" s="1"/>
  <c r="AC59" i="3"/>
  <c r="AC60" i="3"/>
  <c r="AC61" i="3"/>
  <c r="L34" i="3"/>
  <c r="K34" i="3"/>
  <c r="J34" i="3"/>
  <c r="I34" i="3"/>
  <c r="H34" i="3"/>
  <c r="L33" i="3"/>
  <c r="AB58" i="3"/>
  <c r="AB15" i="3"/>
  <c r="AB14" i="3" s="1"/>
  <c r="AB20" i="3"/>
  <c r="AB19" i="3"/>
  <c r="AB17" i="3"/>
  <c r="AB16" i="3"/>
  <c r="AB8" i="3"/>
  <c r="AB10" i="3" s="1"/>
  <c r="L41" i="3"/>
  <c r="L39" i="3"/>
  <c r="L40" i="3"/>
  <c r="L28" i="3"/>
  <c r="L21" i="3"/>
  <c r="L23" i="3"/>
  <c r="L19" i="3"/>
  <c r="L18" i="3"/>
  <c r="L17" i="3"/>
  <c r="L11" i="3"/>
  <c r="L10" i="3"/>
  <c r="L9" i="3"/>
  <c r="L8" i="3"/>
  <c r="L4" i="3"/>
  <c r="L6" i="3" s="1"/>
  <c r="M22" i="3" l="1"/>
  <c r="AC62" i="3"/>
  <c r="M5" i="3"/>
  <c r="AC65" i="3"/>
  <c r="AC53" i="3"/>
  <c r="M16" i="3"/>
  <c r="AC37" i="3"/>
  <c r="L5" i="3"/>
  <c r="AB59" i="3"/>
  <c r="AB61" i="3"/>
  <c r="AB60" i="3"/>
  <c r="AB51" i="3"/>
  <c r="M25" i="3" l="1"/>
  <c r="M26" i="3" s="1"/>
  <c r="AC55" i="3"/>
  <c r="M24" i="3"/>
  <c r="AB62" i="3"/>
  <c r="L54" i="3"/>
  <c r="L52" i="3"/>
  <c r="AC54" i="3" l="1"/>
  <c r="AB30" i="3"/>
  <c r="AB22" i="3"/>
  <c r="AB6" i="3"/>
  <c r="L46" i="3"/>
  <c r="L48" i="3" s="1"/>
  <c r="L42" i="3"/>
  <c r="L43" i="3" s="1"/>
  <c r="M38" i="3" s="1"/>
  <c r="M43" i="3" s="1"/>
  <c r="N38" i="3" s="1"/>
  <c r="N43" i="3" s="1"/>
  <c r="M29" i="3" l="1"/>
  <c r="AB49" i="3"/>
  <c r="AB52" i="3" s="1"/>
  <c r="AB11" i="3"/>
  <c r="L53" i="3"/>
  <c r="L55" i="3" s="1"/>
  <c r="AB57" i="3"/>
  <c r="AB56" i="3"/>
  <c r="AB64" i="3"/>
  <c r="AB37" i="3"/>
  <c r="AC63" i="3" s="1"/>
  <c r="AB43" i="3"/>
  <c r="AB42" i="3"/>
  <c r="AB12" i="3" s="1"/>
  <c r="K7" i="3"/>
  <c r="K5" i="3"/>
  <c r="L7" i="3" l="1"/>
  <c r="L13" i="3" s="1"/>
  <c r="M14" i="3" l="1"/>
  <c r="AB65" i="3"/>
  <c r="L22" i="3"/>
  <c r="AB53" i="3"/>
  <c r="L16" i="3"/>
  <c r="L25" i="3" l="1"/>
  <c r="L29" i="3" s="1"/>
  <c r="M30" i="3" s="1"/>
  <c r="AB55" i="3"/>
  <c r="L24" i="3"/>
  <c r="G46" i="3"/>
  <c r="G48" i="3" s="1"/>
  <c r="H46" i="3"/>
  <c r="H48" i="3" s="1"/>
  <c r="I46" i="3"/>
  <c r="I48" i="3" s="1"/>
  <c r="J46" i="3"/>
  <c r="J48" i="3" s="1"/>
  <c r="K46" i="3"/>
  <c r="K48" i="3" s="1"/>
  <c r="F46" i="3"/>
  <c r="F48" i="3" s="1"/>
  <c r="L26" i="3" l="1"/>
  <c r="AB54" i="3"/>
  <c r="AA51" i="3"/>
  <c r="K33" i="3"/>
  <c r="V60" i="3" l="1"/>
  <c r="U60" i="3"/>
  <c r="T60" i="3"/>
  <c r="S60" i="3"/>
  <c r="F42" i="3" l="1"/>
  <c r="G42" i="3"/>
  <c r="E42" i="3"/>
  <c r="S48" i="3" l="1"/>
  <c r="E43" i="3"/>
  <c r="F43" i="3"/>
  <c r="D42" i="3"/>
  <c r="D43" i="3" s="1"/>
  <c r="C5" i="3"/>
  <c r="B7" i="3"/>
  <c r="B13" i="3" s="1"/>
  <c r="B22" i="3" s="1"/>
  <c r="C7" i="3"/>
  <c r="C13" i="3" s="1"/>
  <c r="C33" i="3"/>
  <c r="B42" i="3"/>
  <c r="B43" i="3" s="1"/>
  <c r="C42" i="3"/>
  <c r="C43" i="3" s="1"/>
  <c r="B52" i="3"/>
  <c r="C52" i="3"/>
  <c r="B54" i="3"/>
  <c r="C54" i="3"/>
  <c r="X22" i="3"/>
  <c r="X42" i="3" s="1"/>
  <c r="S22" i="3"/>
  <c r="S42" i="3" s="1"/>
  <c r="B25" i="3" l="1"/>
  <c r="B24" i="3"/>
  <c r="C14" i="3"/>
  <c r="C22" i="3"/>
  <c r="C16" i="3"/>
  <c r="B16" i="3"/>
  <c r="C25" i="3" l="1"/>
  <c r="C24" i="3"/>
  <c r="B29" i="3"/>
  <c r="B26" i="3"/>
  <c r="C26" i="3" l="1"/>
  <c r="C29" i="3"/>
  <c r="C30" i="3" s="1"/>
  <c r="AA10" i="3" l="1"/>
  <c r="K53" i="3" s="1"/>
  <c r="K54" i="3"/>
  <c r="K52" i="3"/>
  <c r="K42" i="3"/>
  <c r="K43" i="3" s="1"/>
  <c r="AA61" i="3"/>
  <c r="AA59" i="3"/>
  <c r="AA58" i="3"/>
  <c r="AA22" i="3"/>
  <c r="AA42" i="3" s="1"/>
  <c r="AA6" i="3"/>
  <c r="AA49" i="3" l="1"/>
  <c r="K55" i="3"/>
  <c r="AA11" i="3"/>
  <c r="AA57" i="3"/>
  <c r="AA30" i="3"/>
  <c r="AA43" i="3" s="1"/>
  <c r="AA56" i="3"/>
  <c r="AA64" i="3"/>
  <c r="J54" i="3"/>
  <c r="AA52" i="3" l="1"/>
  <c r="AA12" i="3"/>
  <c r="AA37" i="3"/>
  <c r="AB63" i="3" s="1"/>
  <c r="J52" i="3" l="1"/>
  <c r="J33" i="3"/>
  <c r="I33" i="3"/>
  <c r="K13" i="3" l="1"/>
  <c r="J5" i="3"/>
  <c r="L14" i="3" l="1"/>
  <c r="AA65" i="3"/>
  <c r="AA53" i="3"/>
  <c r="K22" i="3"/>
  <c r="K16" i="3"/>
  <c r="AA55" i="3" l="1"/>
  <c r="K25" i="3"/>
  <c r="K24" i="3"/>
  <c r="AA54" i="3" l="1"/>
  <c r="K29" i="3"/>
  <c r="K26" i="3"/>
  <c r="L30" i="3" l="1"/>
  <c r="J42" i="3"/>
  <c r="Z58" i="3" l="1"/>
  <c r="Y58" i="3"/>
  <c r="Z51" i="3"/>
  <c r="V61" i="3" l="1"/>
  <c r="U61" i="3"/>
  <c r="T61" i="3"/>
  <c r="F54" i="3"/>
  <c r="E54" i="3"/>
  <c r="D54" i="3"/>
  <c r="R60" i="3"/>
  <c r="Z59" i="3"/>
  <c r="Y59" i="3"/>
  <c r="X59" i="3"/>
  <c r="V59" i="3"/>
  <c r="U59" i="3"/>
  <c r="T59" i="3"/>
  <c r="S59" i="3"/>
  <c r="R59" i="3"/>
  <c r="I52" i="3"/>
  <c r="H52" i="3"/>
  <c r="G52" i="3"/>
  <c r="F52" i="3"/>
  <c r="E52" i="3"/>
  <c r="D52" i="3"/>
  <c r="X58" i="3"/>
  <c r="V58" i="3"/>
  <c r="U58" i="3"/>
  <c r="Y48" i="3"/>
  <c r="Y51" i="3" s="1"/>
  <c r="X48" i="3"/>
  <c r="X51" i="3" s="1"/>
  <c r="W48" i="3"/>
  <c r="V48" i="3"/>
  <c r="V51" i="3" s="1"/>
  <c r="U48" i="3"/>
  <c r="U51" i="3" s="1"/>
  <c r="T48" i="3"/>
  <c r="T51" i="3" s="1"/>
  <c r="S51" i="3"/>
  <c r="R48" i="3"/>
  <c r="R51" i="3" s="1"/>
  <c r="Q48" i="3"/>
  <c r="Q51" i="3" s="1"/>
  <c r="I42" i="3"/>
  <c r="H42" i="3"/>
  <c r="H43" i="3" s="1"/>
  <c r="H33" i="3"/>
  <c r="G33" i="3"/>
  <c r="F33" i="3"/>
  <c r="E33" i="3"/>
  <c r="D33" i="3"/>
  <c r="AA60" i="3"/>
  <c r="AA62" i="3" s="1"/>
  <c r="Y30" i="3"/>
  <c r="X30" i="3"/>
  <c r="W30" i="3"/>
  <c r="V30" i="3"/>
  <c r="U30" i="3"/>
  <c r="T30" i="3"/>
  <c r="S30" i="3"/>
  <c r="R30" i="3"/>
  <c r="Q30" i="3"/>
  <c r="H28" i="3"/>
  <c r="I54" i="3"/>
  <c r="G54" i="3"/>
  <c r="Z22" i="3"/>
  <c r="Z42" i="3" s="1"/>
  <c r="Y22" i="3"/>
  <c r="Y42" i="3" s="1"/>
  <c r="W22" i="3"/>
  <c r="W42" i="3" s="1"/>
  <c r="U22" i="3"/>
  <c r="U42" i="3" s="1"/>
  <c r="T22" i="3"/>
  <c r="T42" i="3" s="1"/>
  <c r="R22" i="3"/>
  <c r="Q22" i="3"/>
  <c r="Q42" i="3" s="1"/>
  <c r="Z10" i="3"/>
  <c r="Y10" i="3"/>
  <c r="X10" i="3"/>
  <c r="W10" i="3"/>
  <c r="V10" i="3"/>
  <c r="U10" i="3"/>
  <c r="T10" i="3"/>
  <c r="S10" i="3"/>
  <c r="R10" i="3"/>
  <c r="C53" i="3" s="1"/>
  <c r="C55" i="3" s="1"/>
  <c r="Q10" i="3"/>
  <c r="B53" i="3" s="1"/>
  <c r="B55" i="3" s="1"/>
  <c r="J7" i="3"/>
  <c r="J13" i="3" s="1"/>
  <c r="H7" i="3"/>
  <c r="H13" i="3" s="1"/>
  <c r="I7" i="3"/>
  <c r="I13" i="3" s="1"/>
  <c r="G7" i="3"/>
  <c r="F7" i="3"/>
  <c r="E7" i="3"/>
  <c r="E13" i="3" s="1"/>
  <c r="D7" i="3"/>
  <c r="D13" i="3" s="1"/>
  <c r="Z6" i="3"/>
  <c r="Y6" i="3"/>
  <c r="Y11" i="3" s="1"/>
  <c r="X6" i="3"/>
  <c r="W6" i="3"/>
  <c r="W49" i="3" s="1"/>
  <c r="V6" i="3"/>
  <c r="V11" i="3" s="1"/>
  <c r="U6" i="3"/>
  <c r="U49" i="3" s="1"/>
  <c r="U52" i="3" s="1"/>
  <c r="T6" i="3"/>
  <c r="T49" i="3" s="1"/>
  <c r="T52" i="3" s="1"/>
  <c r="S6" i="3"/>
  <c r="S49" i="3" s="1"/>
  <c r="R6" i="3"/>
  <c r="R49" i="3" s="1"/>
  <c r="Q6" i="3"/>
  <c r="Q49" i="3" s="1"/>
  <c r="G6" i="3"/>
  <c r="I5" i="3"/>
  <c r="H5" i="3"/>
  <c r="G5" i="3"/>
  <c r="F5" i="3"/>
  <c r="E5" i="3"/>
  <c r="D5" i="3"/>
  <c r="I15" i="3" l="1"/>
  <c r="V65" i="3"/>
  <c r="H15" i="3"/>
  <c r="M15" i="3"/>
  <c r="J15" i="3"/>
  <c r="K14" i="3"/>
  <c r="U43" i="3"/>
  <c r="S43" i="3"/>
  <c r="T43" i="3"/>
  <c r="W60" i="3"/>
  <c r="W37" i="3"/>
  <c r="Z30" i="3"/>
  <c r="Z43" i="3" s="1"/>
  <c r="R37" i="3"/>
  <c r="W61" i="3"/>
  <c r="W62" i="3" s="1"/>
  <c r="T12" i="3"/>
  <c r="Q12" i="3"/>
  <c r="Y12" i="3"/>
  <c r="J14" i="3"/>
  <c r="S37" i="3"/>
  <c r="U12" i="3"/>
  <c r="V22" i="3"/>
  <c r="V42" i="3" s="1"/>
  <c r="Z61" i="3"/>
  <c r="I43" i="3"/>
  <c r="R61" i="3"/>
  <c r="S61" i="3"/>
  <c r="Y65" i="3"/>
  <c r="I22" i="3"/>
  <c r="I14" i="3"/>
  <c r="I16" i="3"/>
  <c r="D16" i="3"/>
  <c r="D22" i="3"/>
  <c r="D14" i="3"/>
  <c r="Z65" i="3"/>
  <c r="J16" i="3"/>
  <c r="J22" i="3"/>
  <c r="J24" i="3" s="1"/>
  <c r="E22" i="3"/>
  <c r="E16" i="3"/>
  <c r="E14" i="3"/>
  <c r="X65" i="3"/>
  <c r="H22" i="3"/>
  <c r="H24" i="3" s="1"/>
  <c r="H16" i="3"/>
  <c r="Z49" i="3"/>
  <c r="X61" i="3"/>
  <c r="X60" i="3"/>
  <c r="Q57" i="3"/>
  <c r="Q64" i="3"/>
  <c r="Q56" i="3"/>
  <c r="Q53" i="3"/>
  <c r="I53" i="3"/>
  <c r="I55" i="3" s="1"/>
  <c r="Y57" i="3"/>
  <c r="Y64" i="3"/>
  <c r="Y56" i="3"/>
  <c r="W11" i="3"/>
  <c r="X49" i="3"/>
  <c r="X52" i="3" s="1"/>
  <c r="Y61" i="3"/>
  <c r="Y60" i="3"/>
  <c r="R57" i="3"/>
  <c r="R64" i="3"/>
  <c r="R56" i="3"/>
  <c r="R53" i="3"/>
  <c r="V57" i="3"/>
  <c r="V64" i="3"/>
  <c r="V56" i="3"/>
  <c r="G53" i="3"/>
  <c r="G55" i="3" s="1"/>
  <c r="Z64" i="3"/>
  <c r="J53" i="3"/>
  <c r="J55" i="3" s="1"/>
  <c r="Z57" i="3"/>
  <c r="Z56" i="3"/>
  <c r="T11" i="3"/>
  <c r="X11" i="3"/>
  <c r="G13" i="3"/>
  <c r="L15" i="3" s="1"/>
  <c r="H54" i="3"/>
  <c r="X43" i="3"/>
  <c r="T37" i="3"/>
  <c r="R42" i="3"/>
  <c r="R12" i="3" s="1"/>
  <c r="T62" i="3"/>
  <c r="Y49" i="3"/>
  <c r="S64" i="3"/>
  <c r="S56" i="3"/>
  <c r="D53" i="3"/>
  <c r="D55" i="3" s="1"/>
  <c r="S53" i="3" s="1"/>
  <c r="S57" i="3"/>
  <c r="Q11" i="3"/>
  <c r="U11" i="3"/>
  <c r="Q43" i="3"/>
  <c r="Y43" i="3"/>
  <c r="Z60" i="3"/>
  <c r="U62" i="3"/>
  <c r="E53" i="3"/>
  <c r="E55" i="3" s="1"/>
  <c r="T53" i="3" s="1"/>
  <c r="T57" i="3"/>
  <c r="T64" i="3"/>
  <c r="T56" i="3"/>
  <c r="X64" i="3"/>
  <c r="X56" i="3"/>
  <c r="H53" i="3"/>
  <c r="X57" i="3"/>
  <c r="R11" i="3"/>
  <c r="Z11" i="3"/>
  <c r="R43" i="3"/>
  <c r="V43" i="3"/>
  <c r="X37" i="3"/>
  <c r="X12" i="3"/>
  <c r="V62" i="3"/>
  <c r="V49" i="3"/>
  <c r="V52" i="3" s="1"/>
  <c r="U57" i="3"/>
  <c r="U64" i="3"/>
  <c r="U56" i="3"/>
  <c r="F53" i="3"/>
  <c r="F55" i="3" s="1"/>
  <c r="S11" i="3"/>
  <c r="F13" i="3"/>
  <c r="K15" i="3" s="1"/>
  <c r="W43" i="3"/>
  <c r="Q37" i="3"/>
  <c r="U37" i="3"/>
  <c r="Y37" i="3"/>
  <c r="S12" i="3"/>
  <c r="W12" i="3"/>
  <c r="H14" i="3" l="1"/>
  <c r="V12" i="3"/>
  <c r="G43" i="3"/>
  <c r="S62" i="3"/>
  <c r="V37" i="3"/>
  <c r="W63" i="3" s="1"/>
  <c r="Z37" i="3"/>
  <c r="AA63" i="3" s="1"/>
  <c r="X62" i="3"/>
  <c r="Z12" i="3"/>
  <c r="S63" i="3"/>
  <c r="J43" i="3"/>
  <c r="U53" i="3"/>
  <c r="Z53" i="3"/>
  <c r="Z62" i="3"/>
  <c r="Z52" i="3"/>
  <c r="H55" i="3"/>
  <c r="X53" i="3" s="1"/>
  <c r="U65" i="3"/>
  <c r="G22" i="3"/>
  <c r="G16" i="3"/>
  <c r="G15" i="3"/>
  <c r="G14" i="3"/>
  <c r="Y62" i="3"/>
  <c r="X55" i="3"/>
  <c r="H25" i="3"/>
  <c r="T55" i="3"/>
  <c r="E25" i="3"/>
  <c r="E24" i="3"/>
  <c r="S55" i="3"/>
  <c r="D24" i="3"/>
  <c r="D25" i="3"/>
  <c r="V53" i="3"/>
  <c r="Y53" i="3"/>
  <c r="Q55" i="3"/>
  <c r="I25" i="3"/>
  <c r="Y55" i="3"/>
  <c r="I24" i="3"/>
  <c r="T65" i="3"/>
  <c r="F14" i="3"/>
  <c r="F22" i="3"/>
  <c r="F16" i="3"/>
  <c r="Y52" i="3"/>
  <c r="R55" i="3"/>
  <c r="R63" i="3"/>
  <c r="R62" i="3"/>
  <c r="Y63" i="3"/>
  <c r="U63" i="3"/>
  <c r="T63" i="3"/>
  <c r="Z55" i="3"/>
  <c r="J25" i="3"/>
  <c r="W65" i="3" l="1"/>
  <c r="Z63" i="3"/>
  <c r="V63" i="3"/>
  <c r="X63" i="3"/>
  <c r="W55" i="3"/>
  <c r="S54" i="3"/>
  <c r="D26" i="3"/>
  <c r="D29" i="3"/>
  <c r="E26" i="3"/>
  <c r="T54" i="3"/>
  <c r="E29" i="3"/>
  <c r="X54" i="3"/>
  <c r="H29" i="3"/>
  <c r="M31" i="3" s="1"/>
  <c r="H26" i="3"/>
  <c r="Z54" i="3"/>
  <c r="J26" i="3"/>
  <c r="J29" i="3"/>
  <c r="Q54" i="3"/>
  <c r="R54" i="3"/>
  <c r="I29" i="3"/>
  <c r="Y54" i="3"/>
  <c r="I26" i="3"/>
  <c r="G25" i="3"/>
  <c r="V55" i="3"/>
  <c r="G24" i="3"/>
  <c r="F24" i="3"/>
  <c r="U55" i="3"/>
  <c r="F25" i="3"/>
  <c r="I31" i="3" l="1"/>
  <c r="K30" i="3"/>
  <c r="J31" i="3"/>
  <c r="J30" i="3"/>
  <c r="H31" i="3"/>
  <c r="D30" i="3"/>
  <c r="E30" i="3"/>
  <c r="V54" i="3"/>
  <c r="G29" i="3"/>
  <c r="L31" i="3" s="1"/>
  <c r="G26" i="3"/>
  <c r="U54" i="3"/>
  <c r="F29" i="3"/>
  <c r="K31" i="3" s="1"/>
  <c r="F26" i="3"/>
  <c r="I30" i="3"/>
  <c r="F30" i="3" l="1"/>
  <c r="G30" i="3"/>
  <c r="H30" i="3"/>
  <c r="B48" i="3"/>
  <c r="B46" i="3"/>
  <c r="C48" i="3"/>
  <c r="C46" i="3"/>
  <c r="D48" i="3"/>
  <c r="D46" i="3"/>
  <c r="E46" i="3"/>
  <c r="E4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Suyash</author>
    <author>Admin</author>
  </authors>
  <commentList>
    <comment ref="Z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Suyash:</t>
        </r>
        <r>
          <rPr>
            <sz val="9"/>
            <color indexed="81"/>
            <rFont val="Tahoma"/>
            <family val="2"/>
          </rPr>
          <t xml:space="preserve">
Others to be specified, added over here</t>
        </r>
      </text>
    </comment>
    <comment ref="B4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Includes effect of changes in forex rateson cash and cash equivalents</t>
        </r>
      </text>
    </comment>
  </commentList>
</comments>
</file>

<file path=xl/sharedStrings.xml><?xml version="1.0" encoding="utf-8"?>
<sst xmlns="http://schemas.openxmlformats.org/spreadsheetml/2006/main" count="210" uniqueCount="124">
  <si>
    <t>Y/E, Mar (Rs. mn)</t>
  </si>
  <si>
    <t>Growth (%)</t>
  </si>
  <si>
    <t>CAGR (%)</t>
  </si>
  <si>
    <t>Expenditure</t>
  </si>
  <si>
    <t>EBITDA</t>
  </si>
  <si>
    <t>EBITDA margin (%)</t>
  </si>
  <si>
    <t>Other Income</t>
  </si>
  <si>
    <t>Depreciation</t>
  </si>
  <si>
    <t>Excp Item</t>
  </si>
  <si>
    <t>PBT</t>
  </si>
  <si>
    <t>Tax</t>
  </si>
  <si>
    <t>Effective tax rate (%)</t>
  </si>
  <si>
    <t>PAT</t>
  </si>
  <si>
    <t>Minority Interest</t>
  </si>
  <si>
    <t>EPS</t>
  </si>
  <si>
    <t>Cash Flow</t>
  </si>
  <si>
    <t>Cash and Cash Equivalents at Beginning of the year</t>
  </si>
  <si>
    <t>Cash Flow From Operating Activities</t>
  </si>
  <si>
    <t>Cash Flow From Financing Activities</t>
  </si>
  <si>
    <t>Net Inc./(Dec.) in Cash and Cash Equivalent</t>
  </si>
  <si>
    <t>Our Calculations</t>
  </si>
  <si>
    <t xml:space="preserve">Operating Cash Inflow </t>
  </si>
  <si>
    <t>Capital Expenditure</t>
  </si>
  <si>
    <t>FCF</t>
  </si>
  <si>
    <t>FY13</t>
  </si>
  <si>
    <t>FY14</t>
  </si>
  <si>
    <t>FY15</t>
  </si>
  <si>
    <t>FY16</t>
  </si>
  <si>
    <t>FY17</t>
  </si>
  <si>
    <t>Share Capital</t>
  </si>
  <si>
    <t>Reserves &amp; Surplus</t>
  </si>
  <si>
    <t>Networth/Shareholders Fund/ Book Value</t>
  </si>
  <si>
    <t>Minority Int</t>
  </si>
  <si>
    <t>Long Term Debt</t>
  </si>
  <si>
    <t>Short Term Debt</t>
  </si>
  <si>
    <t>Loans</t>
  </si>
  <si>
    <t>Capital Employed</t>
  </si>
  <si>
    <t>CURRENT ASSETS, LOANS &amp; ADVANCES</t>
  </si>
  <si>
    <t>Inventories</t>
  </si>
  <si>
    <t>Sundry Debtors</t>
  </si>
  <si>
    <t>Cash &amp; Bank Balances</t>
  </si>
  <si>
    <t>CURRENT LIABILITIES &amp; PROVISIONS</t>
  </si>
  <si>
    <t>NET CURRENT ASSETS</t>
  </si>
  <si>
    <t>Deferred Tax Liability</t>
  </si>
  <si>
    <t>Key ratios</t>
  </si>
  <si>
    <t xml:space="preserve">Y/E, Mar </t>
  </si>
  <si>
    <t>EPS (Rs)</t>
  </si>
  <si>
    <t>BVPS (Rs)</t>
  </si>
  <si>
    <t>DPS (Rs)</t>
  </si>
  <si>
    <t>P/E (x)</t>
  </si>
  <si>
    <t>P/BV (x)</t>
  </si>
  <si>
    <t>EV/EBIDTA (x)</t>
  </si>
  <si>
    <t>RoE (%)</t>
  </si>
  <si>
    <t>RoCE (%)</t>
  </si>
  <si>
    <t>Gross D/E(x)</t>
  </si>
  <si>
    <t>Net D/E (x)</t>
  </si>
  <si>
    <t>Dividend Yield</t>
  </si>
  <si>
    <t>Debtor Days</t>
  </si>
  <si>
    <t>Creditor Days</t>
  </si>
  <si>
    <t>Inventory Days</t>
  </si>
  <si>
    <t>Employee Benefit Expense</t>
  </si>
  <si>
    <t>Other Expenses</t>
  </si>
  <si>
    <t>Other Comprehensive Income</t>
  </si>
  <si>
    <t>Cash and Cash Equivalents at End of the year</t>
  </si>
  <si>
    <t>No. of Shares</t>
  </si>
  <si>
    <t>Market Cap</t>
  </si>
  <si>
    <t>Cash</t>
  </si>
  <si>
    <t>EV</t>
  </si>
  <si>
    <t>Total Debt</t>
  </si>
  <si>
    <t>Cash Flow from Investing Activities</t>
  </si>
  <si>
    <t>PAT margin (%)</t>
  </si>
  <si>
    <t>Trade Payables</t>
  </si>
  <si>
    <t>FY18</t>
  </si>
  <si>
    <t>Interest Cost</t>
  </si>
  <si>
    <t>H1-FY19</t>
  </si>
  <si>
    <t>CAGR (%) - 5 Years</t>
  </si>
  <si>
    <t>NA</t>
  </si>
  <si>
    <t>TOTAL ASSETS</t>
  </si>
  <si>
    <t>TOTAL LIABILITIES</t>
  </si>
  <si>
    <t>Income Statement</t>
  </si>
  <si>
    <t>Balance Sheet</t>
  </si>
  <si>
    <t>Direct Operational Expense/Cost of material consumed</t>
  </si>
  <si>
    <t>Changes in Inventory</t>
  </si>
  <si>
    <t>Finance Cost</t>
  </si>
  <si>
    <t>Intangible Assets</t>
  </si>
  <si>
    <t>Capital Work-in-Progress</t>
  </si>
  <si>
    <t>Provisions</t>
  </si>
  <si>
    <t>Other Long term Provision</t>
  </si>
  <si>
    <t>FY19</t>
  </si>
  <si>
    <t>Cash Conversion Cycle</t>
  </si>
  <si>
    <t>Interest Coverage Ratio</t>
  </si>
  <si>
    <t>Net Income</t>
  </si>
  <si>
    <t>Working Capital Cycle</t>
  </si>
  <si>
    <t>Credit Rating</t>
  </si>
  <si>
    <t>FY20</t>
  </si>
  <si>
    <t>Other financial assets</t>
  </si>
  <si>
    <t>Current Tax Assets</t>
  </si>
  <si>
    <t>Current Tax Liability</t>
  </si>
  <si>
    <t>-</t>
  </si>
  <si>
    <t>FY21</t>
  </si>
  <si>
    <t>CMP</t>
  </si>
  <si>
    <t>Century Enka Ltd.</t>
  </si>
  <si>
    <t>Others</t>
  </si>
  <si>
    <t>FY22</t>
  </si>
  <si>
    <t>Other Current Assets</t>
  </si>
  <si>
    <t>Other Non-current Assets</t>
  </si>
  <si>
    <t>Assets held for sale</t>
  </si>
  <si>
    <t>Purchases of Stock-in trade</t>
  </si>
  <si>
    <t>Property, Plant and Equipment</t>
  </si>
  <si>
    <t>Financial assets</t>
  </si>
  <si>
    <t>Right of use assets</t>
  </si>
  <si>
    <t>LT:  Crisil A+/Stable
ST: ICRA A2</t>
  </si>
  <si>
    <t>ST: A1+</t>
  </si>
  <si>
    <t>Share in profit/loss of associates</t>
  </si>
  <si>
    <t>FY23</t>
  </si>
  <si>
    <t>Other Current Liabilities(Others+Other Current Liabilities+Lease liabilities)</t>
  </si>
  <si>
    <t>Other Long term Liabilities (Other Non Current Liabilities+Lease Liabilities+Others)</t>
  </si>
  <si>
    <t>FY24</t>
  </si>
  <si>
    <t>Investments</t>
  </si>
  <si>
    <t>H1-FY25</t>
  </si>
  <si>
    <t>Total Comprehensive Income</t>
  </si>
  <si>
    <t>Non Current Assets</t>
  </si>
  <si>
    <t>TTM</t>
  </si>
  <si>
    <t>9M-FY25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</si>
</sst>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0.0"/>
    <numFmt numFmtId="165" formatCode="0.0%"/>
    <numFmt numFmtId="166" formatCode="_ * #,##0_ ;_ * \-#,##0_ ;_ * &quot;-&quot;??_ ;_ @_ "/>
    <numFmt numFmtId="167" formatCode="_ * #,##0.0_ ;_ * \-#,##0.0_ ;_ * &quot;-&quot;??_ ;_ @_ "/>
    <numFmt numFmtId="168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9"/>
      <color indexed="81"/>
      <name val="Tahoma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</cellStyleXfs>
  <cellXfs count="124">
    <xf numFmtId="0" fontId="0" fillId="0" borderId="0" xfId="0"/>
    <xf numFmtId="0" fontId="5" fillId="0" borderId="0" xfId="0" applyFont="1"/>
    <xf numFmtId="167" fontId="4" fillId="0" borderId="1" xfId="2" applyNumberFormat="1" applyFont="1" applyFill="1" applyBorder="1"/>
    <xf numFmtId="164" fontId="5" fillId="0" borderId="1" xfId="0" applyNumberFormat="1" applyFont="1" applyBorder="1"/>
    <xf numFmtId="164" fontId="5" fillId="0" borderId="0" xfId="0" applyNumberFormat="1" applyFont="1"/>
    <xf numFmtId="1" fontId="5" fillId="0" borderId="0" xfId="0" applyNumberFormat="1" applyFont="1"/>
    <xf numFmtId="167" fontId="5" fillId="0" borderId="1" xfId="2" applyNumberFormat="1" applyFont="1" applyFill="1" applyBorder="1"/>
    <xf numFmtId="43" fontId="5" fillId="0" borderId="1" xfId="2" applyFont="1" applyFill="1" applyBorder="1"/>
    <xf numFmtId="0" fontId="5" fillId="0" borderId="1" xfId="0" applyFont="1" applyBorder="1"/>
    <xf numFmtId="167" fontId="5" fillId="0" borderId="0" xfId="2" applyNumberFormat="1" applyFont="1" applyBorder="1"/>
    <xf numFmtId="0" fontId="5" fillId="0" borderId="0" xfId="0" applyFont="1" applyAlignment="1">
      <alignment wrapText="1"/>
    </xf>
    <xf numFmtId="0" fontId="4" fillId="0" borderId="0" xfId="0" applyFont="1"/>
    <xf numFmtId="0" fontId="4" fillId="0" borderId="1" xfId="0" applyFont="1" applyBorder="1"/>
    <xf numFmtId="167" fontId="5" fillId="4" borderId="0" xfId="2" applyNumberFormat="1" applyFont="1" applyFill="1" applyBorder="1"/>
    <xf numFmtId="43" fontId="5" fillId="0" borderId="0" xfId="0" applyNumberFormat="1" applyFont="1"/>
    <xf numFmtId="166" fontId="5" fillId="0" borderId="1" xfId="2" applyNumberFormat="1" applyFont="1" applyFill="1" applyBorder="1"/>
    <xf numFmtId="2" fontId="5" fillId="0" borderId="1" xfId="0" applyNumberFormat="1" applyFont="1" applyBorder="1"/>
    <xf numFmtId="10" fontId="5" fillId="0" borderId="1" xfId="0" applyNumberFormat="1" applyFont="1" applyBorder="1"/>
    <xf numFmtId="10" fontId="5" fillId="0" borderId="1" xfId="1" applyNumberFormat="1" applyFont="1" applyFill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0" fontId="5" fillId="0" borderId="0" xfId="1" applyNumberFormat="1" applyFont="1" applyFill="1" applyBorder="1"/>
    <xf numFmtId="0" fontId="5" fillId="0" borderId="1" xfId="3" applyFont="1" applyBorder="1"/>
    <xf numFmtId="43" fontId="4" fillId="0" borderId="1" xfId="2" applyFont="1" applyFill="1" applyBorder="1"/>
    <xf numFmtId="0" fontId="4" fillId="0" borderId="1" xfId="0" applyFont="1" applyBorder="1" applyAlignment="1">
      <alignment horizontal="left"/>
    </xf>
    <xf numFmtId="0" fontId="4" fillId="3" borderId="1" xfId="0" applyFont="1" applyFill="1" applyBorder="1"/>
    <xf numFmtId="167" fontId="4" fillId="3" borderId="1" xfId="2" applyNumberFormat="1" applyFont="1" applyFill="1" applyBorder="1"/>
    <xf numFmtId="0" fontId="7" fillId="3" borderId="1" xfId="0" applyFont="1" applyFill="1" applyBorder="1"/>
    <xf numFmtId="165" fontId="7" fillId="3" borderId="1" xfId="0" applyNumberFormat="1" applyFont="1" applyFill="1" applyBorder="1"/>
    <xf numFmtId="10" fontId="4" fillId="3" borderId="1" xfId="0" applyNumberFormat="1" applyFont="1" applyFill="1" applyBorder="1"/>
    <xf numFmtId="10" fontId="7" fillId="3" borderId="1" xfId="0" applyNumberFormat="1" applyFont="1" applyFill="1" applyBorder="1"/>
    <xf numFmtId="10" fontId="4" fillId="3" borderId="1" xfId="1" applyNumberFormat="1" applyFont="1" applyFill="1" applyBorder="1"/>
    <xf numFmtId="0" fontId="5" fillId="3" borderId="1" xfId="0" applyFont="1" applyFill="1" applyBorder="1"/>
    <xf numFmtId="165" fontId="5" fillId="3" borderId="1" xfId="0" applyNumberFormat="1" applyFont="1" applyFill="1" applyBorder="1"/>
    <xf numFmtId="167" fontId="5" fillId="3" borderId="1" xfId="2" applyNumberFormat="1" applyFont="1" applyFill="1" applyBorder="1"/>
    <xf numFmtId="164" fontId="4" fillId="3" borderId="1" xfId="0" applyNumberFormat="1" applyFont="1" applyFill="1" applyBorder="1"/>
    <xf numFmtId="43" fontId="4" fillId="3" borderId="1" xfId="2" applyFont="1" applyFill="1" applyBorder="1"/>
    <xf numFmtId="43" fontId="5" fillId="3" borderId="1" xfId="2" applyFont="1" applyFill="1" applyBorder="1"/>
    <xf numFmtId="2" fontId="5" fillId="3" borderId="1" xfId="0" applyNumberFormat="1" applyFont="1" applyFill="1" applyBorder="1"/>
    <xf numFmtId="10" fontId="5" fillId="3" borderId="1" xfId="0" applyNumberFormat="1" applyFont="1" applyFill="1" applyBorder="1"/>
    <xf numFmtId="10" fontId="5" fillId="3" borderId="1" xfId="1" applyNumberFormat="1" applyFont="1" applyFill="1" applyBorder="1"/>
    <xf numFmtId="166" fontId="5" fillId="3" borderId="1" xfId="2" applyNumberFormat="1" applyFont="1" applyFill="1" applyBorder="1"/>
    <xf numFmtId="43" fontId="5" fillId="3" borderId="1" xfId="0" applyNumberFormat="1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horizontal="right"/>
    </xf>
    <xf numFmtId="164" fontId="4" fillId="5" borderId="1" xfId="0" applyNumberFormat="1" applyFont="1" applyFill="1" applyBorder="1" applyAlignment="1">
      <alignment horizontal="right"/>
    </xf>
    <xf numFmtId="167" fontId="4" fillId="5" borderId="1" xfId="2" applyNumberFormat="1" applyFont="1" applyFill="1" applyBorder="1" applyAlignment="1">
      <alignment horizontal="right"/>
    </xf>
    <xf numFmtId="167" fontId="4" fillId="0" borderId="1" xfId="0" applyNumberFormat="1" applyFont="1" applyBorder="1"/>
    <xf numFmtId="164" fontId="5" fillId="0" borderId="4" xfId="0" applyNumberFormat="1" applyFont="1" applyBorder="1"/>
    <xf numFmtId="0" fontId="4" fillId="0" borderId="6" xfId="0" applyFont="1" applyBorder="1"/>
    <xf numFmtId="167" fontId="5" fillId="0" borderId="0" xfId="2" applyNumberFormat="1" applyFont="1" applyFill="1" applyBorder="1"/>
    <xf numFmtId="167" fontId="5" fillId="0" borderId="6" xfId="2" applyNumberFormat="1" applyFont="1" applyFill="1" applyBorder="1"/>
    <xf numFmtId="167" fontId="5" fillId="3" borderId="6" xfId="2" applyNumberFormat="1" applyFont="1" applyFill="1" applyBorder="1"/>
    <xf numFmtId="165" fontId="10" fillId="3" borderId="1" xfId="1" applyNumberFormat="1" applyFont="1" applyFill="1" applyBorder="1"/>
    <xf numFmtId="165" fontId="11" fillId="3" borderId="1" xfId="0" applyNumberFormat="1" applyFont="1" applyFill="1" applyBorder="1"/>
    <xf numFmtId="167" fontId="12" fillId="3" borderId="1" xfId="2" applyNumberFormat="1" applyFont="1" applyFill="1" applyBorder="1"/>
    <xf numFmtId="0" fontId="10" fillId="0" borderId="1" xfId="0" applyFont="1" applyBorder="1"/>
    <xf numFmtId="10" fontId="12" fillId="3" borderId="1" xfId="0" applyNumberFormat="1" applyFont="1" applyFill="1" applyBorder="1"/>
    <xf numFmtId="2" fontId="10" fillId="0" borderId="1" xfId="2" applyNumberFormat="1" applyFont="1" applyFill="1" applyBorder="1"/>
    <xf numFmtId="10" fontId="11" fillId="3" borderId="1" xfId="0" applyNumberFormat="1" applyFont="1" applyFill="1" applyBorder="1"/>
    <xf numFmtId="10" fontId="12" fillId="3" borderId="1" xfId="1" applyNumberFormat="1" applyFont="1" applyFill="1" applyBorder="1"/>
    <xf numFmtId="0" fontId="10" fillId="0" borderId="0" xfId="0" applyFont="1"/>
    <xf numFmtId="167" fontId="10" fillId="0" borderId="0" xfId="2" applyNumberFormat="1" applyFont="1" applyFill="1" applyBorder="1"/>
    <xf numFmtId="167" fontId="10" fillId="0" borderId="1" xfId="2" applyNumberFormat="1" applyFont="1" applyFill="1" applyBorder="1"/>
    <xf numFmtId="164" fontId="12" fillId="0" borderId="1" xfId="2" applyNumberFormat="1" applyFont="1" applyFill="1" applyBorder="1"/>
    <xf numFmtId="0" fontId="12" fillId="0" borderId="1" xfId="0" applyFont="1" applyBorder="1" applyAlignment="1">
      <alignment horizontal="right"/>
    </xf>
    <xf numFmtId="0" fontId="12" fillId="0" borderId="1" xfId="0" applyFont="1" applyBorder="1"/>
    <xf numFmtId="167" fontId="10" fillId="0" borderId="1" xfId="2" applyNumberFormat="1" applyFont="1" applyFill="1" applyBorder="1" applyAlignment="1">
      <alignment horizontal="center"/>
    </xf>
    <xf numFmtId="167" fontId="10" fillId="4" borderId="1" xfId="2" applyNumberFormat="1" applyFont="1" applyFill="1" applyBorder="1" applyAlignment="1">
      <alignment horizontal="center"/>
    </xf>
    <xf numFmtId="0" fontId="5" fillId="4" borderId="1" xfId="0" applyFont="1" applyFill="1" applyBorder="1"/>
    <xf numFmtId="0" fontId="10" fillId="4" borderId="1" xfId="0" applyFont="1" applyFill="1" applyBorder="1"/>
    <xf numFmtId="164" fontId="10" fillId="0" borderId="1" xfId="0" applyNumberFormat="1" applyFont="1" applyBorder="1"/>
    <xf numFmtId="167" fontId="10" fillId="4" borderId="1" xfId="2" applyNumberFormat="1" applyFont="1" applyFill="1" applyBorder="1"/>
    <xf numFmtId="43" fontId="12" fillId="0" borderId="1" xfId="2" applyFont="1" applyFill="1" applyBorder="1"/>
    <xf numFmtId="0" fontId="12" fillId="4" borderId="1" xfId="0" applyFont="1" applyFill="1" applyBorder="1"/>
    <xf numFmtId="165" fontId="11" fillId="3" borderId="1" xfId="1" applyNumberFormat="1" applyFont="1" applyFill="1" applyBorder="1"/>
    <xf numFmtId="0" fontId="12" fillId="0" borderId="1" xfId="0" applyFont="1" applyBorder="1" applyAlignment="1">
      <alignment horizontal="left"/>
    </xf>
    <xf numFmtId="0" fontId="12" fillId="5" borderId="1" xfId="0" applyFont="1" applyFill="1" applyBorder="1" applyAlignment="1">
      <alignment horizontal="right"/>
    </xf>
    <xf numFmtId="164" fontId="12" fillId="0" borderId="1" xfId="0" applyNumberFormat="1" applyFont="1" applyBorder="1"/>
    <xf numFmtId="167" fontId="12" fillId="0" borderId="1" xfId="2" applyNumberFormat="1" applyFont="1" applyFill="1" applyBorder="1"/>
    <xf numFmtId="164" fontId="12" fillId="3" borderId="1" xfId="2" applyNumberFormat="1" applyFont="1" applyFill="1" applyBorder="1"/>
    <xf numFmtId="164" fontId="10" fillId="0" borderId="0" xfId="0" applyNumberFormat="1" applyFont="1"/>
    <xf numFmtId="164" fontId="12" fillId="5" borderId="1" xfId="0" applyNumberFormat="1" applyFont="1" applyFill="1" applyBorder="1" applyAlignment="1">
      <alignment horizontal="right"/>
    </xf>
    <xf numFmtId="167" fontId="10" fillId="3" borderId="6" xfId="2" applyNumberFormat="1" applyFont="1" applyFill="1" applyBorder="1"/>
    <xf numFmtId="167" fontId="10" fillId="3" borderId="1" xfId="2" applyNumberFormat="1" applyFont="1" applyFill="1" applyBorder="1"/>
    <xf numFmtId="0" fontId="4" fillId="3" borderId="1" xfId="1" applyNumberFormat="1" applyFont="1" applyFill="1" applyBorder="1"/>
    <xf numFmtId="43" fontId="10" fillId="0" borderId="1" xfId="2" applyFont="1" applyFill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7" fontId="10" fillId="0" borderId="1" xfId="2" applyNumberFormat="1" applyFont="1" applyBorder="1" applyAlignment="1">
      <alignment horizontal="center"/>
    </xf>
    <xf numFmtId="167" fontId="10" fillId="0" borderId="1" xfId="2" applyNumberFormat="1" applyFont="1" applyBorder="1"/>
    <xf numFmtId="167" fontId="10" fillId="0" borderId="0" xfId="2" applyNumberFormat="1" applyFont="1" applyBorder="1"/>
    <xf numFmtId="167" fontId="12" fillId="5" borderId="1" xfId="2" applyNumberFormat="1" applyFont="1" applyFill="1" applyBorder="1" applyAlignment="1">
      <alignment horizontal="right"/>
    </xf>
    <xf numFmtId="43" fontId="12" fillId="5" borderId="1" xfId="2" applyFont="1" applyFill="1" applyBorder="1"/>
    <xf numFmtId="43" fontId="12" fillId="4" borderId="1" xfId="2" applyFont="1" applyFill="1" applyBorder="1"/>
    <xf numFmtId="43" fontId="12" fillId="3" borderId="1" xfId="2" applyFont="1" applyFill="1" applyBorder="1"/>
    <xf numFmtId="43" fontId="10" fillId="3" borderId="1" xfId="2" applyFont="1" applyFill="1" applyBorder="1"/>
    <xf numFmtId="164" fontId="10" fillId="3" borderId="1" xfId="0" applyNumberFormat="1" applyFont="1" applyFill="1" applyBorder="1" applyAlignment="1">
      <alignment horizontal="center"/>
    </xf>
    <xf numFmtId="2" fontId="10" fillId="3" borderId="1" xfId="0" applyNumberFormat="1" applyFont="1" applyFill="1" applyBorder="1"/>
    <xf numFmtId="10" fontId="10" fillId="3" borderId="1" xfId="0" applyNumberFormat="1" applyFont="1" applyFill="1" applyBorder="1"/>
    <xf numFmtId="10" fontId="10" fillId="3" borderId="1" xfId="1" applyNumberFormat="1" applyFont="1" applyFill="1" applyBorder="1"/>
    <xf numFmtId="2" fontId="10" fillId="3" borderId="1" xfId="2" applyNumberFormat="1" applyFont="1" applyFill="1" applyBorder="1"/>
    <xf numFmtId="166" fontId="10" fillId="3" borderId="1" xfId="2" applyNumberFormat="1" applyFont="1" applyFill="1" applyBorder="1"/>
    <xf numFmtId="43" fontId="10" fillId="3" borderId="1" xfId="0" applyNumberFormat="1" applyFont="1" applyFill="1" applyBorder="1" applyAlignment="1">
      <alignment wrapText="1"/>
    </xf>
    <xf numFmtId="168" fontId="12" fillId="3" borderId="1" xfId="1" applyNumberFormat="1" applyFont="1" applyFill="1" applyBorder="1"/>
    <xf numFmtId="0" fontId="12" fillId="3" borderId="1" xfId="2" applyNumberFormat="1" applyFont="1" applyFill="1" applyBorder="1"/>
    <xf numFmtId="164" fontId="10" fillId="4" borderId="1" xfId="0" applyNumberFormat="1" applyFont="1" applyFill="1" applyBorder="1"/>
    <xf numFmtId="0" fontId="12" fillId="0" borderId="0" xfId="0" applyFont="1" applyAlignment="1">
      <alignment horizontal="left"/>
    </xf>
    <xf numFmtId="164" fontId="10" fillId="0" borderId="1" xfId="3" applyNumberFormat="1" applyFont="1" applyBorder="1" applyAlignment="1">
      <alignment horizontal="right" wrapText="1"/>
    </xf>
    <xf numFmtId="43" fontId="10" fillId="0" borderId="1" xfId="2" applyFont="1" applyFill="1" applyBorder="1" applyAlignment="1">
      <alignment horizontal="right"/>
    </xf>
    <xf numFmtId="167" fontId="5" fillId="0" borderId="1" xfId="2" applyNumberFormat="1" applyFont="1" applyBorder="1"/>
    <xf numFmtId="167" fontId="10" fillId="0" borderId="5" xfId="2" applyNumberFormat="1" applyFont="1" applyBorder="1"/>
    <xf numFmtId="0" fontId="10" fillId="0" borderId="1" xfId="0" applyFont="1" applyBorder="1" applyAlignment="1">
      <alignment horizontal="right"/>
    </xf>
    <xf numFmtId="43" fontId="10" fillId="3" borderId="1" xfId="2" applyFont="1" applyFill="1" applyBorder="1" applyAlignment="1">
      <alignment horizontal="right"/>
    </xf>
    <xf numFmtId="10" fontId="10" fillId="3" borderId="1" xfId="1" applyNumberFormat="1" applyFont="1" applyFill="1" applyBorder="1" applyAlignment="1">
      <alignment horizontal="right"/>
    </xf>
    <xf numFmtId="166" fontId="10" fillId="3" borderId="1" xfId="2" applyNumberFormat="1" applyFont="1" applyFill="1" applyBorder="1" applyAlignment="1">
      <alignment horizontal="right"/>
    </xf>
    <xf numFmtId="2" fontId="12" fillId="0" borderId="1" xfId="2" applyNumberFormat="1" applyFont="1" applyFill="1" applyBorder="1"/>
    <xf numFmtId="43" fontId="12" fillId="3" borderId="1" xfId="0" applyNumberFormat="1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">
    <cellStyle name="Comma" xfId="2" builtinId="3"/>
    <cellStyle name="Normal" xfId="0" builtinId="0"/>
    <cellStyle name="Percent" xfId="1" builtinId="5"/>
    <cellStyle name="Style 1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7F7F7F"/>
      <rgbColor rgb="00BFBFBF"/>
      <rgbColor rgb="00FFFF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E78"/>
  <sheetViews>
    <sheetView tabSelected="1" topLeftCell="A43" zoomScaleNormal="100" zoomScaleSheetLayoutView="100" workbookViewId="0">
      <selection activeCell="AD66" sqref="AD66"/>
    </sheetView>
  </sheetViews>
  <sheetFormatPr defaultColWidth="9.1796875" defaultRowHeight="15" customHeight="1" x14ac:dyDescent="0.2"/>
  <cols>
    <col min="1" max="1" width="39.1796875" style="1" customWidth="1"/>
    <col min="2" max="5" width="9" style="1" hidden="1" customWidth="1"/>
    <col min="6" max="14" width="11" style="1" customWidth="1"/>
    <col min="15" max="15" width="7" style="1" bestFit="1" customWidth="1"/>
    <col min="16" max="16" width="37.54296875" style="1" customWidth="1"/>
    <col min="17" max="20" width="9.1796875" style="1" hidden="1" customWidth="1"/>
    <col min="21" max="21" width="9.1796875" style="1" customWidth="1"/>
    <col min="22" max="22" width="9.1796875" style="4" customWidth="1"/>
    <col min="23" max="23" width="9.1796875" style="1" hidden="1" customWidth="1"/>
    <col min="24" max="24" width="9.7265625" style="9" bestFit="1" customWidth="1"/>
    <col min="25" max="25" width="9.7265625" style="9" customWidth="1"/>
    <col min="26" max="27" width="9.1796875" style="1"/>
    <col min="28" max="28" width="9.1796875" style="1" customWidth="1"/>
    <col min="29" max="29" width="13.1796875" style="1" bestFit="1" customWidth="1"/>
    <col min="30" max="16384" width="9.1796875" style="1"/>
  </cols>
  <sheetData>
    <row r="1" spans="1:30" ht="15" customHeight="1" x14ac:dyDescent="0.2">
      <c r="A1" s="121" t="s">
        <v>101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</row>
    <row r="2" spans="1:30" ht="15" customHeight="1" x14ac:dyDescent="0.25">
      <c r="A2" s="122" t="s">
        <v>79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1"/>
      <c r="P2" s="119" t="s">
        <v>80</v>
      </c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</row>
    <row r="3" spans="1:30" ht="15" customHeight="1" x14ac:dyDescent="0.25">
      <c r="A3" s="43" t="s">
        <v>0</v>
      </c>
      <c r="B3" s="44" t="s">
        <v>24</v>
      </c>
      <c r="C3" s="44" t="s">
        <v>25</v>
      </c>
      <c r="D3" s="44" t="s">
        <v>26</v>
      </c>
      <c r="E3" s="44" t="s">
        <v>27</v>
      </c>
      <c r="F3" s="44" t="s">
        <v>28</v>
      </c>
      <c r="G3" s="44" t="s">
        <v>72</v>
      </c>
      <c r="H3" s="44" t="s">
        <v>88</v>
      </c>
      <c r="I3" s="44" t="s">
        <v>94</v>
      </c>
      <c r="J3" s="44" t="s">
        <v>99</v>
      </c>
      <c r="K3" s="44" t="s">
        <v>103</v>
      </c>
      <c r="L3" s="44" t="s">
        <v>114</v>
      </c>
      <c r="M3" s="44" t="s">
        <v>117</v>
      </c>
      <c r="N3" s="44" t="s">
        <v>123</v>
      </c>
      <c r="O3" s="11"/>
      <c r="P3" s="43" t="s">
        <v>0</v>
      </c>
      <c r="Q3" s="44" t="s">
        <v>24</v>
      </c>
      <c r="R3" s="44" t="s">
        <v>25</v>
      </c>
      <c r="S3" s="44" t="s">
        <v>26</v>
      </c>
      <c r="T3" s="44" t="s">
        <v>27</v>
      </c>
      <c r="U3" s="44" t="s">
        <v>28</v>
      </c>
      <c r="V3" s="45" t="s">
        <v>72</v>
      </c>
      <c r="W3" s="44" t="s">
        <v>74</v>
      </c>
      <c r="X3" s="46" t="s">
        <v>88</v>
      </c>
      <c r="Y3" s="46" t="s">
        <v>94</v>
      </c>
      <c r="Z3" s="46" t="s">
        <v>99</v>
      </c>
      <c r="AA3" s="46" t="s">
        <v>103</v>
      </c>
      <c r="AB3" s="44" t="s">
        <v>114</v>
      </c>
      <c r="AC3" s="44" t="s">
        <v>117</v>
      </c>
      <c r="AD3" s="44" t="s">
        <v>119</v>
      </c>
    </row>
    <row r="4" spans="1:30" ht="15" customHeight="1" x14ac:dyDescent="0.25">
      <c r="A4" s="25" t="s">
        <v>91</v>
      </c>
      <c r="B4" s="26">
        <v>678.73400000000004</v>
      </c>
      <c r="C4" s="26">
        <v>957.65899999999999</v>
      </c>
      <c r="D4" s="26">
        <v>12185.3</v>
      </c>
      <c r="E4" s="26">
        <v>11436.4</v>
      </c>
      <c r="F4" s="26">
        <v>13392.2</v>
      </c>
      <c r="G4" s="26">
        <v>14477.7</v>
      </c>
      <c r="H4" s="26">
        <v>17913.8</v>
      </c>
      <c r="I4" s="26">
        <v>14234.8</v>
      </c>
      <c r="J4" s="26">
        <v>12228</v>
      </c>
      <c r="K4" s="26">
        <v>20978.3</v>
      </c>
      <c r="L4" s="85">
        <f>207205/10</f>
        <v>20720.5</v>
      </c>
      <c r="M4" s="105">
        <f>174415/10</f>
        <v>17441.5</v>
      </c>
      <c r="N4" s="105">
        <v>15576.9</v>
      </c>
      <c r="O4" s="21"/>
      <c r="P4" s="8" t="s">
        <v>29</v>
      </c>
      <c r="Q4" s="6">
        <v>20.18</v>
      </c>
      <c r="R4" s="6">
        <v>20.744</v>
      </c>
      <c r="S4" s="6">
        <v>218.5</v>
      </c>
      <c r="T4" s="6">
        <v>218.5</v>
      </c>
      <c r="U4" s="63">
        <v>218.5</v>
      </c>
      <c r="V4" s="63">
        <v>218.5</v>
      </c>
      <c r="W4" s="63">
        <v>118.17400000000001</v>
      </c>
      <c r="X4" s="63">
        <v>218.5</v>
      </c>
      <c r="Y4" s="63">
        <v>218.5</v>
      </c>
      <c r="Z4" s="63">
        <v>218.5</v>
      </c>
      <c r="AA4" s="63">
        <v>218.5</v>
      </c>
      <c r="AB4" s="72">
        <v>218.5</v>
      </c>
      <c r="AC4" s="72">
        <v>218.5</v>
      </c>
      <c r="AD4" s="72">
        <v>218.5</v>
      </c>
    </row>
    <row r="5" spans="1:30" ht="15" customHeight="1" x14ac:dyDescent="0.2">
      <c r="A5" s="27" t="s">
        <v>1</v>
      </c>
      <c r="B5" s="28"/>
      <c r="C5" s="28">
        <f t="shared" ref="C5:M5" si="0">(C4/B4-1)</f>
        <v>0.410948913712883</v>
      </c>
      <c r="D5" s="28">
        <f t="shared" si="0"/>
        <v>11.724048956883399</v>
      </c>
      <c r="E5" s="28">
        <f t="shared" si="0"/>
        <v>-6.1459299319672089E-2</v>
      </c>
      <c r="F5" s="28">
        <f t="shared" si="0"/>
        <v>0.17101535448217975</v>
      </c>
      <c r="G5" s="54">
        <f t="shared" si="0"/>
        <v>8.1054643747853206E-2</v>
      </c>
      <c r="H5" s="54">
        <f t="shared" si="0"/>
        <v>0.23733742238062661</v>
      </c>
      <c r="I5" s="54">
        <f t="shared" si="0"/>
        <v>-0.20537239446683564</v>
      </c>
      <c r="J5" s="54">
        <f t="shared" si="0"/>
        <v>-0.14097844718577002</v>
      </c>
      <c r="K5" s="54">
        <f t="shared" si="0"/>
        <v>0.71559535492312709</v>
      </c>
      <c r="L5" s="53">
        <f t="shared" si="0"/>
        <v>-1.2288888994818392E-2</v>
      </c>
      <c r="M5" s="53">
        <f t="shared" si="0"/>
        <v>-0.15824907700103763</v>
      </c>
      <c r="N5" s="53"/>
      <c r="P5" s="8" t="s">
        <v>30</v>
      </c>
      <c r="Q5" s="6">
        <v>102.005</v>
      </c>
      <c r="R5" s="6">
        <v>144.88900000000001</v>
      </c>
      <c r="S5" s="6">
        <v>6942.9</v>
      </c>
      <c r="T5" s="6">
        <v>7561.7</v>
      </c>
      <c r="U5" s="63">
        <v>8325.1</v>
      </c>
      <c r="V5" s="63">
        <v>8790.5</v>
      </c>
      <c r="W5" s="63">
        <v>410.29500000000002</v>
      </c>
      <c r="X5" s="63">
        <v>9330.2000000000007</v>
      </c>
      <c r="Y5" s="63">
        <v>10028.9</v>
      </c>
      <c r="Z5" s="63">
        <v>10670.4</v>
      </c>
      <c r="AA5" s="63">
        <v>12288.3</v>
      </c>
      <c r="AB5" s="70">
        <v>12998.6</v>
      </c>
      <c r="AC5" s="70">
        <v>13425.3</v>
      </c>
      <c r="AD5" s="70">
        <v>13756.6</v>
      </c>
    </row>
    <row r="6" spans="1:30" ht="15" customHeight="1" x14ac:dyDescent="0.25">
      <c r="A6" s="27" t="s">
        <v>75</v>
      </c>
      <c r="B6" s="28"/>
      <c r="C6" s="28"/>
      <c r="D6" s="28"/>
      <c r="E6" s="28"/>
      <c r="F6" s="28"/>
      <c r="G6" s="54">
        <f t="shared" ref="G6:M6" si="1">+((G4/B4)^(1/5)-1)</f>
        <v>0.84416592676621693</v>
      </c>
      <c r="H6" s="54">
        <f t="shared" si="1"/>
        <v>0.79636822866666668</v>
      </c>
      <c r="I6" s="54">
        <f t="shared" si="1"/>
        <v>3.1580273607405784E-2</v>
      </c>
      <c r="J6" s="54">
        <f t="shared" si="1"/>
        <v>1.3475416510910998E-2</v>
      </c>
      <c r="K6" s="54">
        <f t="shared" si="1"/>
        <v>9.3915240647027831E-2</v>
      </c>
      <c r="L6" s="54">
        <f t="shared" si="1"/>
        <v>7.433600691960951E-2</v>
      </c>
      <c r="M6" s="54">
        <f t="shared" si="1"/>
        <v>-5.3295356785553194E-3</v>
      </c>
      <c r="N6" s="54"/>
      <c r="P6" s="25" t="s">
        <v>31</v>
      </c>
      <c r="Q6" s="26">
        <f t="shared" ref="Q6:Z6" si="2">(Q4+Q5)</f>
        <v>122.185</v>
      </c>
      <c r="R6" s="26">
        <f t="shared" si="2"/>
        <v>165.63300000000001</v>
      </c>
      <c r="S6" s="26">
        <f t="shared" si="2"/>
        <v>7161.4</v>
      </c>
      <c r="T6" s="26">
        <f t="shared" si="2"/>
        <v>7780.2</v>
      </c>
      <c r="U6" s="55">
        <f t="shared" si="2"/>
        <v>8543.6</v>
      </c>
      <c r="V6" s="55">
        <f t="shared" si="2"/>
        <v>9009</v>
      </c>
      <c r="W6" s="55">
        <f t="shared" si="2"/>
        <v>528.46900000000005</v>
      </c>
      <c r="X6" s="55">
        <f t="shared" si="2"/>
        <v>9548.7000000000007</v>
      </c>
      <c r="Y6" s="55">
        <f t="shared" si="2"/>
        <v>10247.4</v>
      </c>
      <c r="Z6" s="55">
        <f t="shared" si="2"/>
        <v>10888.9</v>
      </c>
      <c r="AA6" s="55">
        <f t="shared" ref="AA6:AB6" si="3">(AA4+AA5)</f>
        <v>12506.8</v>
      </c>
      <c r="AB6" s="55">
        <f t="shared" si="3"/>
        <v>13217.1</v>
      </c>
      <c r="AC6" s="55">
        <f>(AC4+AC5)</f>
        <v>13643.8</v>
      </c>
      <c r="AD6" s="55">
        <f>(AD4+AD5)</f>
        <v>13975.1</v>
      </c>
    </row>
    <row r="7" spans="1:30" ht="15" customHeight="1" x14ac:dyDescent="0.25">
      <c r="A7" s="25" t="s">
        <v>3</v>
      </c>
      <c r="B7" s="26">
        <f t="shared" ref="B7:L7" si="4">SUM(B8:B12)</f>
        <v>613.34300000000007</v>
      </c>
      <c r="C7" s="26">
        <f t="shared" si="4"/>
        <v>857.62599999999998</v>
      </c>
      <c r="D7" s="26">
        <f t="shared" si="4"/>
        <v>11028.599999999999</v>
      </c>
      <c r="E7" s="26">
        <f t="shared" si="4"/>
        <v>10014.4</v>
      </c>
      <c r="F7" s="26">
        <f t="shared" si="4"/>
        <v>11573.5</v>
      </c>
      <c r="G7" s="55">
        <f t="shared" si="4"/>
        <v>13360.599999999999</v>
      </c>
      <c r="H7" s="55">
        <f t="shared" si="4"/>
        <v>16408.7</v>
      </c>
      <c r="I7" s="55">
        <f t="shared" si="4"/>
        <v>13302.700000000003</v>
      </c>
      <c r="J7" s="55">
        <f t="shared" si="4"/>
        <v>11024.5</v>
      </c>
      <c r="K7" s="55">
        <f>SUM(K8:K12)</f>
        <v>18335.400000000001</v>
      </c>
      <c r="L7" s="55">
        <f t="shared" si="4"/>
        <v>19297.199999999997</v>
      </c>
      <c r="M7" s="55">
        <f>SUM(M8:M12)</f>
        <v>16613.600000000002</v>
      </c>
      <c r="N7" s="55">
        <f>SUM(N8:N12)</f>
        <v>14517</v>
      </c>
      <c r="P7" s="8" t="s">
        <v>32</v>
      </c>
      <c r="Q7" s="6"/>
      <c r="R7" s="6"/>
      <c r="S7" s="6"/>
      <c r="T7" s="6"/>
      <c r="U7" s="63"/>
      <c r="V7" s="63"/>
      <c r="W7" s="63"/>
      <c r="X7" s="63"/>
      <c r="Y7" s="63"/>
      <c r="Z7" s="63"/>
      <c r="AA7" s="63"/>
      <c r="AB7" s="70"/>
      <c r="AC7" s="70"/>
      <c r="AD7" s="70"/>
    </row>
    <row r="8" spans="1:30" ht="15" customHeight="1" x14ac:dyDescent="0.2">
      <c r="A8" s="8" t="s">
        <v>81</v>
      </c>
      <c r="B8" s="3">
        <v>457.71699999999998</v>
      </c>
      <c r="C8" s="3">
        <v>630.02599999999995</v>
      </c>
      <c r="D8" s="3">
        <v>7760.1</v>
      </c>
      <c r="E8" s="3">
        <v>6108.3</v>
      </c>
      <c r="F8" s="111">
        <v>6935.9</v>
      </c>
      <c r="G8" s="91">
        <v>8665.6</v>
      </c>
      <c r="H8" s="91">
        <v>11675.7</v>
      </c>
      <c r="I8" s="91">
        <v>8606.7000000000007</v>
      </c>
      <c r="J8" s="91">
        <v>6471.4</v>
      </c>
      <c r="K8" s="91">
        <v>12945.4</v>
      </c>
      <c r="L8" s="91">
        <f>129154/10</f>
        <v>12915.4</v>
      </c>
      <c r="M8" s="91">
        <f>111807/10</f>
        <v>11180.7</v>
      </c>
      <c r="N8" s="91">
        <v>10283.700000000001</v>
      </c>
      <c r="P8" s="8" t="s">
        <v>33</v>
      </c>
      <c r="Q8" s="6">
        <v>108.252</v>
      </c>
      <c r="R8" s="6">
        <v>100.277</v>
      </c>
      <c r="S8" s="6">
        <v>658</v>
      </c>
      <c r="T8" s="6">
        <v>514.4</v>
      </c>
      <c r="U8" s="63">
        <v>370.8</v>
      </c>
      <c r="V8" s="63">
        <v>306.10000000000002</v>
      </c>
      <c r="W8" s="63">
        <v>180.28800000000001</v>
      </c>
      <c r="X8" s="63">
        <v>210.2</v>
      </c>
      <c r="Y8" s="63">
        <v>97.4</v>
      </c>
      <c r="Z8" s="63">
        <v>49.7</v>
      </c>
      <c r="AA8" s="63">
        <v>61.6</v>
      </c>
      <c r="AB8" s="107">
        <f>4870/10</f>
        <v>487</v>
      </c>
      <c r="AC8" s="107">
        <v>338</v>
      </c>
      <c r="AD8" s="107">
        <v>338</v>
      </c>
    </row>
    <row r="9" spans="1:30" ht="15" customHeight="1" x14ac:dyDescent="0.2">
      <c r="A9" s="1" t="s">
        <v>107</v>
      </c>
      <c r="F9" s="111">
        <v>45.5</v>
      </c>
      <c r="G9" s="91">
        <v>46</v>
      </c>
      <c r="H9" s="91">
        <v>48.4</v>
      </c>
      <c r="I9" s="91">
        <v>197.7</v>
      </c>
      <c r="J9" s="91">
        <v>360.9</v>
      </c>
      <c r="K9" s="91">
        <v>882</v>
      </c>
      <c r="L9" s="91">
        <f>8826/10</f>
        <v>882.6</v>
      </c>
      <c r="M9" s="91">
        <f>5802/10</f>
        <v>580.20000000000005</v>
      </c>
      <c r="N9" s="91">
        <v>225.4</v>
      </c>
      <c r="P9" s="8" t="s">
        <v>34</v>
      </c>
      <c r="Q9" s="6">
        <v>80.14</v>
      </c>
      <c r="R9" s="6">
        <v>132.858</v>
      </c>
      <c r="S9" s="6">
        <v>739.1</v>
      </c>
      <c r="T9" s="6">
        <v>39</v>
      </c>
      <c r="U9" s="63">
        <v>10.9</v>
      </c>
      <c r="V9" s="63">
        <v>0.1</v>
      </c>
      <c r="W9" s="63"/>
      <c r="X9" s="63">
        <v>0</v>
      </c>
      <c r="Y9" s="63">
        <v>2.2000000000000002</v>
      </c>
      <c r="Z9" s="63">
        <v>31.4</v>
      </c>
      <c r="AA9" s="63">
        <v>41.9</v>
      </c>
      <c r="AB9" s="70">
        <v>150.80000000000001</v>
      </c>
      <c r="AC9" s="70">
        <v>149.30000000000001</v>
      </c>
      <c r="AD9" s="70">
        <v>149</v>
      </c>
    </row>
    <row r="10" spans="1:30" ht="15" customHeight="1" x14ac:dyDescent="0.25">
      <c r="A10" s="8" t="s">
        <v>82</v>
      </c>
      <c r="B10" s="3">
        <v>-30.687999999999999</v>
      </c>
      <c r="C10" s="3">
        <v>-19.506999999999998</v>
      </c>
      <c r="D10" s="3">
        <v>-149.80000000000001</v>
      </c>
      <c r="E10" s="48">
        <v>466.7</v>
      </c>
      <c r="F10" s="111">
        <v>-417.4</v>
      </c>
      <c r="G10" s="112">
        <v>191.8</v>
      </c>
      <c r="H10" s="91">
        <v>-35.700000000000003</v>
      </c>
      <c r="I10" s="91">
        <v>-6.8</v>
      </c>
      <c r="J10" s="91">
        <v>319.89999999999998</v>
      </c>
      <c r="K10" s="91">
        <v>-557.4</v>
      </c>
      <c r="L10" s="91">
        <f>493/10</f>
        <v>49.3</v>
      </c>
      <c r="M10" s="91">
        <f>-(2785/10)</f>
        <v>-278.5</v>
      </c>
      <c r="N10" s="91">
        <v>-121.8</v>
      </c>
      <c r="P10" s="25" t="s">
        <v>35</v>
      </c>
      <c r="Q10" s="26">
        <f t="shared" ref="Q10:W10" si="5">(Q8+Q9)</f>
        <v>188.392</v>
      </c>
      <c r="R10" s="26">
        <f t="shared" si="5"/>
        <v>233.13499999999999</v>
      </c>
      <c r="S10" s="26">
        <f t="shared" si="5"/>
        <v>1397.1</v>
      </c>
      <c r="T10" s="26">
        <f t="shared" si="5"/>
        <v>553.4</v>
      </c>
      <c r="U10" s="55">
        <f t="shared" si="5"/>
        <v>381.7</v>
      </c>
      <c r="V10" s="55">
        <f>(V8+V9)</f>
        <v>306.20000000000005</v>
      </c>
      <c r="W10" s="55">
        <f t="shared" si="5"/>
        <v>180.28800000000001</v>
      </c>
      <c r="X10" s="55">
        <f t="shared" ref="X10:AA10" si="6">(X8+X9)</f>
        <v>210.2</v>
      </c>
      <c r="Y10" s="55">
        <f t="shared" si="6"/>
        <v>99.600000000000009</v>
      </c>
      <c r="Z10" s="55">
        <f t="shared" si="6"/>
        <v>81.099999999999994</v>
      </c>
      <c r="AA10" s="55">
        <f t="shared" si="6"/>
        <v>103.5</v>
      </c>
      <c r="AB10" s="55">
        <f>(AB8+AB9)</f>
        <v>637.79999999999995</v>
      </c>
      <c r="AC10" s="55">
        <f>(AC8+AC9)</f>
        <v>487.3</v>
      </c>
      <c r="AD10" s="55">
        <f>(AD8+AD9)</f>
        <v>487</v>
      </c>
    </row>
    <row r="11" spans="1:30" ht="15" customHeight="1" x14ac:dyDescent="0.25">
      <c r="A11" s="8" t="s">
        <v>60</v>
      </c>
      <c r="B11" s="3">
        <v>45.047000000000004</v>
      </c>
      <c r="C11" s="3">
        <v>52.408000000000001</v>
      </c>
      <c r="D11" s="3">
        <v>713</v>
      </c>
      <c r="E11" s="3">
        <v>724.2</v>
      </c>
      <c r="F11" s="111">
        <v>779.2</v>
      </c>
      <c r="G11" s="91">
        <v>884.4</v>
      </c>
      <c r="H11" s="91">
        <v>944.5</v>
      </c>
      <c r="I11" s="91">
        <v>996.1</v>
      </c>
      <c r="J11" s="91">
        <v>1012.1</v>
      </c>
      <c r="K11" s="91">
        <v>1152.9000000000001</v>
      </c>
      <c r="L11" s="91">
        <f>11994/10</f>
        <v>1199.4000000000001</v>
      </c>
      <c r="M11" s="91">
        <f>12161/10</f>
        <v>1216.0999999999999</v>
      </c>
      <c r="N11" s="91">
        <v>947.8</v>
      </c>
      <c r="P11" s="25" t="s">
        <v>36</v>
      </c>
      <c r="Q11" s="26">
        <f>(Q6+Q8+Q7+Q39+Q38)</f>
        <v>241.87400000000002</v>
      </c>
      <c r="R11" s="26">
        <f>(R6+R8+R7+R39+R38)</f>
        <v>280.59900000000005</v>
      </c>
      <c r="S11" s="26">
        <f>(S6+S8+S7+S39+S38)</f>
        <v>8989.1</v>
      </c>
      <c r="T11" s="26">
        <f>(T6+T8+T7+T39+T38)</f>
        <v>9472.1</v>
      </c>
      <c r="U11" s="55">
        <f>(U6+U8+U7+U39+U38)</f>
        <v>10055.799999999999</v>
      </c>
      <c r="V11" s="55">
        <f>(V6+V8+V7+V39+V38+V40)</f>
        <v>10587.400000000001</v>
      </c>
      <c r="W11" s="55">
        <f>(W6+W8+W7+W39+W38)</f>
        <v>708.75700000000006</v>
      </c>
      <c r="X11" s="55">
        <f t="shared" ref="X11:AC11" si="7">(X6+X8+X7+X39+X38+X40)</f>
        <v>11022.900000000001</v>
      </c>
      <c r="Y11" s="55">
        <f t="shared" si="7"/>
        <v>11373.699999999999</v>
      </c>
      <c r="Z11" s="55">
        <f t="shared" si="7"/>
        <v>11932.9</v>
      </c>
      <c r="AA11" s="55">
        <f t="shared" si="7"/>
        <v>13505.5</v>
      </c>
      <c r="AB11" s="55">
        <f t="shared" si="7"/>
        <v>14715.300000000001</v>
      </c>
      <c r="AC11" s="55">
        <f t="shared" si="7"/>
        <v>15102.3</v>
      </c>
      <c r="AD11" s="55">
        <f>(AD6+AD8+AD7+AD39+AD38+AD40)</f>
        <v>15499.800000000001</v>
      </c>
    </row>
    <row r="12" spans="1:30" ht="15" customHeight="1" x14ac:dyDescent="0.25">
      <c r="A12" s="8" t="s">
        <v>61</v>
      </c>
      <c r="B12" s="3">
        <v>141.267</v>
      </c>
      <c r="C12" s="3">
        <v>194.69900000000001</v>
      </c>
      <c r="D12" s="3">
        <v>2705.3</v>
      </c>
      <c r="E12" s="3">
        <v>2715.2</v>
      </c>
      <c r="F12" s="111">
        <v>4230.3</v>
      </c>
      <c r="G12" s="91">
        <v>3572.8</v>
      </c>
      <c r="H12" s="91">
        <v>3775.8</v>
      </c>
      <c r="I12" s="91">
        <v>3509</v>
      </c>
      <c r="J12" s="91">
        <v>2860.2</v>
      </c>
      <c r="K12" s="91">
        <v>3912.5</v>
      </c>
      <c r="L12" s="91">
        <f>42505/10</f>
        <v>4250.5</v>
      </c>
      <c r="M12" s="91">
        <f>39151/10</f>
        <v>3915.1</v>
      </c>
      <c r="N12" s="91">
        <f>1702.5+1479.4</f>
        <v>3181.9</v>
      </c>
      <c r="O12" s="1">
        <f>475.5+559.2</f>
        <v>1034.7</v>
      </c>
      <c r="P12" s="25" t="s">
        <v>36</v>
      </c>
      <c r="Q12" s="26">
        <f t="shared" ref="Q12:AC12" si="8">Q42-Q30-Q9</f>
        <v>241.87300000000005</v>
      </c>
      <c r="R12" s="26">
        <f t="shared" si="8"/>
        <v>280.61299999999994</v>
      </c>
      <c r="S12" s="26">
        <f t="shared" si="8"/>
        <v>9012.6</v>
      </c>
      <c r="T12" s="26">
        <f t="shared" si="8"/>
        <v>9496.9</v>
      </c>
      <c r="U12" s="55">
        <f t="shared" si="8"/>
        <v>10111.300000000003</v>
      </c>
      <c r="V12" s="55">
        <f t="shared" si="8"/>
        <v>10587.400000000001</v>
      </c>
      <c r="W12" s="55">
        <f t="shared" si="8"/>
        <v>1041.8700000000003</v>
      </c>
      <c r="X12" s="55">
        <f t="shared" si="8"/>
        <v>11022.900000000001</v>
      </c>
      <c r="Y12" s="55">
        <f t="shared" si="8"/>
        <v>11373.7</v>
      </c>
      <c r="Z12" s="55">
        <f t="shared" si="8"/>
        <v>11932.900000000003</v>
      </c>
      <c r="AA12" s="55">
        <f t="shared" si="8"/>
        <v>13505.500000000002</v>
      </c>
      <c r="AB12" s="55">
        <f t="shared" si="8"/>
        <v>14715.3</v>
      </c>
      <c r="AC12" s="55">
        <f t="shared" si="8"/>
        <v>15102.300000000001</v>
      </c>
      <c r="AD12" s="55">
        <f>AD42-AD30</f>
        <v>15499.799999999997</v>
      </c>
    </row>
    <row r="13" spans="1:30" ht="15" customHeight="1" x14ac:dyDescent="0.25">
      <c r="A13" s="25" t="s">
        <v>4</v>
      </c>
      <c r="B13" s="26">
        <f t="shared" ref="B13:K13" si="9">(B4-B7)</f>
        <v>65.390999999999963</v>
      </c>
      <c r="C13" s="26">
        <f t="shared" si="9"/>
        <v>100.03300000000002</v>
      </c>
      <c r="D13" s="26">
        <f t="shared" si="9"/>
        <v>1156.7000000000007</v>
      </c>
      <c r="E13" s="26">
        <f t="shared" si="9"/>
        <v>1422</v>
      </c>
      <c r="F13" s="26">
        <f t="shared" si="9"/>
        <v>1818.7000000000007</v>
      </c>
      <c r="G13" s="55">
        <f t="shared" si="9"/>
        <v>1117.1000000000022</v>
      </c>
      <c r="H13" s="55">
        <f t="shared" si="9"/>
        <v>1505.0999999999985</v>
      </c>
      <c r="I13" s="55">
        <f t="shared" si="9"/>
        <v>932.09999999999673</v>
      </c>
      <c r="J13" s="55">
        <f t="shared" si="9"/>
        <v>1203.5</v>
      </c>
      <c r="K13" s="55">
        <f t="shared" si="9"/>
        <v>2642.8999999999978</v>
      </c>
      <c r="L13" s="55">
        <f>(L4-L7)</f>
        <v>1423.3000000000029</v>
      </c>
      <c r="M13" s="55">
        <f>(M4-M7)</f>
        <v>827.89999999999782</v>
      </c>
      <c r="N13" s="55">
        <f>(N4-N7)</f>
        <v>1059.8999999999996</v>
      </c>
      <c r="P13" s="12"/>
      <c r="Q13" s="7"/>
      <c r="R13" s="7">
        <v>311.82900000000001</v>
      </c>
      <c r="S13" s="7"/>
      <c r="T13" s="7"/>
      <c r="U13" s="86"/>
      <c r="V13" s="86"/>
      <c r="W13" s="86"/>
      <c r="X13" s="63"/>
      <c r="Y13" s="63"/>
      <c r="Z13" s="63"/>
      <c r="AA13" s="63"/>
      <c r="AB13" s="70"/>
      <c r="AC13" s="70"/>
      <c r="AD13" s="70"/>
    </row>
    <row r="14" spans="1:30" ht="15" customHeight="1" x14ac:dyDescent="0.25">
      <c r="A14" s="27" t="s">
        <v>1</v>
      </c>
      <c r="B14" s="28"/>
      <c r="C14" s="28">
        <f t="shared" ref="C14:M14" si="10">(C13/B13-1)</f>
        <v>0.52976709333088756</v>
      </c>
      <c r="D14" s="28">
        <f t="shared" si="10"/>
        <v>10.563184149230759</v>
      </c>
      <c r="E14" s="28">
        <f t="shared" si="10"/>
        <v>0.22935938445577864</v>
      </c>
      <c r="F14" s="28">
        <f t="shared" si="10"/>
        <v>0.27897327707454345</v>
      </c>
      <c r="G14" s="54">
        <f t="shared" si="10"/>
        <v>-0.38577005553417176</v>
      </c>
      <c r="H14" s="54">
        <f t="shared" si="10"/>
        <v>0.34732790260495539</v>
      </c>
      <c r="I14" s="54">
        <f t="shared" si="10"/>
        <v>-0.38070560095674866</v>
      </c>
      <c r="J14" s="54">
        <f t="shared" si="10"/>
        <v>0.29117047527089812</v>
      </c>
      <c r="K14" s="54">
        <f t="shared" si="10"/>
        <v>1.1960116327378461</v>
      </c>
      <c r="L14" s="53">
        <f t="shared" si="10"/>
        <v>-0.46146278708993749</v>
      </c>
      <c r="M14" s="53">
        <f t="shared" si="10"/>
        <v>-0.41832361413616515</v>
      </c>
      <c r="N14" s="53"/>
      <c r="P14" s="25" t="s">
        <v>121</v>
      </c>
      <c r="Q14" s="25"/>
      <c r="R14" s="25"/>
      <c r="S14" s="25"/>
      <c r="T14" s="25"/>
      <c r="U14" s="118">
        <f>SUM(U15:U21)</f>
        <v>6063.5</v>
      </c>
      <c r="V14" s="118">
        <f t="shared" ref="V14:AC14" si="11">SUM(V15:V21)</f>
        <v>6065</v>
      </c>
      <c r="W14" s="118">
        <f t="shared" si="11"/>
        <v>599.22300000000007</v>
      </c>
      <c r="X14" s="118">
        <f t="shared" si="11"/>
        <v>5889.0000000000009</v>
      </c>
      <c r="Y14" s="118">
        <f t="shared" si="11"/>
        <v>5591.7000000000007</v>
      </c>
      <c r="Z14" s="118">
        <f t="shared" si="11"/>
        <v>5306.7000000000007</v>
      </c>
      <c r="AA14" s="118">
        <f t="shared" si="11"/>
        <v>6058.5</v>
      </c>
      <c r="AB14" s="118">
        <f t="shared" si="11"/>
        <v>8021.8999999999987</v>
      </c>
      <c r="AC14" s="118">
        <f t="shared" si="11"/>
        <v>8896.6</v>
      </c>
      <c r="AD14" s="118">
        <f>SUM(AD15:AD21)</f>
        <v>9042.9</v>
      </c>
    </row>
    <row r="15" spans="1:30" ht="15" customHeight="1" x14ac:dyDescent="0.2">
      <c r="A15" s="27" t="s">
        <v>75</v>
      </c>
      <c r="B15" s="28"/>
      <c r="C15" s="28"/>
      <c r="D15" s="28"/>
      <c r="E15" s="28"/>
      <c r="F15" s="28"/>
      <c r="G15" s="54">
        <f t="shared" ref="G15:M15" si="12">+((G13/B13)^(1/5)-1)</f>
        <v>0.76406593896649344</v>
      </c>
      <c r="H15" s="54">
        <f t="shared" si="12"/>
        <v>0.71982561270259948</v>
      </c>
      <c r="I15" s="54">
        <f t="shared" si="12"/>
        <v>-4.2258393727768295E-2</v>
      </c>
      <c r="J15" s="54">
        <f t="shared" si="12"/>
        <v>-3.2815563038201656E-2</v>
      </c>
      <c r="K15" s="54">
        <f t="shared" si="12"/>
        <v>7.7615756436004046E-2</v>
      </c>
      <c r="L15" s="54">
        <f t="shared" si="12"/>
        <v>4.9641225205945716E-2</v>
      </c>
      <c r="M15" s="54">
        <f t="shared" si="12"/>
        <v>-0.1126754339270285</v>
      </c>
      <c r="N15" s="54"/>
      <c r="P15" s="8" t="s">
        <v>108</v>
      </c>
      <c r="Q15" s="6">
        <v>222.44</v>
      </c>
      <c r="R15" s="6">
        <v>238.928</v>
      </c>
      <c r="S15" s="6">
        <v>6115.1</v>
      </c>
      <c r="T15" s="6">
        <v>6015.1</v>
      </c>
      <c r="U15" s="63">
        <v>5687.7</v>
      </c>
      <c r="V15" s="63">
        <v>5685.3</v>
      </c>
      <c r="W15" s="63">
        <v>542.58299999999997</v>
      </c>
      <c r="X15" s="63">
        <v>5428.9</v>
      </c>
      <c r="Y15" s="63">
        <v>5154.5</v>
      </c>
      <c r="Z15" s="63">
        <v>4809.6000000000004</v>
      </c>
      <c r="AA15" s="63">
        <v>4668.8999999999996</v>
      </c>
      <c r="AB15" s="70">
        <f>63704/10</f>
        <v>6370.4</v>
      </c>
      <c r="AC15" s="70">
        <v>7993.6</v>
      </c>
      <c r="AD15" s="70">
        <v>7790.3</v>
      </c>
    </row>
    <row r="16" spans="1:30" ht="15" customHeight="1" x14ac:dyDescent="0.25">
      <c r="A16" s="25" t="s">
        <v>5</v>
      </c>
      <c r="B16" s="29">
        <f t="shared" ref="B16:L16" si="13">(B13/B4)</f>
        <v>9.6342602551220305E-2</v>
      </c>
      <c r="C16" s="29">
        <f t="shared" si="13"/>
        <v>0.10445576139314726</v>
      </c>
      <c r="D16" s="29">
        <f t="shared" si="13"/>
        <v>9.4925853282233574E-2</v>
      </c>
      <c r="E16" s="29">
        <f t="shared" si="13"/>
        <v>0.12433982721835543</v>
      </c>
      <c r="F16" s="29">
        <f t="shared" si="13"/>
        <v>0.13580293006376851</v>
      </c>
      <c r="G16" s="57">
        <f t="shared" si="13"/>
        <v>7.7160046139925692E-2</v>
      </c>
      <c r="H16" s="57">
        <f t="shared" si="13"/>
        <v>8.4019024439259044E-2</v>
      </c>
      <c r="I16" s="57">
        <f t="shared" si="13"/>
        <v>6.548037204597161E-2</v>
      </c>
      <c r="J16" s="57">
        <f t="shared" si="13"/>
        <v>9.842165521753353E-2</v>
      </c>
      <c r="K16" s="57">
        <f t="shared" si="13"/>
        <v>0.12598256293407939</v>
      </c>
      <c r="L16" s="57">
        <f t="shared" si="13"/>
        <v>6.86904273545524E-2</v>
      </c>
      <c r="M16" s="57">
        <f>(M13/M4)</f>
        <v>4.7467247656451439E-2</v>
      </c>
      <c r="N16" s="57">
        <f>(N13/N4)</f>
        <v>6.8043063767501855E-2</v>
      </c>
      <c r="P16" s="8" t="s">
        <v>84</v>
      </c>
      <c r="Q16" s="6"/>
      <c r="R16" s="6"/>
      <c r="S16" s="6">
        <v>0</v>
      </c>
      <c r="T16" s="6">
        <v>0</v>
      </c>
      <c r="U16" s="63">
        <v>24.5</v>
      </c>
      <c r="V16" s="63">
        <v>61.6</v>
      </c>
      <c r="W16" s="63">
        <v>0</v>
      </c>
      <c r="X16" s="63">
        <v>54.8</v>
      </c>
      <c r="Y16" s="63">
        <v>44.1</v>
      </c>
      <c r="Z16" s="63">
        <v>32.200000000000003</v>
      </c>
      <c r="AA16" s="63">
        <v>21.1</v>
      </c>
      <c r="AB16" s="70">
        <f>92/10</f>
        <v>9.1999999999999993</v>
      </c>
      <c r="AC16" s="70">
        <v>3.2</v>
      </c>
      <c r="AD16" s="70">
        <v>2.6</v>
      </c>
    </row>
    <row r="17" spans="1:31" ht="15" customHeight="1" x14ac:dyDescent="0.2">
      <c r="A17" s="8" t="s">
        <v>6</v>
      </c>
      <c r="B17" s="6">
        <v>2.8090000000000002</v>
      </c>
      <c r="C17" s="6">
        <v>3.5720000000000001</v>
      </c>
      <c r="D17" s="6">
        <v>70.2</v>
      </c>
      <c r="E17" s="6">
        <v>38.9</v>
      </c>
      <c r="F17" s="6">
        <v>154.9</v>
      </c>
      <c r="G17" s="63">
        <v>177.5</v>
      </c>
      <c r="H17" s="63">
        <v>216.3</v>
      </c>
      <c r="I17" s="63">
        <v>422.3</v>
      </c>
      <c r="J17" s="63">
        <v>220.2</v>
      </c>
      <c r="K17" s="63">
        <v>206.3</v>
      </c>
      <c r="L17" s="56">
        <f>1904/10</f>
        <v>190.4</v>
      </c>
      <c r="M17" s="56">
        <f>3349/10</f>
        <v>334.9</v>
      </c>
      <c r="N17" s="56">
        <v>220.7</v>
      </c>
      <c r="P17" s="8" t="s">
        <v>85</v>
      </c>
      <c r="Q17" s="6">
        <v>2.6779999999999999</v>
      </c>
      <c r="R17" s="6">
        <v>2.2079999999999997</v>
      </c>
      <c r="S17" s="6">
        <v>122.7</v>
      </c>
      <c r="T17" s="6">
        <v>18.899999999999999</v>
      </c>
      <c r="U17" s="63">
        <v>36.6</v>
      </c>
      <c r="V17" s="63">
        <v>38.9</v>
      </c>
      <c r="W17" s="63">
        <v>44.177</v>
      </c>
      <c r="X17" s="63">
        <v>17.3</v>
      </c>
      <c r="Y17" s="63">
        <v>31.6</v>
      </c>
      <c r="Z17" s="63">
        <v>17.600000000000001</v>
      </c>
      <c r="AA17" s="63">
        <v>683.4</v>
      </c>
      <c r="AB17" s="70">
        <f>10617/10</f>
        <v>1061.7</v>
      </c>
      <c r="AC17" s="70">
        <v>36.5</v>
      </c>
      <c r="AD17" s="70">
        <v>147.19999999999999</v>
      </c>
    </row>
    <row r="18" spans="1:31" ht="15" customHeight="1" x14ac:dyDescent="0.2">
      <c r="A18" s="8" t="s">
        <v>7</v>
      </c>
      <c r="B18" s="6">
        <v>14.586000000000002</v>
      </c>
      <c r="C18" s="6">
        <v>21.972999999999999</v>
      </c>
      <c r="D18" s="6">
        <v>427.5</v>
      </c>
      <c r="E18" s="6">
        <v>402.4</v>
      </c>
      <c r="F18" s="6">
        <v>423.7</v>
      </c>
      <c r="G18" s="63">
        <v>419.4</v>
      </c>
      <c r="H18" s="63">
        <v>450.4</v>
      </c>
      <c r="I18" s="63">
        <v>455</v>
      </c>
      <c r="J18" s="63">
        <v>408.8</v>
      </c>
      <c r="K18" s="63">
        <v>396.2</v>
      </c>
      <c r="L18" s="56">
        <f>4122/10</f>
        <v>412.2</v>
      </c>
      <c r="M18" s="56">
        <f>5026/10</f>
        <v>502.6</v>
      </c>
      <c r="N18" s="56">
        <v>413.6</v>
      </c>
      <c r="P18" s="8" t="s">
        <v>109</v>
      </c>
      <c r="Q18" s="6">
        <v>4.609</v>
      </c>
      <c r="R18" s="6">
        <v>6.1579999999999995</v>
      </c>
      <c r="S18" s="6">
        <v>151.1</v>
      </c>
      <c r="T18" s="6">
        <v>170</v>
      </c>
      <c r="U18" s="63">
        <v>220.9</v>
      </c>
      <c r="V18" s="63">
        <v>177.2</v>
      </c>
      <c r="W18" s="63">
        <v>12.247999999999999</v>
      </c>
      <c r="X18" s="63">
        <v>124.6</v>
      </c>
      <c r="Y18" s="63">
        <v>53.4</v>
      </c>
      <c r="Z18" s="63">
        <v>153</v>
      </c>
      <c r="AA18" s="63">
        <v>283.60000000000002</v>
      </c>
      <c r="AB18" s="70">
        <v>394.9</v>
      </c>
      <c r="AC18" s="70">
        <v>699.2</v>
      </c>
      <c r="AD18" s="70">
        <f>916.8+22.3</f>
        <v>939.09999999999991</v>
      </c>
    </row>
    <row r="19" spans="1:31" ht="15" customHeight="1" x14ac:dyDescent="0.2">
      <c r="A19" s="8" t="s">
        <v>83</v>
      </c>
      <c r="B19" s="6">
        <v>21.365000000000002</v>
      </c>
      <c r="C19" s="6">
        <v>28.931999999999999</v>
      </c>
      <c r="D19" s="6">
        <v>173.2</v>
      </c>
      <c r="E19" s="6">
        <v>95.6</v>
      </c>
      <c r="F19" s="6">
        <v>56.2</v>
      </c>
      <c r="G19" s="63">
        <v>34</v>
      </c>
      <c r="H19" s="63">
        <v>34.6</v>
      </c>
      <c r="I19" s="63">
        <v>34.9</v>
      </c>
      <c r="J19" s="63">
        <v>15.5</v>
      </c>
      <c r="K19" s="63">
        <v>12.4</v>
      </c>
      <c r="L19" s="56">
        <f>235/10</f>
        <v>23.5</v>
      </c>
      <c r="M19" s="56">
        <f>535/10</f>
        <v>53.5</v>
      </c>
      <c r="N19" s="56">
        <v>35.700000000000003</v>
      </c>
      <c r="P19" s="8" t="s">
        <v>110</v>
      </c>
      <c r="Q19" s="8"/>
      <c r="R19" s="8"/>
      <c r="S19" s="8"/>
      <c r="T19" s="8"/>
      <c r="U19" s="88" t="s">
        <v>98</v>
      </c>
      <c r="V19" s="89" t="s">
        <v>98</v>
      </c>
      <c r="W19" s="88"/>
      <c r="X19" s="90" t="s">
        <v>98</v>
      </c>
      <c r="Y19" s="91">
        <v>77.099999999999994</v>
      </c>
      <c r="Z19" s="56">
        <v>74.3</v>
      </c>
      <c r="AA19" s="56">
        <v>71.599999999999994</v>
      </c>
      <c r="AB19" s="70">
        <f>689/10</f>
        <v>68.900000000000006</v>
      </c>
      <c r="AC19" s="70">
        <v>66.2</v>
      </c>
      <c r="AD19" s="70">
        <v>64.8</v>
      </c>
    </row>
    <row r="20" spans="1:31" ht="15" customHeight="1" x14ac:dyDescent="0.2">
      <c r="A20" s="8" t="s">
        <v>8</v>
      </c>
      <c r="B20" s="6"/>
      <c r="C20" s="6"/>
      <c r="D20" s="6"/>
      <c r="E20" s="6">
        <v>75.400000000000006</v>
      </c>
      <c r="F20" s="6">
        <v>95.8</v>
      </c>
      <c r="G20" s="63">
        <v>-249.1</v>
      </c>
      <c r="H20" s="63">
        <v>45.4</v>
      </c>
      <c r="I20" s="58">
        <v>0</v>
      </c>
      <c r="J20" s="63">
        <v>81.900000000000006</v>
      </c>
      <c r="K20" s="58">
        <v>0</v>
      </c>
      <c r="L20" s="58">
        <v>0</v>
      </c>
      <c r="M20" s="58">
        <v>0</v>
      </c>
      <c r="N20" s="58">
        <v>0</v>
      </c>
      <c r="P20" s="8" t="s">
        <v>105</v>
      </c>
      <c r="Q20" s="6">
        <v>0.215</v>
      </c>
      <c r="R20" s="6">
        <v>0.49800000000000005</v>
      </c>
      <c r="S20" s="6">
        <v>162.80000000000001</v>
      </c>
      <c r="T20" s="6">
        <v>92.5</v>
      </c>
      <c r="U20" s="63">
        <v>93.8</v>
      </c>
      <c r="V20" s="63">
        <v>102</v>
      </c>
      <c r="W20" s="63">
        <v>0.215</v>
      </c>
      <c r="X20" s="63">
        <v>93.8</v>
      </c>
      <c r="Y20" s="63">
        <v>112.7</v>
      </c>
      <c r="Z20" s="63">
        <v>110</v>
      </c>
      <c r="AA20" s="63">
        <v>239.9</v>
      </c>
      <c r="AB20" s="70">
        <f>1168/10</f>
        <v>116.8</v>
      </c>
      <c r="AC20" s="70">
        <v>97.9</v>
      </c>
      <c r="AD20" s="70">
        <v>98.9</v>
      </c>
    </row>
    <row r="21" spans="1:31" ht="15" customHeight="1" x14ac:dyDescent="0.2">
      <c r="A21" s="8" t="s">
        <v>113</v>
      </c>
      <c r="B21" s="8"/>
      <c r="C21" s="8"/>
      <c r="D21" s="8"/>
      <c r="E21" s="8"/>
      <c r="F21" s="8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f>-12/10</f>
        <v>-1.2</v>
      </c>
      <c r="M21" s="56">
        <f>-(314/10)</f>
        <v>-31.4</v>
      </c>
      <c r="N21" s="56">
        <v>-4.8</v>
      </c>
      <c r="P21" s="8" t="s">
        <v>106</v>
      </c>
      <c r="Q21" s="8"/>
      <c r="R21" s="8"/>
      <c r="S21" s="8"/>
      <c r="T21" s="8"/>
      <c r="U21" s="56"/>
      <c r="V21" s="71"/>
      <c r="W21" s="56"/>
      <c r="X21" s="91">
        <v>169.6</v>
      </c>
      <c r="Y21" s="91">
        <v>118.3</v>
      </c>
      <c r="Z21" s="56">
        <v>110</v>
      </c>
      <c r="AA21" s="56">
        <v>90</v>
      </c>
      <c r="AB21" s="72">
        <v>0</v>
      </c>
      <c r="AC21" s="72">
        <v>0</v>
      </c>
      <c r="AD21" s="72">
        <v>0</v>
      </c>
    </row>
    <row r="22" spans="1:31" ht="15" customHeight="1" x14ac:dyDescent="0.25">
      <c r="A22" s="25" t="s">
        <v>9</v>
      </c>
      <c r="B22" s="26">
        <f t="shared" ref="B22:K22" si="14">(B13-B18-B19+B17-B20)</f>
        <v>32.24899999999996</v>
      </c>
      <c r="C22" s="26">
        <f t="shared" si="14"/>
        <v>52.700000000000017</v>
      </c>
      <c r="D22" s="26">
        <f t="shared" si="14"/>
        <v>626.20000000000073</v>
      </c>
      <c r="E22" s="26">
        <f t="shared" si="14"/>
        <v>887.5</v>
      </c>
      <c r="F22" s="26">
        <f t="shared" si="14"/>
        <v>1397.9000000000008</v>
      </c>
      <c r="G22" s="55">
        <f t="shared" si="14"/>
        <v>1090.3000000000022</v>
      </c>
      <c r="H22" s="55">
        <f t="shared" si="14"/>
        <v>1190.9999999999984</v>
      </c>
      <c r="I22" s="55">
        <f t="shared" si="14"/>
        <v>864.49999999999682</v>
      </c>
      <c r="J22" s="55">
        <f t="shared" si="14"/>
        <v>917.50000000000011</v>
      </c>
      <c r="K22" s="55">
        <f t="shared" si="14"/>
        <v>2440.5999999999981</v>
      </c>
      <c r="L22" s="55">
        <f>(L13-L18-L19+L17-L20+L21)</f>
        <v>1176.8000000000029</v>
      </c>
      <c r="M22" s="55">
        <f>(M13-M18-M19+M17-M20+M21)</f>
        <v>575.29999999999779</v>
      </c>
      <c r="N22" s="55">
        <f>(N13-N18-N19+N17-N20+N21)</f>
        <v>826.49999999999955</v>
      </c>
      <c r="P22" s="25" t="s">
        <v>37</v>
      </c>
      <c r="Q22" s="26">
        <f t="shared" ref="Q22:W22" si="15">SUM(Q23:Q29)</f>
        <v>258.839</v>
      </c>
      <c r="R22" s="26">
        <f t="shared" si="15"/>
        <v>374.93100000000004</v>
      </c>
      <c r="S22" s="26">
        <f>SUM(S23:S29)</f>
        <v>3934.1</v>
      </c>
      <c r="T22" s="26">
        <f t="shared" si="15"/>
        <v>3862.6000000000004</v>
      </c>
      <c r="U22" s="55">
        <f t="shared" si="15"/>
        <v>5131.1000000000013</v>
      </c>
      <c r="V22" s="55">
        <f>SUM(V23:V29)</f>
        <v>5572.1000000000013</v>
      </c>
      <c r="W22" s="55">
        <f t="shared" si="15"/>
        <v>742.27800000000002</v>
      </c>
      <c r="X22" s="55">
        <f t="shared" ref="X22:AB22" si="16">SUM(X23:X29)</f>
        <v>6592.8</v>
      </c>
      <c r="Y22" s="55">
        <f t="shared" si="16"/>
        <v>7047</v>
      </c>
      <c r="Z22" s="55">
        <f t="shared" si="16"/>
        <v>8095.1000000000013</v>
      </c>
      <c r="AA22" s="55">
        <f t="shared" si="16"/>
        <v>9167.4000000000015</v>
      </c>
      <c r="AB22" s="55">
        <f t="shared" si="16"/>
        <v>8204.2000000000007</v>
      </c>
      <c r="AC22" s="55">
        <f>SUM(AC23:AC29)</f>
        <v>7945.9</v>
      </c>
      <c r="AD22" s="55">
        <f>SUM(AD23:AD29)</f>
        <v>9658.7999999999993</v>
      </c>
    </row>
    <row r="23" spans="1:31" ht="15" customHeight="1" x14ac:dyDescent="0.2">
      <c r="A23" s="8" t="s">
        <v>10</v>
      </c>
      <c r="B23" s="3">
        <v>10.525</v>
      </c>
      <c r="C23" s="3">
        <v>13.308000000000002</v>
      </c>
      <c r="D23" s="3">
        <v>260.5</v>
      </c>
      <c r="E23" s="3">
        <v>292.89999999999998</v>
      </c>
      <c r="F23" s="3">
        <v>488.2</v>
      </c>
      <c r="G23" s="71">
        <v>389.4</v>
      </c>
      <c r="H23" s="71">
        <v>425.2</v>
      </c>
      <c r="I23" s="71">
        <v>-90.8</v>
      </c>
      <c r="J23" s="71">
        <v>208.3</v>
      </c>
      <c r="K23" s="71">
        <v>599</v>
      </c>
      <c r="L23" s="70">
        <f>2736/10</f>
        <v>273.60000000000002</v>
      </c>
      <c r="M23" s="56">
        <f>(548+1+929)/10</f>
        <v>147.80000000000001</v>
      </c>
      <c r="N23" s="56">
        <f>161.5+67.9</f>
        <v>229.4</v>
      </c>
      <c r="P23" s="8" t="s">
        <v>38</v>
      </c>
      <c r="Q23" s="6">
        <v>85.28</v>
      </c>
      <c r="R23" s="6">
        <v>117.47200000000001</v>
      </c>
      <c r="S23" s="6">
        <v>2025.2</v>
      </c>
      <c r="T23" s="6">
        <v>1466.4</v>
      </c>
      <c r="U23" s="63">
        <v>2308.1</v>
      </c>
      <c r="V23" s="63">
        <v>2187.6</v>
      </c>
      <c r="W23" s="63">
        <v>220.95400000000001</v>
      </c>
      <c r="X23" s="63">
        <v>2170.9</v>
      </c>
      <c r="Y23" s="63">
        <v>2324.1</v>
      </c>
      <c r="Z23" s="63">
        <v>1910</v>
      </c>
      <c r="AA23" s="63">
        <v>3079.9</v>
      </c>
      <c r="AB23" s="70">
        <v>2433.6</v>
      </c>
      <c r="AC23" s="70">
        <v>2692.2</v>
      </c>
      <c r="AD23" s="70">
        <v>3531.8</v>
      </c>
      <c r="AE23" s="14"/>
    </row>
    <row r="24" spans="1:31" ht="15" customHeight="1" x14ac:dyDescent="0.2">
      <c r="A24" s="27" t="s">
        <v>11</v>
      </c>
      <c r="B24" s="30">
        <f t="shared" ref="B24:H24" si="17">(B23/B22)</f>
        <v>0.32636670904524212</v>
      </c>
      <c r="C24" s="30">
        <f t="shared" si="17"/>
        <v>0.25252371916508531</v>
      </c>
      <c r="D24" s="30">
        <f t="shared" si="17"/>
        <v>0.41600127754710908</v>
      </c>
      <c r="E24" s="30">
        <f t="shared" si="17"/>
        <v>0.33002816901408449</v>
      </c>
      <c r="F24" s="30">
        <f t="shared" si="17"/>
        <v>0.34923814292867855</v>
      </c>
      <c r="G24" s="59">
        <f t="shared" si="17"/>
        <v>0.35714940841970028</v>
      </c>
      <c r="H24" s="59">
        <f t="shared" si="17"/>
        <v>0.35701091519731365</v>
      </c>
      <c r="I24" s="59">
        <f t="shared" ref="I24:M24" si="18">(I23/I22)</f>
        <v>-0.10503181029496857</v>
      </c>
      <c r="J24" s="59">
        <f t="shared" si="18"/>
        <v>0.22702997275204359</v>
      </c>
      <c r="K24" s="59">
        <f t="shared" si="18"/>
        <v>0.24543145128247171</v>
      </c>
      <c r="L24" s="59">
        <f t="shared" si="18"/>
        <v>0.23249490142759971</v>
      </c>
      <c r="M24" s="59">
        <f t="shared" si="18"/>
        <v>0.256909438553799</v>
      </c>
      <c r="N24" s="59">
        <f>(N23/N22)</f>
        <v>0.27755595886267409</v>
      </c>
      <c r="P24" s="69" t="s">
        <v>39</v>
      </c>
      <c r="Q24" s="6">
        <v>106.55799999999999</v>
      </c>
      <c r="R24" s="6">
        <v>165.07400000000001</v>
      </c>
      <c r="S24" s="6">
        <v>1641.7</v>
      </c>
      <c r="T24" s="6">
        <v>1557.7</v>
      </c>
      <c r="U24" s="63">
        <v>1887.9</v>
      </c>
      <c r="V24" s="63">
        <v>2071</v>
      </c>
      <c r="W24" s="63">
        <v>319.66699999999997</v>
      </c>
      <c r="X24" s="63">
        <v>2049.1999999999998</v>
      </c>
      <c r="Y24" s="63">
        <v>1523.6</v>
      </c>
      <c r="Z24" s="63">
        <v>2323.6</v>
      </c>
      <c r="AA24" s="63">
        <v>2393.3000000000002</v>
      </c>
      <c r="AB24" s="70">
        <v>2170.4</v>
      </c>
      <c r="AC24" s="70">
        <v>1969.9</v>
      </c>
      <c r="AD24" s="70">
        <v>2248.1999999999998</v>
      </c>
    </row>
    <row r="25" spans="1:31" ht="15" customHeight="1" x14ac:dyDescent="0.25">
      <c r="A25" s="25" t="s">
        <v>12</v>
      </c>
      <c r="B25" s="26">
        <f t="shared" ref="B25:H25" si="19">(B22-B23)</f>
        <v>21.723999999999961</v>
      </c>
      <c r="C25" s="26">
        <f t="shared" si="19"/>
        <v>39.392000000000017</v>
      </c>
      <c r="D25" s="26">
        <f t="shared" si="19"/>
        <v>365.70000000000073</v>
      </c>
      <c r="E25" s="26">
        <f t="shared" si="19"/>
        <v>594.6</v>
      </c>
      <c r="F25" s="26">
        <f t="shared" si="19"/>
        <v>909.70000000000073</v>
      </c>
      <c r="G25" s="55">
        <f t="shared" si="19"/>
        <v>700.90000000000225</v>
      </c>
      <c r="H25" s="55">
        <f t="shared" si="19"/>
        <v>765.79999999999836</v>
      </c>
      <c r="I25" s="55">
        <f t="shared" ref="I25:M25" si="20">(I22-I23)</f>
        <v>955.29999999999677</v>
      </c>
      <c r="J25" s="55">
        <f t="shared" si="20"/>
        <v>709.2</v>
      </c>
      <c r="K25" s="55">
        <f t="shared" si="20"/>
        <v>1841.5999999999981</v>
      </c>
      <c r="L25" s="55">
        <f t="shared" si="20"/>
        <v>903.20000000000289</v>
      </c>
      <c r="M25" s="55">
        <f t="shared" si="20"/>
        <v>427.49999999999778</v>
      </c>
      <c r="N25" s="55">
        <f>(N22-N23)</f>
        <v>597.09999999999957</v>
      </c>
      <c r="P25" s="69" t="s">
        <v>40</v>
      </c>
      <c r="Q25" s="6">
        <v>34.091000000000001</v>
      </c>
      <c r="R25" s="6">
        <v>49.185000000000002</v>
      </c>
      <c r="S25" s="6">
        <v>53.9</v>
      </c>
      <c r="T25" s="6">
        <v>47.5</v>
      </c>
      <c r="U25" s="63">
        <v>27.5</v>
      </c>
      <c r="V25" s="63">
        <v>231.1</v>
      </c>
      <c r="W25" s="63">
        <v>50.625</v>
      </c>
      <c r="X25" s="63">
        <v>47.8</v>
      </c>
      <c r="Y25" s="63">
        <v>41.8</v>
      </c>
      <c r="Z25" s="63">
        <v>82.6</v>
      </c>
      <c r="AA25" s="63">
        <v>55.9</v>
      </c>
      <c r="AB25" s="70">
        <v>160.19999999999999</v>
      </c>
      <c r="AC25" s="70">
        <v>41.5</v>
      </c>
      <c r="AD25" s="70">
        <f>41.2+33.3</f>
        <v>74.5</v>
      </c>
    </row>
    <row r="26" spans="1:31" ht="15" customHeight="1" x14ac:dyDescent="0.25">
      <c r="A26" s="25" t="s">
        <v>70</v>
      </c>
      <c r="B26" s="31">
        <f t="shared" ref="B26:L26" si="21">B25/B4</f>
        <v>3.2006647670515934E-2</v>
      </c>
      <c r="C26" s="31">
        <f t="shared" si="21"/>
        <v>4.1133639426977682E-2</v>
      </c>
      <c r="D26" s="31">
        <f t="shared" si="21"/>
        <v>3.0011571319540818E-2</v>
      </c>
      <c r="E26" s="31">
        <f t="shared" si="21"/>
        <v>5.1991885558392507E-2</v>
      </c>
      <c r="F26" s="31">
        <f t="shared" si="21"/>
        <v>6.7927599647556097E-2</v>
      </c>
      <c r="G26" s="60">
        <f t="shared" si="21"/>
        <v>4.8412385945281515E-2</v>
      </c>
      <c r="H26" s="60">
        <f t="shared" si="21"/>
        <v>4.2749165447866916E-2</v>
      </c>
      <c r="I26" s="60">
        <f t="shared" si="21"/>
        <v>6.7110180683957396E-2</v>
      </c>
      <c r="J26" s="60">
        <f t="shared" si="21"/>
        <v>5.7998037291462225E-2</v>
      </c>
      <c r="K26" s="60">
        <f t="shared" si="21"/>
        <v>8.7785950243823296E-2</v>
      </c>
      <c r="L26" s="60">
        <f t="shared" si="21"/>
        <v>4.3589681716174944E-2</v>
      </c>
      <c r="M26" s="60">
        <f>M25/M4</f>
        <v>2.4510506550468582E-2</v>
      </c>
      <c r="N26" s="60">
        <f>N25/N4</f>
        <v>3.8332402467756717E-2</v>
      </c>
      <c r="P26" s="69" t="s">
        <v>118</v>
      </c>
      <c r="Q26" s="6">
        <v>27.811</v>
      </c>
      <c r="R26" s="6">
        <v>30.2</v>
      </c>
      <c r="S26" s="6">
        <v>191.6</v>
      </c>
      <c r="T26" s="6">
        <v>15.1</v>
      </c>
      <c r="U26" s="63">
        <v>777.8</v>
      </c>
      <c r="V26" s="63">
        <v>712</v>
      </c>
      <c r="W26" s="63"/>
      <c r="X26" s="63">
        <v>1580.6</v>
      </c>
      <c r="Y26" s="63">
        <v>2587.4</v>
      </c>
      <c r="Z26" s="63">
        <v>2888.8</v>
      </c>
      <c r="AA26" s="63">
        <v>2338.5</v>
      </c>
      <c r="AB26" s="70">
        <v>3067.8</v>
      </c>
      <c r="AC26" s="70">
        <v>2739.5</v>
      </c>
      <c r="AD26" s="70">
        <v>3138.9</v>
      </c>
    </row>
    <row r="27" spans="1:31" ht="15" customHeight="1" x14ac:dyDescent="0.2">
      <c r="A27" s="8" t="s">
        <v>13</v>
      </c>
      <c r="B27" s="3"/>
      <c r="C27" s="3"/>
      <c r="D27" s="3"/>
      <c r="E27" s="3"/>
      <c r="F27" s="3"/>
      <c r="G27" s="71"/>
      <c r="H27" s="71"/>
      <c r="I27" s="71"/>
      <c r="J27" s="63">
        <v>0</v>
      </c>
      <c r="K27" s="63">
        <v>0</v>
      </c>
      <c r="L27" s="72">
        <v>0</v>
      </c>
      <c r="M27" s="68">
        <v>0</v>
      </c>
      <c r="N27" s="68">
        <v>0</v>
      </c>
      <c r="P27" s="69" t="s">
        <v>95</v>
      </c>
      <c r="Q27" s="6"/>
      <c r="R27" s="6"/>
      <c r="S27" s="6">
        <v>21.7</v>
      </c>
      <c r="T27" s="6">
        <v>646.79999999999995</v>
      </c>
      <c r="U27" s="63">
        <v>35.1</v>
      </c>
      <c r="V27" s="63">
        <v>48</v>
      </c>
      <c r="W27" s="63"/>
      <c r="X27" s="63">
        <v>31.3</v>
      </c>
      <c r="Y27" s="63">
        <v>176.7</v>
      </c>
      <c r="Z27" s="63">
        <v>578.1</v>
      </c>
      <c r="AA27" s="63">
        <v>702.1</v>
      </c>
      <c r="AB27" s="70">
        <v>37.5</v>
      </c>
      <c r="AC27" s="70">
        <v>65.900000000000006</v>
      </c>
      <c r="AD27" s="70">
        <v>100.3</v>
      </c>
    </row>
    <row r="28" spans="1:31" ht="15" customHeight="1" x14ac:dyDescent="0.2">
      <c r="A28" s="8" t="s">
        <v>62</v>
      </c>
      <c r="B28" s="3"/>
      <c r="C28" s="3"/>
      <c r="D28" s="3"/>
      <c r="E28" s="3"/>
      <c r="F28" s="3"/>
      <c r="G28" s="71"/>
      <c r="H28" s="71">
        <f>-1.951+0.568-1.383</f>
        <v>-2.766</v>
      </c>
      <c r="I28" s="71">
        <v>-72.2</v>
      </c>
      <c r="J28" s="71">
        <v>107.1</v>
      </c>
      <c r="K28" s="71">
        <v>-48.9</v>
      </c>
      <c r="L28" s="70">
        <f>256/10</f>
        <v>25.6</v>
      </c>
      <c r="M28" s="56">
        <f>(2294+18-76-59)/10</f>
        <v>217.7</v>
      </c>
      <c r="N28" s="56">
        <f>99.2-20</f>
        <v>79.2</v>
      </c>
      <c r="P28" s="8" t="s">
        <v>96</v>
      </c>
      <c r="Q28" s="6"/>
      <c r="R28" s="6"/>
      <c r="S28" s="8"/>
      <c r="T28" s="6">
        <v>83.8</v>
      </c>
      <c r="U28" s="63">
        <v>31.1</v>
      </c>
      <c r="V28" s="63">
        <v>31.1</v>
      </c>
      <c r="W28" s="63">
        <v>151.03200000000001</v>
      </c>
      <c r="X28" s="63">
        <v>49.1</v>
      </c>
      <c r="Y28" s="63">
        <v>2.8</v>
      </c>
      <c r="Z28" s="63">
        <v>29.7</v>
      </c>
      <c r="AA28" s="63">
        <v>0</v>
      </c>
      <c r="AB28" s="72">
        <v>0</v>
      </c>
      <c r="AC28" s="72">
        <v>13.9</v>
      </c>
      <c r="AD28" s="72">
        <v>0</v>
      </c>
    </row>
    <row r="29" spans="1:31" ht="15" customHeight="1" x14ac:dyDescent="0.25">
      <c r="A29" s="25" t="s">
        <v>120</v>
      </c>
      <c r="B29" s="26">
        <f t="shared" ref="B29:G29" si="22">(B25-B27+B28)</f>
        <v>21.723999999999961</v>
      </c>
      <c r="C29" s="26">
        <f t="shared" si="22"/>
        <v>39.392000000000017</v>
      </c>
      <c r="D29" s="26">
        <f t="shared" si="22"/>
        <v>365.70000000000073</v>
      </c>
      <c r="E29" s="26">
        <f t="shared" si="22"/>
        <v>594.6</v>
      </c>
      <c r="F29" s="26">
        <f t="shared" si="22"/>
        <v>909.70000000000073</v>
      </c>
      <c r="G29" s="55">
        <f t="shared" si="22"/>
        <v>700.90000000000225</v>
      </c>
      <c r="H29" s="55">
        <f>(H25+H28)</f>
        <v>763.0339999999984</v>
      </c>
      <c r="I29" s="55">
        <f t="shared" ref="I29:M29" si="23">(I25-I27+I28)</f>
        <v>883.09999999999673</v>
      </c>
      <c r="J29" s="55">
        <f t="shared" si="23"/>
        <v>816.30000000000007</v>
      </c>
      <c r="K29" s="55">
        <f t="shared" si="23"/>
        <v>1792.699999999998</v>
      </c>
      <c r="L29" s="55">
        <f t="shared" si="23"/>
        <v>928.80000000000291</v>
      </c>
      <c r="M29" s="106">
        <f t="shared" si="23"/>
        <v>645.19999999999777</v>
      </c>
      <c r="N29" s="106">
        <f>(N25-N27+N28)</f>
        <v>676.29999999999961</v>
      </c>
      <c r="P29" s="22" t="s">
        <v>104</v>
      </c>
      <c r="Q29" s="8">
        <v>5.0990000000000002</v>
      </c>
      <c r="R29" s="8">
        <v>13</v>
      </c>
      <c r="S29" s="6"/>
      <c r="T29" s="8">
        <v>45.3</v>
      </c>
      <c r="U29" s="87">
        <v>63.6</v>
      </c>
      <c r="V29" s="71">
        <v>291.3</v>
      </c>
      <c r="W29" s="56">
        <v>0</v>
      </c>
      <c r="X29" s="63">
        <v>663.9</v>
      </c>
      <c r="Y29" s="63">
        <v>390.6</v>
      </c>
      <c r="Z29" s="63">
        <v>282.3</v>
      </c>
      <c r="AA29" s="63">
        <v>597.70000000000005</v>
      </c>
      <c r="AB29" s="70">
        <v>334.7</v>
      </c>
      <c r="AC29" s="107">
        <v>423</v>
      </c>
      <c r="AD29" s="107">
        <v>565.1</v>
      </c>
    </row>
    <row r="30" spans="1:31" ht="15" customHeight="1" x14ac:dyDescent="0.25">
      <c r="A30" s="27" t="s">
        <v>1</v>
      </c>
      <c r="B30" s="28"/>
      <c r="C30" s="28">
        <f>(C29/B29-1)</f>
        <v>0.8132940526606558</v>
      </c>
      <c r="D30" s="28">
        <f>-(D29/C29-1)</f>
        <v>-8.2836108854589909</v>
      </c>
      <c r="E30" s="28">
        <f t="shared" ref="E30:M30" si="24">(E29/D29-1)</f>
        <v>0.62592288761279424</v>
      </c>
      <c r="F30" s="28">
        <f t="shared" si="24"/>
        <v>0.52993609149007859</v>
      </c>
      <c r="G30" s="54">
        <f t="shared" si="24"/>
        <v>-0.22952621743431711</v>
      </c>
      <c r="H30" s="54">
        <f t="shared" si="24"/>
        <v>8.8648880011408027E-2</v>
      </c>
      <c r="I30" s="54">
        <f t="shared" si="24"/>
        <v>0.15735340758078742</v>
      </c>
      <c r="J30" s="54">
        <f t="shared" si="24"/>
        <v>-7.5642622579545793E-2</v>
      </c>
      <c r="K30" s="54">
        <f t="shared" si="24"/>
        <v>1.1961288741884086</v>
      </c>
      <c r="L30" s="53">
        <f t="shared" si="24"/>
        <v>-0.48189881184804817</v>
      </c>
      <c r="M30" s="53">
        <f t="shared" si="24"/>
        <v>-0.3053402239448797</v>
      </c>
      <c r="N30" s="53"/>
      <c r="P30" s="25" t="s">
        <v>41</v>
      </c>
      <c r="Q30" s="26">
        <f t="shared" ref="Q30:AC30" si="25">SUM(Q31:Q36)</f>
        <v>166.76799999999997</v>
      </c>
      <c r="R30" s="26">
        <f t="shared" si="25"/>
        <v>209.25200000000001</v>
      </c>
      <c r="S30" s="26">
        <f t="shared" si="25"/>
        <v>734.1</v>
      </c>
      <c r="T30" s="26">
        <f t="shared" si="25"/>
        <v>623.20000000000005</v>
      </c>
      <c r="U30" s="55">
        <f t="shared" si="25"/>
        <v>1072.4000000000001</v>
      </c>
      <c r="V30" s="55">
        <f t="shared" si="25"/>
        <v>1049.6000000000001</v>
      </c>
      <c r="W30" s="55">
        <f t="shared" si="25"/>
        <v>299.63099999999997</v>
      </c>
      <c r="X30" s="55">
        <f t="shared" si="25"/>
        <v>1289.3</v>
      </c>
      <c r="Y30" s="55">
        <f t="shared" si="25"/>
        <v>1262.8000000000002</v>
      </c>
      <c r="Z30" s="55">
        <f t="shared" si="25"/>
        <v>1437.5</v>
      </c>
      <c r="AA30" s="55">
        <f t="shared" si="25"/>
        <v>1678.5</v>
      </c>
      <c r="AB30" s="55">
        <f t="shared" si="25"/>
        <v>1360</v>
      </c>
      <c r="AC30" s="55">
        <f t="shared" si="25"/>
        <v>1590.9</v>
      </c>
      <c r="AD30" s="55">
        <f>SUM(AD31:AD36)+AD9</f>
        <v>3201.9</v>
      </c>
    </row>
    <row r="31" spans="1:31" ht="15" customHeight="1" x14ac:dyDescent="0.2">
      <c r="A31" s="27" t="s">
        <v>2</v>
      </c>
      <c r="B31" s="28"/>
      <c r="C31" s="28"/>
      <c r="D31" s="28"/>
      <c r="E31" s="28"/>
      <c r="F31" s="28"/>
      <c r="G31" s="54"/>
      <c r="H31" s="54">
        <f t="shared" ref="H31:M31" si="26">((H29/C29)^(1/5)-1)</f>
        <v>0.80895253577947512</v>
      </c>
      <c r="I31" s="54">
        <f t="shared" si="26"/>
        <v>0.19282569246764125</v>
      </c>
      <c r="J31" s="54">
        <f t="shared" si="26"/>
        <v>6.5430139822990618E-2</v>
      </c>
      <c r="K31" s="54">
        <f t="shared" si="26"/>
        <v>0.14530691999797463</v>
      </c>
      <c r="L31" s="54">
        <f t="shared" si="26"/>
        <v>5.7920978751023311E-2</v>
      </c>
      <c r="M31" s="54">
        <f t="shared" si="26"/>
        <v>-3.299194047397469E-2</v>
      </c>
      <c r="N31" s="54"/>
      <c r="P31" s="69" t="s">
        <v>71</v>
      </c>
      <c r="Q31" s="6">
        <v>34.613</v>
      </c>
      <c r="R31" s="6">
        <v>59.369000000000007</v>
      </c>
      <c r="S31" s="6">
        <v>328.7</v>
      </c>
      <c r="T31" s="6">
        <v>319.7</v>
      </c>
      <c r="U31" s="63">
        <v>682.7</v>
      </c>
      <c r="V31" s="63">
        <v>723</v>
      </c>
      <c r="W31" s="63">
        <v>132.87700000000001</v>
      </c>
      <c r="X31" s="63">
        <v>933.6</v>
      </c>
      <c r="Y31" s="63">
        <v>1040.5</v>
      </c>
      <c r="Z31" s="63">
        <v>1272.0999999999999</v>
      </c>
      <c r="AA31" s="63">
        <v>1206</v>
      </c>
      <c r="AB31" s="70">
        <v>1077.3</v>
      </c>
      <c r="AC31" s="70">
        <v>1286.2</v>
      </c>
      <c r="AD31" s="70">
        <f>72.1+2702.3</f>
        <v>2774.4</v>
      </c>
    </row>
    <row r="32" spans="1:31" ht="15" customHeight="1" x14ac:dyDescent="0.25">
      <c r="A32" s="12" t="s">
        <v>14</v>
      </c>
      <c r="B32" s="2">
        <v>2.6</v>
      </c>
      <c r="C32" s="23">
        <v>4.6399999999999997</v>
      </c>
      <c r="D32" s="23">
        <v>16.739999999999998</v>
      </c>
      <c r="E32" s="23">
        <v>27.21</v>
      </c>
      <c r="F32" s="23">
        <v>4.87</v>
      </c>
      <c r="G32" s="73">
        <v>5.21</v>
      </c>
      <c r="H32" s="73">
        <v>9.56</v>
      </c>
      <c r="I32" s="73">
        <v>43.72</v>
      </c>
      <c r="J32" s="73">
        <v>32.46</v>
      </c>
      <c r="K32" s="73">
        <v>84.28</v>
      </c>
      <c r="L32" s="74">
        <v>41.34</v>
      </c>
      <c r="M32" s="66">
        <v>19.559999999999999</v>
      </c>
      <c r="N32" s="66">
        <v>27.33</v>
      </c>
    </row>
    <row r="33" spans="1:31" ht="15" customHeight="1" x14ac:dyDescent="0.2">
      <c r="A33" s="27" t="s">
        <v>1</v>
      </c>
      <c r="B33" s="32"/>
      <c r="C33" s="33">
        <f t="shared" ref="C33:M33" si="27">(C32/B32-1)</f>
        <v>0.78461538461538449</v>
      </c>
      <c r="D33" s="33">
        <f t="shared" si="27"/>
        <v>2.6077586206896552</v>
      </c>
      <c r="E33" s="28">
        <f t="shared" si="27"/>
        <v>0.62544802867383531</v>
      </c>
      <c r="F33" s="28">
        <f t="shared" si="27"/>
        <v>-0.82102168320470414</v>
      </c>
      <c r="G33" s="54">
        <f t="shared" si="27"/>
        <v>6.9815195071868619E-2</v>
      </c>
      <c r="H33" s="75">
        <f t="shared" si="27"/>
        <v>0.834932821497121</v>
      </c>
      <c r="I33" s="75">
        <f t="shared" si="27"/>
        <v>3.573221757322175</v>
      </c>
      <c r="J33" s="75">
        <f t="shared" si="27"/>
        <v>-0.25754803293687101</v>
      </c>
      <c r="K33" s="75">
        <f t="shared" si="27"/>
        <v>1.5964263709180528</v>
      </c>
      <c r="L33" s="53">
        <f t="shared" si="27"/>
        <v>-0.50949216896060745</v>
      </c>
      <c r="M33" s="53">
        <f t="shared" si="27"/>
        <v>-0.52685050798258359</v>
      </c>
      <c r="N33" s="53"/>
      <c r="P33" s="69" t="s">
        <v>102</v>
      </c>
      <c r="Q33" s="6"/>
      <c r="R33" s="6"/>
      <c r="S33" s="6"/>
      <c r="T33" s="6">
        <v>191.9</v>
      </c>
      <c r="U33" s="63">
        <v>240.6</v>
      </c>
      <c r="V33" s="63">
        <v>237.1</v>
      </c>
      <c r="W33" s="63">
        <v>12.397</v>
      </c>
      <c r="X33" s="63">
        <v>256</v>
      </c>
      <c r="Y33" s="63">
        <v>142.19999999999999</v>
      </c>
      <c r="Z33" s="63">
        <v>0</v>
      </c>
      <c r="AA33" s="67" t="s">
        <v>98</v>
      </c>
      <c r="AB33" s="68" t="s">
        <v>98</v>
      </c>
      <c r="AC33" s="68"/>
      <c r="AD33" s="68"/>
    </row>
    <row r="34" spans="1:31" ht="15" customHeight="1" x14ac:dyDescent="0.2">
      <c r="A34" s="27" t="s">
        <v>75</v>
      </c>
      <c r="B34" s="32"/>
      <c r="C34" s="33"/>
      <c r="D34" s="33"/>
      <c r="E34" s="28"/>
      <c r="F34" s="28"/>
      <c r="G34" s="54"/>
      <c r="H34" s="75">
        <f t="shared" ref="H34:M34" si="28">((H32/C32)^(1/5)-1)</f>
        <v>0.15554797901159234</v>
      </c>
      <c r="I34" s="75">
        <f t="shared" si="28"/>
        <v>0.2116716312774789</v>
      </c>
      <c r="J34" s="75">
        <f t="shared" si="28"/>
        <v>3.5914697221769432E-2</v>
      </c>
      <c r="K34" s="75">
        <f t="shared" si="28"/>
        <v>0.76863865708195078</v>
      </c>
      <c r="L34" s="53">
        <f t="shared" si="28"/>
        <v>0.5132355998423126</v>
      </c>
      <c r="M34" s="53">
        <f t="shared" si="28"/>
        <v>0.15393724652017093</v>
      </c>
      <c r="N34" s="53"/>
      <c r="P34" s="69" t="s">
        <v>97</v>
      </c>
      <c r="Q34" s="6"/>
      <c r="R34" s="6"/>
      <c r="S34" s="6">
        <v>229.5</v>
      </c>
      <c r="T34" s="6">
        <v>37</v>
      </c>
      <c r="U34" s="63">
        <v>35.5</v>
      </c>
      <c r="V34" s="63">
        <v>9.5</v>
      </c>
      <c r="W34" s="63"/>
      <c r="X34" s="63">
        <v>17.5</v>
      </c>
      <c r="Y34" s="63">
        <v>2.2000000000000002</v>
      </c>
      <c r="Z34" s="63">
        <v>0</v>
      </c>
      <c r="AA34" s="63">
        <v>12.6</v>
      </c>
      <c r="AB34" s="70">
        <v>3.3</v>
      </c>
      <c r="AC34" s="70" t="s">
        <v>98</v>
      </c>
      <c r="AD34" s="70">
        <v>6.2</v>
      </c>
    </row>
    <row r="35" spans="1:31" ht="15" customHeight="1" x14ac:dyDescent="0.2">
      <c r="G35" s="61"/>
      <c r="H35" s="61"/>
      <c r="I35" s="61"/>
      <c r="J35" s="61"/>
      <c r="K35" s="61"/>
      <c r="L35" s="61"/>
      <c r="M35" s="61"/>
      <c r="N35" s="61"/>
      <c r="P35" s="8" t="s">
        <v>86</v>
      </c>
      <c r="Q35" s="6">
        <v>5.0179999999999998</v>
      </c>
      <c r="R35" s="6">
        <v>9.4529999999999994</v>
      </c>
      <c r="S35" s="6">
        <v>175.9</v>
      </c>
      <c r="T35" s="6">
        <v>16</v>
      </c>
      <c r="U35" s="63">
        <v>17.600000000000001</v>
      </c>
      <c r="V35" s="63">
        <v>21.7</v>
      </c>
      <c r="W35" s="63"/>
      <c r="X35" s="63">
        <v>19.399999999999999</v>
      </c>
      <c r="Y35" s="63">
        <v>20.7</v>
      </c>
      <c r="Z35" s="63">
        <v>18.7</v>
      </c>
      <c r="AA35" s="63">
        <v>24.7</v>
      </c>
      <c r="AB35" s="70">
        <v>31.9</v>
      </c>
      <c r="AC35" s="70">
        <v>40.1</v>
      </c>
      <c r="AD35" s="70">
        <v>41.9</v>
      </c>
    </row>
    <row r="36" spans="1:31" ht="15" customHeight="1" x14ac:dyDescent="0.25">
      <c r="A36" s="24" t="s">
        <v>15</v>
      </c>
      <c r="B36" s="24"/>
      <c r="C36" s="24"/>
      <c r="D36" s="24"/>
      <c r="E36" s="24"/>
      <c r="F36" s="24"/>
      <c r="G36" s="76"/>
      <c r="H36" s="76"/>
      <c r="I36" s="76"/>
      <c r="J36" s="76"/>
      <c r="K36" s="76"/>
      <c r="L36" s="76"/>
      <c r="M36" s="76"/>
      <c r="N36" s="108"/>
      <c r="P36" s="8" t="s">
        <v>115</v>
      </c>
      <c r="Q36" s="6">
        <v>127.13699999999999</v>
      </c>
      <c r="R36" s="6">
        <v>140.43</v>
      </c>
      <c r="S36" s="6"/>
      <c r="T36" s="6">
        <v>58.6</v>
      </c>
      <c r="U36" s="63">
        <v>96</v>
      </c>
      <c r="V36" s="63">
        <v>58.3</v>
      </c>
      <c r="W36" s="63">
        <v>154.357</v>
      </c>
      <c r="X36" s="63">
        <v>62.8</v>
      </c>
      <c r="Y36" s="63">
        <v>57.2</v>
      </c>
      <c r="Z36" s="63">
        <v>146.69999999999999</v>
      </c>
      <c r="AA36" s="63">
        <v>435.2</v>
      </c>
      <c r="AB36" s="70">
        <v>247.5</v>
      </c>
      <c r="AC36" s="70">
        <v>264.60000000000002</v>
      </c>
      <c r="AD36" s="70">
        <f>124.8+99.4+6.2</f>
        <v>230.39999999999998</v>
      </c>
    </row>
    <row r="37" spans="1:31" ht="15" customHeight="1" x14ac:dyDescent="0.25">
      <c r="A37" s="43" t="s">
        <v>0</v>
      </c>
      <c r="B37" s="44" t="s">
        <v>24</v>
      </c>
      <c r="C37" s="44" t="s">
        <v>25</v>
      </c>
      <c r="D37" s="44" t="s">
        <v>26</v>
      </c>
      <c r="E37" s="44" t="s">
        <v>27</v>
      </c>
      <c r="F37" s="44" t="s">
        <v>28</v>
      </c>
      <c r="G37" s="77" t="s">
        <v>72</v>
      </c>
      <c r="H37" s="77" t="s">
        <v>88</v>
      </c>
      <c r="I37" s="77" t="s">
        <v>94</v>
      </c>
      <c r="J37" s="77" t="s">
        <v>99</v>
      </c>
      <c r="K37" s="77" t="s">
        <v>103</v>
      </c>
      <c r="L37" s="77" t="s">
        <v>114</v>
      </c>
      <c r="M37" s="77" t="s">
        <v>117</v>
      </c>
      <c r="N37" s="77" t="s">
        <v>119</v>
      </c>
      <c r="O37" s="11"/>
      <c r="P37" s="25" t="s">
        <v>42</v>
      </c>
      <c r="Q37" s="26">
        <f t="shared" ref="Q37:AD37" si="29">(Q22-Q30-Q9)</f>
        <v>11.931000000000026</v>
      </c>
      <c r="R37" s="26">
        <f t="shared" si="29"/>
        <v>32.821000000000026</v>
      </c>
      <c r="S37" s="26">
        <f t="shared" si="29"/>
        <v>2460.9</v>
      </c>
      <c r="T37" s="26">
        <f t="shared" si="29"/>
        <v>3200.4000000000005</v>
      </c>
      <c r="U37" s="55">
        <f t="shared" si="29"/>
        <v>4047.8000000000011</v>
      </c>
      <c r="V37" s="55">
        <f t="shared" si="29"/>
        <v>4522.4000000000005</v>
      </c>
      <c r="W37" s="55">
        <f t="shared" si="29"/>
        <v>442.64700000000005</v>
      </c>
      <c r="X37" s="55">
        <f t="shared" si="29"/>
        <v>5303.5</v>
      </c>
      <c r="Y37" s="55">
        <f t="shared" si="29"/>
        <v>5782</v>
      </c>
      <c r="Z37" s="55">
        <f t="shared" si="29"/>
        <v>6626.2000000000016</v>
      </c>
      <c r="AA37" s="55">
        <f t="shared" si="29"/>
        <v>7447.0000000000018</v>
      </c>
      <c r="AB37" s="55">
        <f t="shared" si="29"/>
        <v>6693.4000000000005</v>
      </c>
      <c r="AC37" s="55">
        <f t="shared" si="29"/>
        <v>6205.7</v>
      </c>
      <c r="AD37" s="55">
        <f t="shared" si="29"/>
        <v>6307.9</v>
      </c>
    </row>
    <row r="38" spans="1:31" ht="15" customHeight="1" x14ac:dyDescent="0.25">
      <c r="A38" s="12" t="s">
        <v>16</v>
      </c>
      <c r="B38" s="12">
        <v>17.530999999999999</v>
      </c>
      <c r="C38" s="12">
        <v>4</v>
      </c>
      <c r="D38" s="12">
        <v>48.6</v>
      </c>
      <c r="E38" s="12">
        <v>41.8</v>
      </c>
      <c r="F38" s="47">
        <v>47.5</v>
      </c>
      <c r="G38" s="66">
        <v>27.5</v>
      </c>
      <c r="H38" s="78">
        <v>231.1</v>
      </c>
      <c r="I38" s="78">
        <v>47.8</v>
      </c>
      <c r="J38" s="78">
        <v>41.8</v>
      </c>
      <c r="K38" s="78">
        <v>82.6</v>
      </c>
      <c r="L38" s="65">
        <v>55.9</v>
      </c>
      <c r="M38" s="78">
        <f>L43</f>
        <v>26.999999999999737</v>
      </c>
      <c r="N38" s="78">
        <f>M43</f>
        <v>8.6999999999997257</v>
      </c>
      <c r="O38" s="11"/>
      <c r="P38" s="8" t="s">
        <v>43</v>
      </c>
      <c r="Q38" s="6">
        <v>11.437000000000001</v>
      </c>
      <c r="R38" s="6">
        <v>14.688999999999998</v>
      </c>
      <c r="S38" s="6">
        <v>1025.2</v>
      </c>
      <c r="T38" s="6">
        <v>1047.3</v>
      </c>
      <c r="U38" s="63">
        <v>1015.8</v>
      </c>
      <c r="V38" s="63">
        <v>1117.7</v>
      </c>
      <c r="W38" s="63"/>
      <c r="X38" s="63">
        <v>1115.3</v>
      </c>
      <c r="Y38" s="63">
        <v>827.5</v>
      </c>
      <c r="Z38" s="63">
        <v>781.3</v>
      </c>
      <c r="AA38" s="63">
        <v>732.3</v>
      </c>
      <c r="AB38" s="70">
        <v>721.3</v>
      </c>
      <c r="AC38" s="107">
        <v>818</v>
      </c>
      <c r="AD38" s="107">
        <v>891.9</v>
      </c>
    </row>
    <row r="39" spans="1:31" ht="15" customHeight="1" x14ac:dyDescent="0.25">
      <c r="A39" s="8" t="s">
        <v>17</v>
      </c>
      <c r="B39" s="6">
        <v>36.711999999999996</v>
      </c>
      <c r="C39" s="6">
        <v>19</v>
      </c>
      <c r="D39" s="6">
        <v>1282.8</v>
      </c>
      <c r="E39" s="6">
        <v>1916</v>
      </c>
      <c r="F39" s="6">
        <v>605.29999999999995</v>
      </c>
      <c r="G39" s="63">
        <v>561.29999999999995</v>
      </c>
      <c r="H39" s="63">
        <v>1224.5999999999999</v>
      </c>
      <c r="I39" s="63">
        <v>1416.1</v>
      </c>
      <c r="J39" s="63">
        <v>1086.7</v>
      </c>
      <c r="K39" s="63">
        <v>555.6</v>
      </c>
      <c r="L39" s="56">
        <f>21927/10</f>
        <v>2192.6999999999998</v>
      </c>
      <c r="M39" s="113">
        <v>880.6</v>
      </c>
      <c r="N39" s="113">
        <v>875.2</v>
      </c>
      <c r="O39" s="11"/>
      <c r="P39" s="8" t="s">
        <v>87</v>
      </c>
      <c r="Q39" s="6"/>
      <c r="R39" s="6"/>
      <c r="S39" s="6">
        <v>144.5</v>
      </c>
      <c r="T39" s="6">
        <v>130.19999999999999</v>
      </c>
      <c r="U39" s="63">
        <v>125.6</v>
      </c>
      <c r="V39" s="63">
        <v>101.6</v>
      </c>
      <c r="W39" s="63"/>
      <c r="X39" s="63">
        <v>96.1</v>
      </c>
      <c r="Y39" s="63">
        <v>98.5</v>
      </c>
      <c r="Z39" s="63">
        <v>114.7</v>
      </c>
      <c r="AA39" s="63">
        <v>113.1</v>
      </c>
      <c r="AB39" s="70">
        <v>135.19999999999999</v>
      </c>
      <c r="AC39" s="70">
        <v>122.8</v>
      </c>
      <c r="AD39" s="70">
        <v>118.1</v>
      </c>
    </row>
    <row r="40" spans="1:31" ht="15" customHeight="1" x14ac:dyDescent="0.25">
      <c r="A40" s="8" t="s">
        <v>69</v>
      </c>
      <c r="B40" s="6">
        <v>-105.60299999999999</v>
      </c>
      <c r="C40" s="6">
        <v>-38</v>
      </c>
      <c r="D40" s="6">
        <v>-532.5</v>
      </c>
      <c r="E40" s="6">
        <v>-831.4</v>
      </c>
      <c r="F40" s="6">
        <v>-198.4</v>
      </c>
      <c r="G40" s="63">
        <v>-82.7</v>
      </c>
      <c r="H40" s="63">
        <v>-1101.9000000000001</v>
      </c>
      <c r="I40" s="63">
        <v>-1044.5</v>
      </c>
      <c r="J40" s="63">
        <v>-760</v>
      </c>
      <c r="K40" s="63">
        <v>-412.8</v>
      </c>
      <c r="L40" s="56">
        <f>-25134/10</f>
        <v>-2513.4</v>
      </c>
      <c r="M40" s="56">
        <v>-469.8</v>
      </c>
      <c r="N40" s="56">
        <v>-596.9</v>
      </c>
      <c r="O40" s="11"/>
      <c r="P40" s="8" t="s">
        <v>116</v>
      </c>
      <c r="Q40" s="6"/>
      <c r="R40" s="6"/>
      <c r="S40" s="6">
        <v>23.5</v>
      </c>
      <c r="T40" s="6">
        <v>24.8</v>
      </c>
      <c r="U40" s="63">
        <v>55.5</v>
      </c>
      <c r="V40" s="63">
        <v>53</v>
      </c>
      <c r="W40" s="63"/>
      <c r="X40" s="63">
        <v>52.6</v>
      </c>
      <c r="Y40" s="63">
        <v>102.9</v>
      </c>
      <c r="Z40" s="63">
        <v>98.3</v>
      </c>
      <c r="AA40" s="63">
        <v>91.7</v>
      </c>
      <c r="AB40" s="70">
        <v>154.69999999999999</v>
      </c>
      <c r="AC40" s="70">
        <v>179.7</v>
      </c>
      <c r="AD40" s="70">
        <f>125.4+25.3+26</f>
        <v>176.70000000000002</v>
      </c>
    </row>
    <row r="41" spans="1:31" ht="15" customHeight="1" x14ac:dyDescent="0.25">
      <c r="A41" s="8" t="s">
        <v>18</v>
      </c>
      <c r="B41" s="6">
        <v>85.451999999999998</v>
      </c>
      <c r="C41" s="6">
        <v>20</v>
      </c>
      <c r="D41" s="6">
        <v>-757.1</v>
      </c>
      <c r="E41" s="6">
        <v>-1078.9000000000001</v>
      </c>
      <c r="F41" s="6">
        <v>-426.9</v>
      </c>
      <c r="G41" s="63">
        <v>-275</v>
      </c>
      <c r="H41" s="63">
        <v>-306</v>
      </c>
      <c r="I41" s="63">
        <v>-377.6</v>
      </c>
      <c r="J41" s="63">
        <v>-285.89999999999998</v>
      </c>
      <c r="K41" s="63">
        <v>-169.5</v>
      </c>
      <c r="L41" s="56">
        <f>2918/10</f>
        <v>291.8</v>
      </c>
      <c r="M41" s="56">
        <v>-429.1</v>
      </c>
      <c r="N41" s="56">
        <v>-245.8</v>
      </c>
      <c r="P41" s="12"/>
      <c r="Q41" s="2"/>
      <c r="R41" s="2"/>
      <c r="S41" s="2"/>
      <c r="T41" s="2"/>
      <c r="U41" s="79"/>
      <c r="V41" s="79"/>
      <c r="W41" s="79"/>
      <c r="X41" s="63"/>
      <c r="Y41" s="79"/>
      <c r="Z41" s="79"/>
      <c r="AA41" s="79"/>
      <c r="AB41" s="70"/>
      <c r="AC41" s="70"/>
      <c r="AD41" s="70"/>
    </row>
    <row r="42" spans="1:31" ht="15" customHeight="1" x14ac:dyDescent="0.25">
      <c r="A42" s="12" t="s">
        <v>19</v>
      </c>
      <c r="B42" s="2">
        <f t="shared" ref="B42:J42" si="30">+B39+B40+B41</f>
        <v>16.561000000000007</v>
      </c>
      <c r="C42" s="2">
        <f t="shared" si="30"/>
        <v>1</v>
      </c>
      <c r="D42" s="2">
        <f>+D39+D40+D41</f>
        <v>-6.8000000000000682</v>
      </c>
      <c r="E42" s="2">
        <f>+E39+E40+E41</f>
        <v>5.6999999999998181</v>
      </c>
      <c r="F42" s="2">
        <f t="shared" ref="F42:G42" si="31">+F39+F40+F41</f>
        <v>-20</v>
      </c>
      <c r="G42" s="79">
        <f t="shared" si="31"/>
        <v>203.59999999999997</v>
      </c>
      <c r="H42" s="79">
        <f t="shared" si="30"/>
        <v>-183.30000000000018</v>
      </c>
      <c r="I42" s="79">
        <f t="shared" si="30"/>
        <v>-6.0000000000001137</v>
      </c>
      <c r="J42" s="64">
        <f t="shared" si="30"/>
        <v>40.800000000000068</v>
      </c>
      <c r="K42" s="64">
        <f t="shared" ref="K42:L42" si="32">+K39+K40+K41</f>
        <v>-26.699999999999989</v>
      </c>
      <c r="L42" s="64">
        <f t="shared" si="32"/>
        <v>-28.900000000000261</v>
      </c>
      <c r="M42" s="117">
        <f>M39+M40+M41</f>
        <v>-18.300000000000011</v>
      </c>
      <c r="N42" s="117">
        <f>N39+N40+N41</f>
        <v>32.500000000000057</v>
      </c>
      <c r="P42" s="25" t="s">
        <v>77</v>
      </c>
      <c r="Q42" s="26">
        <f t="shared" ref="Q42:V42" si="33">SUM(Q15:Q20)+Q22</f>
        <v>488.78100000000001</v>
      </c>
      <c r="R42" s="26">
        <f t="shared" si="33"/>
        <v>622.72299999999996</v>
      </c>
      <c r="S42" s="26">
        <f t="shared" si="33"/>
        <v>10485.800000000001</v>
      </c>
      <c r="T42" s="26">
        <f t="shared" si="33"/>
        <v>10159.1</v>
      </c>
      <c r="U42" s="55">
        <f t="shared" si="33"/>
        <v>11194.600000000002</v>
      </c>
      <c r="V42" s="55">
        <f t="shared" si="33"/>
        <v>11637.100000000002</v>
      </c>
      <c r="W42" s="55">
        <f>SUM(W15:W21)+W22</f>
        <v>1341.5010000000002</v>
      </c>
      <c r="X42" s="55">
        <f>SUM(X15:X20)+X22</f>
        <v>12312.2</v>
      </c>
      <c r="Y42" s="55">
        <f t="shared" ref="Y42:AC42" si="34">SUM(Y15:Y21)+Y22</f>
        <v>12638.7</v>
      </c>
      <c r="Z42" s="55">
        <f t="shared" si="34"/>
        <v>13401.800000000003</v>
      </c>
      <c r="AA42" s="55">
        <f t="shared" si="34"/>
        <v>15225.900000000001</v>
      </c>
      <c r="AB42" s="55">
        <f t="shared" si="34"/>
        <v>16226.099999999999</v>
      </c>
      <c r="AC42" s="55">
        <f t="shared" si="34"/>
        <v>16842.5</v>
      </c>
      <c r="AD42" s="55">
        <f>SUM(AD15:AD21)+AD22</f>
        <v>18701.699999999997</v>
      </c>
    </row>
    <row r="43" spans="1:31" ht="15" customHeight="1" x14ac:dyDescent="0.25">
      <c r="A43" s="12" t="s">
        <v>63</v>
      </c>
      <c r="B43" s="2">
        <f>+B38+B42-0.44</f>
        <v>33.652000000000008</v>
      </c>
      <c r="C43" s="2">
        <f>+C38+C42</f>
        <v>5</v>
      </c>
      <c r="D43" s="2">
        <f>+D38+D42</f>
        <v>41.799999999999933</v>
      </c>
      <c r="E43" s="26">
        <f>+E38+E42</f>
        <v>47.499999999999815</v>
      </c>
      <c r="F43" s="26">
        <f>+F38+F42</f>
        <v>27.5</v>
      </c>
      <c r="G43" s="55">
        <f>+G38+G42</f>
        <v>231.09999999999997</v>
      </c>
      <c r="H43" s="55">
        <f t="shared" ref="H43:K43" si="35">+H38+H42</f>
        <v>47.799999999999812</v>
      </c>
      <c r="I43" s="55">
        <f t="shared" si="35"/>
        <v>41.799999999999883</v>
      </c>
      <c r="J43" s="80">
        <f t="shared" si="35"/>
        <v>82.600000000000065</v>
      </c>
      <c r="K43" s="80">
        <f t="shared" si="35"/>
        <v>55.900000000000006</v>
      </c>
      <c r="L43" s="80">
        <f>+L38+L42</f>
        <v>26.999999999999737</v>
      </c>
      <c r="M43" s="80">
        <f>+M38+M42</f>
        <v>8.6999999999997257</v>
      </c>
      <c r="N43" s="80">
        <f>+N38+N42</f>
        <v>41.199999999999783</v>
      </c>
      <c r="P43" s="25" t="s">
        <v>78</v>
      </c>
      <c r="Q43" s="26">
        <f>Q39+Q30+Q10+Q6+Q38+Q41</f>
        <v>488.78199999999998</v>
      </c>
      <c r="R43" s="26">
        <f>R39+R30+R10+R6+R38+R41</f>
        <v>622.70899999999995</v>
      </c>
      <c r="S43" s="26">
        <f>S39+S30+S10+S6+S38+S41+S40</f>
        <v>10485.8</v>
      </c>
      <c r="T43" s="26">
        <f>T39+T30+T10+T6+T38+T41+T40</f>
        <v>10159.099999999999</v>
      </c>
      <c r="U43" s="55">
        <f>U39+U30+U10+U6+U38+U41+U40</f>
        <v>11194.6</v>
      </c>
      <c r="V43" s="55">
        <f>V39+V30+V10+V6+V38+V41+V40</f>
        <v>11637.1</v>
      </c>
      <c r="W43" s="55">
        <f>W39+W30+W10+W6+W38+W41</f>
        <v>1008.388</v>
      </c>
      <c r="X43" s="55">
        <f t="shared" ref="X43:AC43" si="36">X39+X30+X10+X6+X38+X41+X40</f>
        <v>12312.2</v>
      </c>
      <c r="Y43" s="55">
        <f t="shared" si="36"/>
        <v>12638.699999999999</v>
      </c>
      <c r="Z43" s="55">
        <f t="shared" si="36"/>
        <v>13401.799999999997</v>
      </c>
      <c r="AA43" s="55">
        <f t="shared" si="36"/>
        <v>15225.9</v>
      </c>
      <c r="AB43" s="55">
        <f t="shared" si="36"/>
        <v>16226.1</v>
      </c>
      <c r="AC43" s="55">
        <f t="shared" si="36"/>
        <v>16842.5</v>
      </c>
      <c r="AD43" s="55">
        <f>AD39+AD30+AD8+AD6+AD38+AD41+AD40</f>
        <v>18701.7</v>
      </c>
    </row>
    <row r="44" spans="1:31" ht="15" customHeight="1" x14ac:dyDescent="0.2">
      <c r="G44" s="61"/>
      <c r="H44" s="61"/>
      <c r="I44" s="61"/>
      <c r="J44" s="81"/>
      <c r="K44" s="81"/>
      <c r="L44" s="61"/>
      <c r="M44" s="61"/>
      <c r="N44" s="61"/>
      <c r="U44" s="61"/>
      <c r="V44" s="81"/>
      <c r="W44" s="61"/>
      <c r="X44" s="92"/>
      <c r="Y44" s="92"/>
      <c r="Z44" s="61"/>
      <c r="AA44" s="61"/>
      <c r="AB44" s="61"/>
      <c r="AC44" s="61"/>
    </row>
    <row r="45" spans="1:31" ht="15" customHeight="1" x14ac:dyDescent="0.25">
      <c r="A45" s="43" t="s">
        <v>20</v>
      </c>
      <c r="B45" s="44" t="s">
        <v>24</v>
      </c>
      <c r="C45" s="44" t="s">
        <v>25</v>
      </c>
      <c r="D45" s="44" t="s">
        <v>26</v>
      </c>
      <c r="E45" s="44" t="s">
        <v>27</v>
      </c>
      <c r="F45" s="44" t="s">
        <v>28</v>
      </c>
      <c r="G45" s="77" t="s">
        <v>72</v>
      </c>
      <c r="H45" s="77" t="s">
        <v>88</v>
      </c>
      <c r="I45" s="77" t="s">
        <v>94</v>
      </c>
      <c r="J45" s="82" t="s">
        <v>99</v>
      </c>
      <c r="K45" s="82" t="s">
        <v>103</v>
      </c>
      <c r="L45" s="77" t="s">
        <v>114</v>
      </c>
      <c r="M45" s="77" t="s">
        <v>117</v>
      </c>
      <c r="N45" s="77" t="s">
        <v>119</v>
      </c>
      <c r="P45" s="12" t="s">
        <v>44</v>
      </c>
      <c r="Q45" s="8"/>
      <c r="R45" s="8"/>
      <c r="S45" s="8"/>
      <c r="T45" s="8"/>
      <c r="U45" s="56"/>
      <c r="V45" s="71"/>
      <c r="W45" s="56"/>
      <c r="X45" s="63"/>
      <c r="Y45" s="63"/>
      <c r="Z45" s="63"/>
      <c r="AA45" s="63"/>
      <c r="AB45" s="56"/>
      <c r="AC45" s="56"/>
      <c r="AD45" s="8"/>
    </row>
    <row r="46" spans="1:31" ht="15" customHeight="1" x14ac:dyDescent="0.25">
      <c r="A46" s="12" t="s">
        <v>21</v>
      </c>
      <c r="B46" s="2">
        <f ca="1">SUM(B46:B50)</f>
        <v>0</v>
      </c>
      <c r="C46" s="2">
        <f ca="1">SUM(C46:C50)</f>
        <v>0</v>
      </c>
      <c r="D46" s="2">
        <f ca="1">SUM(D46:D50)</f>
        <v>0</v>
      </c>
      <c r="E46" s="6">
        <f ca="1">SUM(E46:E50)</f>
        <v>0</v>
      </c>
      <c r="F46" s="6">
        <f t="shared" ref="F46:L46" si="37">F39</f>
        <v>605.29999999999995</v>
      </c>
      <c r="G46" s="63">
        <f t="shared" si="37"/>
        <v>561.29999999999995</v>
      </c>
      <c r="H46" s="63">
        <f t="shared" si="37"/>
        <v>1224.5999999999999</v>
      </c>
      <c r="I46" s="63">
        <f t="shared" si="37"/>
        <v>1416.1</v>
      </c>
      <c r="J46" s="63">
        <f t="shared" si="37"/>
        <v>1086.7</v>
      </c>
      <c r="K46" s="63">
        <f t="shared" si="37"/>
        <v>555.6</v>
      </c>
      <c r="L46" s="72">
        <f t="shared" si="37"/>
        <v>2192.6999999999998</v>
      </c>
      <c r="M46" s="63">
        <f>M39</f>
        <v>880.6</v>
      </c>
      <c r="N46" s="63">
        <f>N39</f>
        <v>875.2</v>
      </c>
      <c r="P46" s="43" t="s">
        <v>45</v>
      </c>
      <c r="Q46" s="44" t="s">
        <v>24</v>
      </c>
      <c r="R46" s="44" t="s">
        <v>25</v>
      </c>
      <c r="S46" s="44" t="s">
        <v>26</v>
      </c>
      <c r="T46" s="44" t="s">
        <v>27</v>
      </c>
      <c r="U46" s="77" t="s">
        <v>28</v>
      </c>
      <c r="V46" s="77" t="s">
        <v>72</v>
      </c>
      <c r="W46" s="77" t="s">
        <v>74</v>
      </c>
      <c r="X46" s="93" t="s">
        <v>88</v>
      </c>
      <c r="Y46" s="94" t="s">
        <v>94</v>
      </c>
      <c r="Z46" s="94" t="s">
        <v>99</v>
      </c>
      <c r="AA46" s="93" t="s">
        <v>103</v>
      </c>
      <c r="AB46" s="77" t="s">
        <v>114</v>
      </c>
      <c r="AC46" s="77" t="s">
        <v>117</v>
      </c>
      <c r="AD46" s="77" t="s">
        <v>123</v>
      </c>
    </row>
    <row r="47" spans="1:31" ht="15" customHeight="1" x14ac:dyDescent="0.25">
      <c r="A47" s="8" t="s">
        <v>22</v>
      </c>
      <c r="B47" s="6">
        <v>-104.77</v>
      </c>
      <c r="C47" s="6">
        <v>-39.380000000000003</v>
      </c>
      <c r="D47" s="8">
        <v>-554.70000000000005</v>
      </c>
      <c r="E47" s="6">
        <v>-220.4</v>
      </c>
      <c r="F47" s="6">
        <v>-230.9</v>
      </c>
      <c r="G47" s="63">
        <v>-513</v>
      </c>
      <c r="H47" s="63">
        <v>-394.1</v>
      </c>
      <c r="I47" s="63">
        <v>282.3</v>
      </c>
      <c r="J47" s="63">
        <f>-125.8+4.3</f>
        <v>-121.5</v>
      </c>
      <c r="K47" s="63">
        <f>-857.7+47.2</f>
        <v>-810.5</v>
      </c>
      <c r="L47" s="63">
        <f>-2389+34</f>
        <v>-2355</v>
      </c>
      <c r="M47" s="63">
        <f>-1150.1+140.4</f>
        <v>-1009.6999999999999</v>
      </c>
      <c r="N47" s="63">
        <f>-187.2+17</f>
        <v>-170.2</v>
      </c>
      <c r="P47" s="19" t="s">
        <v>100</v>
      </c>
      <c r="Q47" s="23"/>
      <c r="R47" s="23"/>
      <c r="S47" s="23"/>
      <c r="T47" s="23"/>
      <c r="U47" s="73">
        <v>427.4</v>
      </c>
      <c r="V47" s="73">
        <v>301.55</v>
      </c>
      <c r="W47" s="86">
        <v>36</v>
      </c>
      <c r="X47" s="79">
        <v>252.3</v>
      </c>
      <c r="Y47" s="73">
        <v>118.4</v>
      </c>
      <c r="Z47" s="73">
        <v>253.35</v>
      </c>
      <c r="AA47" s="73">
        <v>549.9</v>
      </c>
      <c r="AB47" s="95">
        <v>343.85</v>
      </c>
      <c r="AC47" s="95">
        <v>401.3</v>
      </c>
      <c r="AD47" s="95">
        <v>624.70000000000005</v>
      </c>
    </row>
    <row r="48" spans="1:31" ht="15" customHeight="1" x14ac:dyDescent="0.25">
      <c r="A48" s="25" t="s">
        <v>23</v>
      </c>
      <c r="B48" s="2">
        <f t="shared" ref="B48:E48" ca="1" si="38">SUM(B46:B47)</f>
        <v>-104.77</v>
      </c>
      <c r="C48" s="2">
        <f t="shared" ca="1" si="38"/>
        <v>-39.380000000000003</v>
      </c>
      <c r="D48" s="2">
        <f t="shared" ca="1" si="38"/>
        <v>-554.70000000000005</v>
      </c>
      <c r="E48" s="6">
        <f t="shared" ca="1" si="38"/>
        <v>-220.4</v>
      </c>
      <c r="F48" s="6">
        <f>F46+F47</f>
        <v>374.4</v>
      </c>
      <c r="G48" s="63">
        <f t="shared" ref="G48:L48" si="39">G46+G47</f>
        <v>48.299999999999955</v>
      </c>
      <c r="H48" s="63">
        <f t="shared" si="39"/>
        <v>830.49999999999989</v>
      </c>
      <c r="I48" s="63">
        <f t="shared" si="39"/>
        <v>1698.3999999999999</v>
      </c>
      <c r="J48" s="63">
        <f t="shared" si="39"/>
        <v>965.2</v>
      </c>
      <c r="K48" s="63">
        <f t="shared" si="39"/>
        <v>-254.89999999999998</v>
      </c>
      <c r="L48" s="63">
        <f t="shared" si="39"/>
        <v>-162.30000000000018</v>
      </c>
      <c r="M48" s="63">
        <f>M46+M47</f>
        <v>-129.09999999999991</v>
      </c>
      <c r="N48" s="63">
        <f>N46+N47</f>
        <v>705</v>
      </c>
      <c r="P48" s="35" t="s">
        <v>46</v>
      </c>
      <c r="Q48" s="36">
        <f t="shared" ref="Q48:V48" si="40">B32</f>
        <v>2.6</v>
      </c>
      <c r="R48" s="36">
        <f t="shared" si="40"/>
        <v>4.6399999999999997</v>
      </c>
      <c r="S48" s="36">
        <f t="shared" si="40"/>
        <v>16.739999999999998</v>
      </c>
      <c r="T48" s="36">
        <f t="shared" si="40"/>
        <v>27.21</v>
      </c>
      <c r="U48" s="96">
        <f t="shared" si="40"/>
        <v>4.87</v>
      </c>
      <c r="V48" s="96">
        <f t="shared" si="40"/>
        <v>5.21</v>
      </c>
      <c r="W48" s="96" t="e">
        <f>#REF!</f>
        <v>#REF!</v>
      </c>
      <c r="X48" s="96">
        <f t="shared" ref="X48:AC48" si="41">H32</f>
        <v>9.56</v>
      </c>
      <c r="Y48" s="96">
        <f t="shared" si="41"/>
        <v>43.72</v>
      </c>
      <c r="Z48" s="96">
        <f t="shared" si="41"/>
        <v>32.46</v>
      </c>
      <c r="AA48" s="96">
        <f t="shared" si="41"/>
        <v>84.28</v>
      </c>
      <c r="AB48" s="96">
        <f t="shared" si="41"/>
        <v>41.34</v>
      </c>
      <c r="AC48" s="96">
        <f t="shared" si="41"/>
        <v>19.559999999999999</v>
      </c>
      <c r="AD48" s="96">
        <f>N32+9.28</f>
        <v>36.61</v>
      </c>
      <c r="AE48" s="1" t="s">
        <v>122</v>
      </c>
    </row>
    <row r="49" spans="1:30" ht="15" customHeight="1" x14ac:dyDescent="0.25">
      <c r="B49" s="50"/>
      <c r="C49" s="50"/>
      <c r="D49" s="50"/>
      <c r="E49" s="50"/>
      <c r="F49" s="50"/>
      <c r="G49" s="62"/>
      <c r="H49" s="62"/>
      <c r="I49" s="62"/>
      <c r="J49" s="62"/>
      <c r="K49" s="62"/>
      <c r="L49" s="61"/>
      <c r="M49" s="61"/>
      <c r="N49" s="61"/>
      <c r="P49" s="35" t="s">
        <v>47</v>
      </c>
      <c r="Q49" s="36" t="e">
        <f t="shared" ref="Q49:V49" si="42">(Q6*1000000)/B51</f>
        <v>#DIV/0!</v>
      </c>
      <c r="R49" s="36" t="e">
        <f t="shared" si="42"/>
        <v>#DIV/0!</v>
      </c>
      <c r="S49" s="36">
        <f t="shared" si="42"/>
        <v>327.74402557294911</v>
      </c>
      <c r="T49" s="36">
        <f t="shared" si="42"/>
        <v>356.06362830768546</v>
      </c>
      <c r="U49" s="96">
        <f t="shared" si="42"/>
        <v>391.00090162329263</v>
      </c>
      <c r="V49" s="96">
        <f t="shared" si="42"/>
        <v>412.30009863807334</v>
      </c>
      <c r="W49" s="96" t="e">
        <f>(W6*1000000)/#REF!</f>
        <v>#REF!</v>
      </c>
      <c r="X49" s="96">
        <f>(X6*1000000)/H51</f>
        <v>436.99966165671782</v>
      </c>
      <c r="Y49" s="96">
        <f>(Y6*1000000)/H51</f>
        <v>468.97591639291738</v>
      </c>
      <c r="Z49" s="96">
        <f>(Z6*1000000)/J51</f>
        <v>498.3343927250657</v>
      </c>
      <c r="AA49" s="96">
        <f>(AA6*1000000)/K51</f>
        <v>572.37816335294212</v>
      </c>
      <c r="AB49" s="96">
        <f>(AB6*1000000)/L51</f>
        <v>604.88529622702617</v>
      </c>
      <c r="AC49" s="96">
        <f>(AC6*1000000)/M51</f>
        <v>624.41337393696801</v>
      </c>
      <c r="AD49" s="96">
        <f>(AD6*1000000)/N51</f>
        <v>639.57543661637681</v>
      </c>
    </row>
    <row r="50" spans="1:30" ht="15" customHeight="1" x14ac:dyDescent="0.25">
      <c r="B50" s="50"/>
      <c r="C50" s="50"/>
      <c r="D50" s="50"/>
      <c r="E50" s="50"/>
      <c r="F50" s="50"/>
      <c r="G50" s="62"/>
      <c r="H50" s="62"/>
      <c r="I50" s="62"/>
      <c r="J50" s="62"/>
      <c r="K50" s="62"/>
      <c r="L50" s="61"/>
      <c r="M50" s="61"/>
      <c r="N50" s="61"/>
      <c r="P50" s="19" t="s">
        <v>48</v>
      </c>
      <c r="Q50" s="7"/>
      <c r="R50" s="7"/>
      <c r="S50" s="7"/>
      <c r="T50" s="7"/>
      <c r="U50" s="86"/>
      <c r="V50" s="86"/>
      <c r="W50" s="109">
        <v>0.7</v>
      </c>
      <c r="X50" s="86">
        <v>7</v>
      </c>
      <c r="Y50" s="86">
        <v>8</v>
      </c>
      <c r="Z50" s="86">
        <v>8</v>
      </c>
      <c r="AA50" s="86">
        <v>10</v>
      </c>
      <c r="AB50" s="110">
        <v>10</v>
      </c>
      <c r="AC50" s="110">
        <v>10</v>
      </c>
      <c r="AD50" s="110" t="s">
        <v>76</v>
      </c>
    </row>
    <row r="51" spans="1:30" ht="15" customHeight="1" x14ac:dyDescent="0.25">
      <c r="A51" s="12" t="s">
        <v>64</v>
      </c>
      <c r="B51" s="15"/>
      <c r="C51" s="15"/>
      <c r="D51" s="15">
        <v>21850589</v>
      </c>
      <c r="E51" s="15">
        <v>21850589</v>
      </c>
      <c r="F51" s="6">
        <v>21850589</v>
      </c>
      <c r="G51" s="63">
        <v>21850589</v>
      </c>
      <c r="H51" s="63">
        <v>21850589</v>
      </c>
      <c r="I51" s="63">
        <v>21850589</v>
      </c>
      <c r="J51" s="63">
        <v>21850589</v>
      </c>
      <c r="K51" s="63">
        <v>21850589</v>
      </c>
      <c r="L51" s="72">
        <v>21850589</v>
      </c>
      <c r="M51" s="63">
        <v>21850589</v>
      </c>
      <c r="N51" s="63">
        <v>21850589</v>
      </c>
      <c r="P51" s="19" t="s">
        <v>49</v>
      </c>
      <c r="Q51" s="7">
        <f t="shared" ref="Q51:V51" si="43">(Q47/Q48)</f>
        <v>0</v>
      </c>
      <c r="R51" s="7">
        <f t="shared" si="43"/>
        <v>0</v>
      </c>
      <c r="S51" s="7">
        <f t="shared" si="43"/>
        <v>0</v>
      </c>
      <c r="T51" s="37">
        <f t="shared" si="43"/>
        <v>0</v>
      </c>
      <c r="U51" s="97">
        <f t="shared" si="43"/>
        <v>87.761806981519499</v>
      </c>
      <c r="V51" s="97">
        <f t="shared" si="43"/>
        <v>57.879078694817657</v>
      </c>
      <c r="W51" s="98" t="s">
        <v>76</v>
      </c>
      <c r="X51" s="97">
        <f>(X47/X48)</f>
        <v>26.39121338912134</v>
      </c>
      <c r="Y51" s="97">
        <f>(Y47/Y48)</f>
        <v>2.7081427264409883</v>
      </c>
      <c r="Z51" s="97">
        <f>(Z47/Z48)</f>
        <v>7.8049907578558217</v>
      </c>
      <c r="AA51" s="97">
        <f>AA47/AA48</f>
        <v>6.5246796392975792</v>
      </c>
      <c r="AB51" s="97">
        <f>AB47/AB48</f>
        <v>8.3176100628930811</v>
      </c>
      <c r="AC51" s="97">
        <f>AC47/AC48</f>
        <v>20.516359918200411</v>
      </c>
      <c r="AD51" s="97">
        <f>AD47/AD48</f>
        <v>17.063643813165804</v>
      </c>
    </row>
    <row r="52" spans="1:30" ht="15" customHeight="1" x14ac:dyDescent="0.25">
      <c r="A52" s="49" t="s">
        <v>65</v>
      </c>
      <c r="B52" s="51">
        <f t="shared" ref="B52:G52" si="44">B51*Q47/1000000</f>
        <v>0</v>
      </c>
      <c r="C52" s="51">
        <f t="shared" si="44"/>
        <v>0</v>
      </c>
      <c r="D52" s="51">
        <f t="shared" si="44"/>
        <v>0</v>
      </c>
      <c r="E52" s="52">
        <f t="shared" si="44"/>
        <v>0</v>
      </c>
      <c r="F52" s="52">
        <f t="shared" si="44"/>
        <v>9338.9417386000005</v>
      </c>
      <c r="G52" s="83">
        <f t="shared" si="44"/>
        <v>6589.0451129499997</v>
      </c>
      <c r="H52" s="83">
        <f t="shared" ref="H52:N52" si="45">H51*X47/1000000</f>
        <v>5512.9036047</v>
      </c>
      <c r="I52" s="83">
        <f t="shared" si="45"/>
        <v>2587.1097375999998</v>
      </c>
      <c r="J52" s="83">
        <f t="shared" si="45"/>
        <v>5535.8467231499999</v>
      </c>
      <c r="K52" s="83">
        <f t="shared" si="45"/>
        <v>12015.638891100001</v>
      </c>
      <c r="L52" s="83">
        <f t="shared" si="45"/>
        <v>7513.3250276500003</v>
      </c>
      <c r="M52" s="83">
        <f t="shared" si="45"/>
        <v>8768.6413657000012</v>
      </c>
      <c r="N52" s="83">
        <f t="shared" si="45"/>
        <v>13650.062948300001</v>
      </c>
      <c r="P52" s="19" t="s">
        <v>50</v>
      </c>
      <c r="Q52" s="7">
        <v>0</v>
      </c>
      <c r="R52" s="7">
        <v>0</v>
      </c>
      <c r="S52" s="7">
        <v>0</v>
      </c>
      <c r="T52" s="37">
        <f>(T47/T49)</f>
        <v>0</v>
      </c>
      <c r="U52" s="97">
        <f>(U47/U49)</f>
        <v>1.0930921085490892</v>
      </c>
      <c r="V52" s="97">
        <f>(V47/V49)</f>
        <v>0.73138473892218892</v>
      </c>
      <c r="W52" s="98" t="s">
        <v>76</v>
      </c>
      <c r="X52" s="97">
        <f>(X47/X49)</f>
        <v>0.57734598476232368</v>
      </c>
      <c r="Y52" s="97">
        <f>(Y47/Y49)</f>
        <v>0.25246498990963562</v>
      </c>
      <c r="Z52" s="97">
        <f>(Z47/Z49)</f>
        <v>0.50839356805095093</v>
      </c>
      <c r="AA52" s="97">
        <f>AA47/AA49</f>
        <v>0.96072847499760128</v>
      </c>
      <c r="AB52" s="97">
        <f>AB47/AB49</f>
        <v>0.56845488251204879</v>
      </c>
      <c r="AC52" s="97">
        <f>AC47/AC49</f>
        <v>0.64268322356674834</v>
      </c>
      <c r="AD52" s="97">
        <f>AD47/AD49</f>
        <v>0.97674170118997361</v>
      </c>
    </row>
    <row r="53" spans="1:30" ht="15" customHeight="1" x14ac:dyDescent="0.25">
      <c r="A53" s="12" t="s">
        <v>68</v>
      </c>
      <c r="B53" s="6">
        <f t="shared" ref="B53:G53" si="46">Q10</f>
        <v>188.392</v>
      </c>
      <c r="C53" s="6">
        <f t="shared" si="46"/>
        <v>233.13499999999999</v>
      </c>
      <c r="D53" s="6">
        <f t="shared" si="46"/>
        <v>1397.1</v>
      </c>
      <c r="E53" s="34">
        <f t="shared" si="46"/>
        <v>553.4</v>
      </c>
      <c r="F53" s="34">
        <f t="shared" si="46"/>
        <v>381.7</v>
      </c>
      <c r="G53" s="84">
        <f t="shared" si="46"/>
        <v>306.20000000000005</v>
      </c>
      <c r="H53" s="84">
        <f>X10</f>
        <v>210.2</v>
      </c>
      <c r="I53" s="84">
        <f>Y10</f>
        <v>99.600000000000009</v>
      </c>
      <c r="J53" s="84">
        <f>Z10</f>
        <v>81.099999999999994</v>
      </c>
      <c r="K53" s="84">
        <f>AA10</f>
        <v>103.5</v>
      </c>
      <c r="L53" s="84">
        <f>AB10</f>
        <v>637.79999999999995</v>
      </c>
      <c r="M53" s="84">
        <f t="shared" ref="M53:N53" si="47">AC10</f>
        <v>487.3</v>
      </c>
      <c r="N53" s="84">
        <f t="shared" si="47"/>
        <v>487</v>
      </c>
      <c r="P53" s="19" t="s">
        <v>51</v>
      </c>
      <c r="Q53" s="16">
        <f t="shared" ref="Q53:V53" si="48">B55/B13</f>
        <v>2.3596672324937695</v>
      </c>
      <c r="R53" s="16">
        <f t="shared" si="48"/>
        <v>1.8388931652554652</v>
      </c>
      <c r="S53" s="16">
        <f t="shared" si="48"/>
        <v>1.1612345465548535</v>
      </c>
      <c r="T53" s="38">
        <f t="shared" si="48"/>
        <v>0.35576652601969055</v>
      </c>
      <c r="U53" s="99">
        <f t="shared" si="48"/>
        <v>5.3297089891680853</v>
      </c>
      <c r="V53" s="99">
        <f t="shared" si="48"/>
        <v>5.9655761462268249</v>
      </c>
      <c r="W53" s="98" t="s">
        <v>76</v>
      </c>
      <c r="X53" s="97">
        <f t="shared" ref="X53:AC53" si="49">H55/H13</f>
        <v>3.7707153044316026</v>
      </c>
      <c r="Y53" s="97">
        <f t="shared" si="49"/>
        <v>2.8375815230125618</v>
      </c>
      <c r="Z53" s="97">
        <f t="shared" si="49"/>
        <v>4.598543185002077</v>
      </c>
      <c r="AA53" s="97">
        <f t="shared" si="49"/>
        <v>4.5643947523932091</v>
      </c>
      <c r="AB53" s="97">
        <f t="shared" si="49"/>
        <v>5.6143645244502105</v>
      </c>
      <c r="AC53" s="97">
        <f t="shared" si="49"/>
        <v>11.12989656444018</v>
      </c>
      <c r="AD53" s="114" t="s">
        <v>76</v>
      </c>
    </row>
    <row r="54" spans="1:30" ht="15" customHeight="1" x14ac:dyDescent="0.25">
      <c r="A54" s="12" t="s">
        <v>66</v>
      </c>
      <c r="B54" s="6">
        <f t="shared" ref="B54:G54" si="50">Q25</f>
        <v>34.091000000000001</v>
      </c>
      <c r="C54" s="6">
        <f t="shared" si="50"/>
        <v>49.185000000000002</v>
      </c>
      <c r="D54" s="6">
        <f t="shared" si="50"/>
        <v>53.9</v>
      </c>
      <c r="E54" s="34">
        <f t="shared" si="50"/>
        <v>47.5</v>
      </c>
      <c r="F54" s="34">
        <f t="shared" si="50"/>
        <v>27.5</v>
      </c>
      <c r="G54" s="84">
        <f t="shared" si="50"/>
        <v>231.1</v>
      </c>
      <c r="H54" s="84">
        <f t="shared" ref="H54:L54" si="51">X25</f>
        <v>47.8</v>
      </c>
      <c r="I54" s="84">
        <f t="shared" si="51"/>
        <v>41.8</v>
      </c>
      <c r="J54" s="84">
        <f t="shared" si="51"/>
        <v>82.6</v>
      </c>
      <c r="K54" s="84">
        <f t="shared" si="51"/>
        <v>55.9</v>
      </c>
      <c r="L54" s="84">
        <f t="shared" si="51"/>
        <v>160.19999999999999</v>
      </c>
      <c r="M54" s="84">
        <f>AC25</f>
        <v>41.5</v>
      </c>
      <c r="N54" s="84">
        <f>AD25</f>
        <v>74.5</v>
      </c>
      <c r="P54" s="20" t="s">
        <v>52</v>
      </c>
      <c r="Q54" s="17">
        <f t="shared" ref="Q54:V54" si="52">(B25/Q6)</f>
        <v>0.1777959651348362</v>
      </c>
      <c r="R54" s="17">
        <f t="shared" si="52"/>
        <v>0.23782700307305921</v>
      </c>
      <c r="S54" s="17">
        <f t="shared" si="52"/>
        <v>5.1065434132990861E-2</v>
      </c>
      <c r="T54" s="39">
        <f t="shared" si="52"/>
        <v>7.6424770571450612E-2</v>
      </c>
      <c r="U54" s="100">
        <f t="shared" si="52"/>
        <v>0.10647736317243325</v>
      </c>
      <c r="V54" s="100">
        <f t="shared" si="52"/>
        <v>7.7799977799978048E-2</v>
      </c>
      <c r="W54" s="98" t="s">
        <v>76</v>
      </c>
      <c r="X54" s="101">
        <f t="shared" ref="X54:AC54" si="53">(H25/X6)</f>
        <v>8.0199398871050334E-2</v>
      </c>
      <c r="Y54" s="101">
        <f t="shared" si="53"/>
        <v>9.3223646973866231E-2</v>
      </c>
      <c r="Z54" s="101">
        <f t="shared" si="53"/>
        <v>6.5130545785157368E-2</v>
      </c>
      <c r="AA54" s="101">
        <f t="shared" si="53"/>
        <v>0.14724789714395353</v>
      </c>
      <c r="AB54" s="101">
        <f t="shared" si="53"/>
        <v>6.833571660954392E-2</v>
      </c>
      <c r="AC54" s="101">
        <f t="shared" si="53"/>
        <v>3.1332913118046132E-2</v>
      </c>
      <c r="AD54" s="115" t="s">
        <v>76</v>
      </c>
    </row>
    <row r="55" spans="1:30" ht="15" customHeight="1" x14ac:dyDescent="0.25">
      <c r="A55" s="25" t="s">
        <v>67</v>
      </c>
      <c r="B55" s="2">
        <f t="shared" ref="B55:G55" si="54">B52+B53-B54</f>
        <v>154.30099999999999</v>
      </c>
      <c r="C55" s="2">
        <f t="shared" si="54"/>
        <v>183.95</v>
      </c>
      <c r="D55" s="2">
        <f t="shared" si="54"/>
        <v>1343.1999999999998</v>
      </c>
      <c r="E55" s="26">
        <f t="shared" si="54"/>
        <v>505.9</v>
      </c>
      <c r="F55" s="26">
        <f t="shared" si="54"/>
        <v>9693.1417386000012</v>
      </c>
      <c r="G55" s="55">
        <f t="shared" si="54"/>
        <v>6664.1451129499992</v>
      </c>
      <c r="H55" s="55">
        <f t="shared" ref="H55:L55" si="55">H52+H53-H54</f>
        <v>5675.3036046999996</v>
      </c>
      <c r="I55" s="55">
        <f t="shared" si="55"/>
        <v>2644.9097375999995</v>
      </c>
      <c r="J55" s="55">
        <f t="shared" si="55"/>
        <v>5534.3467231499999</v>
      </c>
      <c r="K55" s="55">
        <f t="shared" si="55"/>
        <v>12063.238891100002</v>
      </c>
      <c r="L55" s="55">
        <f t="shared" si="55"/>
        <v>7990.9250276500006</v>
      </c>
      <c r="M55" s="55">
        <f>M52+M53-M54</f>
        <v>9214.4413657000005</v>
      </c>
      <c r="N55" s="55">
        <f>N52+N53-N54</f>
        <v>14062.562948300001</v>
      </c>
      <c r="P55" s="20" t="s">
        <v>53</v>
      </c>
      <c r="Q55" s="17">
        <f t="shared" ref="Q55:V55" si="56">(B22+B19)/Q11</f>
        <v>0.22166086474776106</v>
      </c>
      <c r="R55" s="17">
        <f t="shared" si="56"/>
        <v>0.29092049508373163</v>
      </c>
      <c r="S55" s="17">
        <f t="shared" si="56"/>
        <v>8.892992624400671E-2</v>
      </c>
      <c r="T55" s="39">
        <f t="shared" si="56"/>
        <v>0.103789022497651</v>
      </c>
      <c r="U55" s="100">
        <f t="shared" si="56"/>
        <v>0.14460311462041817</v>
      </c>
      <c r="V55" s="100">
        <f t="shared" si="56"/>
        <v>0.10619226627878441</v>
      </c>
      <c r="W55" s="98" t="e">
        <f>(#REF!+#REF!)/W11</f>
        <v>#REF!</v>
      </c>
      <c r="X55" s="101">
        <f t="shared" ref="X55:AC55" si="57">(H22+H19)/X11</f>
        <v>0.11118671130101862</v>
      </c>
      <c r="Y55" s="101">
        <f t="shared" si="57"/>
        <v>7.907716925890404E-2</v>
      </c>
      <c r="Z55" s="101">
        <f t="shared" si="57"/>
        <v>7.8187196741781137E-2</v>
      </c>
      <c r="AA55" s="101">
        <f t="shared" si="57"/>
        <v>0.18162970641590451</v>
      </c>
      <c r="AB55" s="101">
        <f t="shared" si="57"/>
        <v>8.1568163747936018E-2</v>
      </c>
      <c r="AC55" s="101">
        <f t="shared" si="57"/>
        <v>4.1636042192248722E-2</v>
      </c>
      <c r="AD55" s="115" t="s">
        <v>76</v>
      </c>
    </row>
    <row r="56" spans="1:30" ht="15" customHeight="1" x14ac:dyDescent="0.25">
      <c r="P56" s="19" t="s">
        <v>54</v>
      </c>
      <c r="Q56" s="16">
        <f t="shared" ref="Q56:V56" si="58">(Q10/Q6)</f>
        <v>1.541858656954618</v>
      </c>
      <c r="R56" s="16">
        <f t="shared" si="58"/>
        <v>1.4075395603533112</v>
      </c>
      <c r="S56" s="16">
        <f t="shared" si="58"/>
        <v>0.19508755271315664</v>
      </c>
      <c r="T56" s="38">
        <f t="shared" si="58"/>
        <v>7.1129276882342357E-2</v>
      </c>
      <c r="U56" s="99">
        <f t="shared" si="58"/>
        <v>4.4676717074769418E-2</v>
      </c>
      <c r="V56" s="99">
        <f t="shared" si="58"/>
        <v>3.3988233988233994E-2</v>
      </c>
      <c r="W56" s="98" t="s">
        <v>76</v>
      </c>
      <c r="X56" s="97">
        <f t="shared" ref="X56:AC56" si="59">(X10/X6)</f>
        <v>2.2013467801899732E-2</v>
      </c>
      <c r="Y56" s="97">
        <f t="shared" si="59"/>
        <v>9.7195386146729911E-3</v>
      </c>
      <c r="Z56" s="97">
        <f t="shared" si="59"/>
        <v>7.4479515837228734E-3</v>
      </c>
      <c r="AA56" s="97">
        <f t="shared" si="59"/>
        <v>8.2754981290178147E-3</v>
      </c>
      <c r="AB56" s="97">
        <f t="shared" si="59"/>
        <v>4.8255668792700358E-2</v>
      </c>
      <c r="AC56" s="97">
        <f t="shared" si="59"/>
        <v>3.5715856286371833E-2</v>
      </c>
      <c r="AD56" s="114" t="s">
        <v>76</v>
      </c>
    </row>
    <row r="57" spans="1:30" ht="15" customHeight="1" x14ac:dyDescent="0.25">
      <c r="P57" s="19" t="s">
        <v>55</v>
      </c>
      <c r="Q57" s="16">
        <f t="shared" ref="Q57:V57" si="60">(Q10-Q25)/Q6</f>
        <v>1.262847321684331</v>
      </c>
      <c r="R57" s="16">
        <f t="shared" si="60"/>
        <v>1.1105878659445882</v>
      </c>
      <c r="S57" s="16">
        <f t="shared" si="60"/>
        <v>0.18756109140670818</v>
      </c>
      <c r="T57" s="38">
        <f t="shared" si="60"/>
        <v>6.5024035371841343E-2</v>
      </c>
      <c r="U57" s="99">
        <f t="shared" si="60"/>
        <v>4.145793342384943E-2</v>
      </c>
      <c r="V57" s="99">
        <f t="shared" si="60"/>
        <v>8.3361083361083426E-3</v>
      </c>
      <c r="W57" s="98" t="s">
        <v>76</v>
      </c>
      <c r="X57" s="97">
        <f t="shared" ref="X57:AC57" si="61">(X10-X25)/X6</f>
        <v>1.7007550766072865E-2</v>
      </c>
      <c r="Y57" s="97">
        <f t="shared" si="61"/>
        <v>5.6404551398403511E-3</v>
      </c>
      <c r="Z57" s="102">
        <f t="shared" si="61"/>
        <v>-1.3775496147452911E-4</v>
      </c>
      <c r="AA57" s="97">
        <f t="shared" si="61"/>
        <v>3.8059295743115749E-3</v>
      </c>
      <c r="AB57" s="97">
        <f t="shared" si="61"/>
        <v>3.613500692284994E-2</v>
      </c>
      <c r="AC57" s="97">
        <f t="shared" si="61"/>
        <v>3.2674181679590734E-2</v>
      </c>
      <c r="AD57" s="114" t="s">
        <v>76</v>
      </c>
    </row>
    <row r="58" spans="1:30" ht="15" customHeight="1" x14ac:dyDescent="0.25">
      <c r="P58" s="19" t="s">
        <v>56</v>
      </c>
      <c r="Q58" s="7">
        <v>0</v>
      </c>
      <c r="R58" s="7">
        <v>0</v>
      </c>
      <c r="S58" s="7">
        <v>0</v>
      </c>
      <c r="T58" s="37">
        <v>0</v>
      </c>
      <c r="U58" s="101">
        <f>(U50/U47)</f>
        <v>0</v>
      </c>
      <c r="V58" s="101">
        <f>(V50/V47)</f>
        <v>0</v>
      </c>
      <c r="W58" s="98" t="s">
        <v>76</v>
      </c>
      <c r="X58" s="101">
        <f t="shared" ref="X58:AB58" si="62">(X50/X47)</f>
        <v>2.7744748315497423E-2</v>
      </c>
      <c r="Y58" s="101">
        <f t="shared" si="62"/>
        <v>6.7567567567567557E-2</v>
      </c>
      <c r="Z58" s="101">
        <f t="shared" si="62"/>
        <v>3.1576869942766921E-2</v>
      </c>
      <c r="AA58" s="101">
        <f t="shared" si="62"/>
        <v>1.8185124568103291E-2</v>
      </c>
      <c r="AB58" s="101">
        <f t="shared" si="62"/>
        <v>2.9082448742184089E-2</v>
      </c>
      <c r="AC58" s="101">
        <f>(AC50/AC47)</f>
        <v>2.4919013207076998E-2</v>
      </c>
      <c r="AD58" s="115" t="s">
        <v>76</v>
      </c>
    </row>
    <row r="59" spans="1:30" ht="15" customHeight="1" x14ac:dyDescent="0.25">
      <c r="P59" s="19" t="s">
        <v>57</v>
      </c>
      <c r="Q59" s="3"/>
      <c r="R59" s="15">
        <f>(AVERAGE(Q24:R24)/C4*365)</f>
        <v>51.764605146508309</v>
      </c>
      <c r="S59" s="15">
        <f>(AVERAGE(R24:S24)/D4*365)</f>
        <v>27.060167168637626</v>
      </c>
      <c r="T59" s="41">
        <f>(AVERAGE(S24:T24)/E4*365)</f>
        <v>51.05544576964779</v>
      </c>
      <c r="U59" s="103">
        <f>(AVERAGE(T24:U24)/F4*365)</f>
        <v>46.954346559937875</v>
      </c>
      <c r="V59" s="103">
        <f>(AVERAGE(U24:V24)/G4*365)</f>
        <v>49.904283829613824</v>
      </c>
      <c r="W59" s="98" t="s">
        <v>76</v>
      </c>
      <c r="X59" s="103">
        <f>(AVERAGE(X24,V24))/(H4)*365</f>
        <v>41.975264879590036</v>
      </c>
      <c r="Y59" s="103">
        <f>(AVERAGE(Y24,W24))/(I4)*365</f>
        <v>23.631960231264223</v>
      </c>
      <c r="Z59" s="103">
        <f>(AVERAGE(Z24,Y24))/(J4)*365</f>
        <v>57.418547595682035</v>
      </c>
      <c r="AA59" s="103">
        <f>(AVERAGE(AA24,Z24))/(K4)*365</f>
        <v>41.034509469308759</v>
      </c>
      <c r="AB59" s="103">
        <f>(AVERAGE(AB24,AA24))/(L4)*365</f>
        <v>40.195711976062363</v>
      </c>
      <c r="AC59" s="103">
        <f>(AVERAGE(AC24,AB24))/(M4)*365</f>
        <v>43.322234326176073</v>
      </c>
      <c r="AD59" s="116" t="s">
        <v>76</v>
      </c>
    </row>
    <row r="60" spans="1:30" ht="15" customHeight="1" x14ac:dyDescent="0.25">
      <c r="P60" s="19" t="s">
        <v>58</v>
      </c>
      <c r="Q60" s="3"/>
      <c r="R60" s="6">
        <f>AVERAGE(Q31,R31)/(C8)*365</f>
        <v>27.223820921676253</v>
      </c>
      <c r="S60" s="6">
        <f>AVERAGE(R31,S31)/(D8+D10)*365</f>
        <v>9.3061498889662708</v>
      </c>
      <c r="T60" s="41">
        <f>AVERAGE(R31:T31)/(E8+E10)*365</f>
        <v>13.09686615969582</v>
      </c>
      <c r="U60" s="103">
        <f>AVERAGE(S31:U31)/(F8+F10)*365</f>
        <v>24.844749558947612</v>
      </c>
      <c r="V60" s="103">
        <f>AVERAGE(T31:V31)/(G8+G10)*365</f>
        <v>23.700371064495979</v>
      </c>
      <c r="W60" s="103" t="e">
        <f>AVERAGE(U31:W31)/(#REF!)*365</f>
        <v>#REF!</v>
      </c>
      <c r="X60" s="103">
        <f>AVERAGE(X31,V31)/SUM(H8:H10)*365</f>
        <v>25.865772903049177</v>
      </c>
      <c r="Y60" s="103">
        <f>AVERAGE(Y31,W31)/SUM(I8:I10)*365</f>
        <v>24.340877341547689</v>
      </c>
      <c r="Z60" s="103">
        <f>AVERAGE(Z31,Y31)/SUM(J8:J10)*365</f>
        <v>59.009745253208813</v>
      </c>
      <c r="AA60" s="103">
        <f>AVERAGE(AA31,Z31)/SUM(K8:K10)*365</f>
        <v>34.080877920120571</v>
      </c>
      <c r="AB60" s="103">
        <f>AVERAGE(AB31,AA31)/SUM(L8:L10)*365</f>
        <v>30.092671495526208</v>
      </c>
      <c r="AC60" s="103">
        <f>AVERAGE(AC31,AB31)/SUM(M8:M10)*365</f>
        <v>37.565208492997975</v>
      </c>
      <c r="AD60" s="116" t="s">
        <v>76</v>
      </c>
    </row>
    <row r="61" spans="1:30" ht="15" customHeight="1" x14ac:dyDescent="0.25">
      <c r="P61" s="12" t="s">
        <v>59</v>
      </c>
      <c r="Q61" s="3"/>
      <c r="R61" s="15" t="e">
        <f>(#REF!+R59-R60)</f>
        <v>#REF!</v>
      </c>
      <c r="S61" s="15" t="e">
        <f>(#REF!+S59-S60)</f>
        <v>#REF!</v>
      </c>
      <c r="T61" s="41">
        <f>AVERAGE(R23:T23)/SUM(F8:F10)*365</f>
        <v>66.89575868372944</v>
      </c>
      <c r="U61" s="103">
        <f>AVERAGE(T23:U23)/SUM(F8:F10)*365</f>
        <v>104.94306063375991</v>
      </c>
      <c r="V61" s="103">
        <f>AVERAGE(U23:V23)/SUM(G8:G10)*365</f>
        <v>92.151902643933781</v>
      </c>
      <c r="W61" s="103" t="e">
        <f>AVERAGE(U23:W23)/SUM(#REF!)*365</f>
        <v>#REF!</v>
      </c>
      <c r="X61" s="103">
        <f>AVERAGE(X23,V23)/SUM(H8:H10)*365</f>
        <v>68.052620546866976</v>
      </c>
      <c r="Y61" s="103">
        <f>AVERAGE(Y23,W23)/SUM(I8:I10)*365</f>
        <v>52.795348163135387</v>
      </c>
      <c r="Z61" s="103">
        <f>AVERAGE(Z23,Y23)/SUM(J8:J10)*365</f>
        <v>108.03993876010182</v>
      </c>
      <c r="AA61" s="103">
        <f>AVERAGE(AA23,Z23)/SUM(K8:K10)*365</f>
        <v>68.625226073850783</v>
      </c>
      <c r="AB61" s="103">
        <f>AVERAGE(AB23,AA23)/SUM(L8:L10)*365</f>
        <v>72.664978010153604</v>
      </c>
      <c r="AC61" s="103">
        <f>AVERAGE(AC23,AB23)/SUM(M8:M10)*365</f>
        <v>81.468900229917068</v>
      </c>
      <c r="AD61" s="116" t="s">
        <v>76</v>
      </c>
    </row>
    <row r="62" spans="1:30" ht="15" customHeight="1" x14ac:dyDescent="0.25">
      <c r="P62" s="19" t="s">
        <v>89</v>
      </c>
      <c r="Q62" s="15"/>
      <c r="R62" s="15">
        <f>AVERAGE(Q37:R37)/C4*365</f>
        <v>8.5283383751418924</v>
      </c>
      <c r="S62" s="15">
        <f>AVERAGE(R37:S37)/D4*365</f>
        <v>37.348615339794677</v>
      </c>
      <c r="T62" s="41">
        <f t="shared" ref="T62:AA62" si="63">T59-T60+T61</f>
        <v>104.85433829368141</v>
      </c>
      <c r="U62" s="103">
        <f t="shared" si="63"/>
        <v>127.05265763475018</v>
      </c>
      <c r="V62" s="103">
        <f t="shared" si="63"/>
        <v>118.35581540905163</v>
      </c>
      <c r="W62" s="103" t="e">
        <f t="shared" si="63"/>
        <v>#VALUE!</v>
      </c>
      <c r="X62" s="103">
        <f t="shared" si="63"/>
        <v>84.162112523407842</v>
      </c>
      <c r="Y62" s="103">
        <f t="shared" si="63"/>
        <v>52.086431052851921</v>
      </c>
      <c r="Z62" s="103">
        <f t="shared" si="63"/>
        <v>106.44874110257504</v>
      </c>
      <c r="AA62" s="103">
        <f t="shared" si="63"/>
        <v>75.578857623038971</v>
      </c>
      <c r="AB62" s="103">
        <f t="shared" ref="AB62" si="64">AB59-AB60+AB61</f>
        <v>82.768018490689755</v>
      </c>
      <c r="AC62" s="103">
        <f>AC59-AC60+AC61</f>
        <v>87.225926063095159</v>
      </c>
      <c r="AD62" s="116" t="s">
        <v>76</v>
      </c>
    </row>
    <row r="63" spans="1:30" ht="15" customHeight="1" x14ac:dyDescent="0.25">
      <c r="P63" s="12" t="s">
        <v>92</v>
      </c>
      <c r="Q63" s="8"/>
      <c r="R63" s="15">
        <f>AVERAGE(Q37:R37)/C4*365</f>
        <v>8.5283383751418924</v>
      </c>
      <c r="S63" s="15">
        <f>AVERAGE(R37:S37)/D4*365</f>
        <v>37.348615339794677</v>
      </c>
      <c r="T63" s="41">
        <f>AVERAGE(S37:T37)/E4*365</f>
        <v>90.342000104928147</v>
      </c>
      <c r="U63" s="103">
        <f>AVERAGE(T37:U37)/F4*365</f>
        <v>98.773651827183016</v>
      </c>
      <c r="V63" s="103">
        <f>AVERAGE(U37:V37)/G4*365</f>
        <v>108.03245681289155</v>
      </c>
      <c r="W63" s="103" t="e">
        <f>AVERAGE(V37:W37)/#REF!*365</f>
        <v>#REF!</v>
      </c>
      <c r="X63" s="103">
        <f>(AVERAGE(V37+X37)/H4)*365</f>
        <v>200.20618182630153</v>
      </c>
      <c r="Y63" s="103">
        <f>AVERAGE(X37:Y37)/I4*365</f>
        <v>142.12379169359599</v>
      </c>
      <c r="Z63" s="103">
        <f>AVERAGE(Y37:Z37)/J4*365</f>
        <v>185.18944226365721</v>
      </c>
      <c r="AA63" s="103">
        <f>AVERAGE(Z37:AA37)/K4*365</f>
        <v>122.42931982095789</v>
      </c>
      <c r="AB63" s="103">
        <f>AVERAGE(AA37:AB37)/L4*365</f>
        <v>124.54443666899931</v>
      </c>
      <c r="AC63" s="103">
        <f>AVERAGE(AB37:AC37)/M4*365</f>
        <v>134.97037238769602</v>
      </c>
      <c r="AD63" s="116" t="s">
        <v>76</v>
      </c>
    </row>
    <row r="64" spans="1:30" ht="15" customHeight="1" x14ac:dyDescent="0.25">
      <c r="P64" s="12" t="s">
        <v>73</v>
      </c>
      <c r="Q64" s="18">
        <f t="shared" ref="Q64:V64" si="65">B19/Q10</f>
        <v>0.11340715104675358</v>
      </c>
      <c r="R64" s="18">
        <f t="shared" si="65"/>
        <v>0.12409977051922706</v>
      </c>
      <c r="S64" s="18">
        <f t="shared" si="65"/>
        <v>0.12397108295755493</v>
      </c>
      <c r="T64" s="40">
        <f t="shared" si="65"/>
        <v>0.1727502710516805</v>
      </c>
      <c r="U64" s="101">
        <f t="shared" si="65"/>
        <v>0.14723604925334033</v>
      </c>
      <c r="V64" s="101">
        <f t="shared" si="65"/>
        <v>0.11103853690398431</v>
      </c>
      <c r="W64" s="98" t="s">
        <v>76</v>
      </c>
      <c r="X64" s="101">
        <f>H19/X10</f>
        <v>0.16460513796384396</v>
      </c>
      <c r="Y64" s="101">
        <f>I19/Y10</f>
        <v>0.35040160642570278</v>
      </c>
      <c r="Z64" s="101">
        <f>J19/Z10</f>
        <v>0.19112207151664612</v>
      </c>
      <c r="AA64" s="101">
        <f>K19/AA10</f>
        <v>0.11980676328502415</v>
      </c>
      <c r="AB64" s="101">
        <f>L19/AB10</f>
        <v>3.6845406083411733E-2</v>
      </c>
      <c r="AC64" s="101">
        <f t="shared" ref="AC64" si="66">M19/AC10</f>
        <v>0.10978863123332649</v>
      </c>
      <c r="AD64" s="115" t="s">
        <v>76</v>
      </c>
    </row>
    <row r="65" spans="16:30" ht="15" customHeight="1" x14ac:dyDescent="0.25">
      <c r="P65" s="12" t="s">
        <v>90</v>
      </c>
      <c r="Q65" s="8"/>
      <c r="R65" s="8"/>
      <c r="S65" s="8"/>
      <c r="T65" s="42">
        <f>(F13-F18)/F19</f>
        <v>24.822064056939514</v>
      </c>
      <c r="U65" s="104">
        <f>(G13-G18)/G19</f>
        <v>20.520588235294184</v>
      </c>
      <c r="V65" s="104">
        <f>(H13-H18)/H19</f>
        <v>30.482658959537527</v>
      </c>
      <c r="W65" s="104" t="e">
        <f>(#REF!-#REF!)/#REF!</f>
        <v>#REF!</v>
      </c>
      <c r="X65" s="104">
        <f t="shared" ref="X65:AA65" si="67">(H13-H18)/H19</f>
        <v>30.482658959537527</v>
      </c>
      <c r="Y65" s="104">
        <f t="shared" si="67"/>
        <v>13.670487106017099</v>
      </c>
      <c r="Z65" s="104">
        <f t="shared" si="67"/>
        <v>51.270967741935486</v>
      </c>
      <c r="AA65" s="104">
        <f t="shared" si="67"/>
        <v>181.18548387096757</v>
      </c>
      <c r="AB65" s="104">
        <f t="shared" ref="AB65" si="68">(L13-L18)/L19</f>
        <v>43.02553191489374</v>
      </c>
      <c r="AC65" s="104">
        <f>(M13-M18)/M19</f>
        <v>6.0803738317756597</v>
      </c>
      <c r="AD65" s="104">
        <f>(N13-N18)/N19</f>
        <v>18.103641456582622</v>
      </c>
    </row>
    <row r="66" spans="16:30" ht="15" customHeight="1" x14ac:dyDescent="0.2">
      <c r="P66" s="1" t="s">
        <v>93</v>
      </c>
      <c r="X66" s="10"/>
      <c r="Y66" s="13"/>
      <c r="AA66" s="1" t="s">
        <v>111</v>
      </c>
    </row>
    <row r="67" spans="16:30" ht="15" customHeight="1" x14ac:dyDescent="0.2">
      <c r="Y67" s="13"/>
      <c r="AA67" s="1" t="s">
        <v>112</v>
      </c>
    </row>
    <row r="68" spans="16:30" ht="15" customHeight="1" x14ac:dyDescent="0.2">
      <c r="Y68" s="13"/>
    </row>
    <row r="69" spans="16:30" ht="15" customHeight="1" x14ac:dyDescent="0.2">
      <c r="Y69" s="13"/>
    </row>
    <row r="70" spans="16:30" ht="15" customHeight="1" x14ac:dyDescent="0.2">
      <c r="Y70" s="13"/>
    </row>
    <row r="71" spans="16:30" ht="15" customHeight="1" x14ac:dyDescent="0.2">
      <c r="Y71" s="13"/>
    </row>
    <row r="72" spans="16:30" ht="15" customHeight="1" x14ac:dyDescent="0.2">
      <c r="Y72" s="13"/>
    </row>
    <row r="78" spans="16:30" ht="15" customHeight="1" x14ac:dyDescent="0.2">
      <c r="Q78" s="5"/>
    </row>
  </sheetData>
  <mergeCells count="3">
    <mergeCell ref="P2:AC2"/>
    <mergeCell ref="A1:AC1"/>
    <mergeCell ref="A2:N2"/>
  </mergeCells>
  <pageMargins left="0.56000000000000005" right="0.25" top="0.27" bottom="0.2" header="0.2" footer="0.2"/>
  <pageSetup paperSize="9" scale="59" fitToWidth="0" orientation="landscape" r:id="rId1"/>
  <ignoredErrors>
    <ignoredError sqref="U59:AA61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Excluding Other Income</vt:lpstr>
      <vt:lpstr>'Excluding Other Income'!Print_Area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Voleram3</dc:creator>
  <cp:lastModifiedBy>Md Amir</cp:lastModifiedBy>
  <cp:lastPrinted>2023-03-24T08:26:10Z</cp:lastPrinted>
  <dcterms:created xsi:type="dcterms:W3CDTF">2017-09-19T08:05:47Z</dcterms:created>
  <dcterms:modified xsi:type="dcterms:W3CDTF">2025-02-24T11:52:14Z</dcterms:modified>
</cp:coreProperties>
</file>