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Harshit\Gala Precison and engineering\Summary Sheet\Q4-FY25\"/>
    </mc:Choice>
  </mc:AlternateContent>
  <bookViews>
    <workbookView xWindow="0" yWindow="0" windowWidth="20490" windowHeight="7020" tabRatio="769" firstSheet="1" activeTab="1"/>
  </bookViews>
  <sheets>
    <sheet name="Peer Analysis" sheetId="10" state="hidden" r:id="rId1"/>
    <sheet name="Summary Sheet" sheetId="15" r:id="rId2"/>
  </sheets>
  <externalReferences>
    <externalReference r:id="rId3"/>
  </externalReferences>
  <definedNames>
    <definedName name="_xlnm.Print_Area" localSheetId="0">'Peer Analysis'!$A$1:$G$51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4" i="15" l="1"/>
  <c r="M73" i="15"/>
  <c r="M72" i="15"/>
  <c r="M71" i="15"/>
  <c r="M70" i="15"/>
  <c r="M69" i="15"/>
  <c r="M67" i="15"/>
  <c r="M66" i="15"/>
  <c r="M65" i="15"/>
  <c r="M64" i="15"/>
  <c r="M63" i="15"/>
  <c r="M62" i="15"/>
  <c r="M61" i="15"/>
  <c r="M58" i="15"/>
  <c r="M59" i="15"/>
  <c r="M47" i="15"/>
  <c r="L47" i="15"/>
  <c r="M39" i="15"/>
  <c r="L39" i="15"/>
  <c r="M12" i="15"/>
  <c r="M11" i="15"/>
  <c r="M14" i="15"/>
  <c r="L12" i="15"/>
  <c r="L11" i="15"/>
  <c r="M10" i="15"/>
  <c r="F59" i="15" s="1"/>
  <c r="F62" i="15" s="1"/>
  <c r="L10" i="15"/>
  <c r="F61" i="15"/>
  <c r="F60" i="15"/>
  <c r="F58" i="15"/>
  <c r="F56" i="15"/>
  <c r="F53" i="15"/>
  <c r="E53" i="15"/>
  <c r="F51" i="15"/>
  <c r="E51" i="15"/>
  <c r="F40" i="15"/>
  <c r="F34" i="15"/>
  <c r="F28" i="15"/>
  <c r="F14" i="15"/>
  <c r="F6" i="15"/>
  <c r="F33" i="15" l="1"/>
  <c r="E33" i="15"/>
  <c r="F32" i="15"/>
  <c r="E32" i="15"/>
  <c r="F29" i="15"/>
  <c r="E29" i="15"/>
  <c r="F27" i="15"/>
  <c r="E27" i="15"/>
  <c r="F19" i="15"/>
  <c r="E19" i="15"/>
  <c r="F15" i="15"/>
  <c r="E15" i="15"/>
  <c r="E13" i="15"/>
  <c r="F13" i="15"/>
  <c r="E12" i="15"/>
  <c r="F12" i="15"/>
  <c r="F7" i="15"/>
  <c r="E7" i="15"/>
  <c r="F5" i="15"/>
  <c r="E5" i="15"/>
  <c r="F52" i="15" l="1"/>
  <c r="E52" i="15"/>
  <c r="M53" i="15"/>
  <c r="M41" i="15"/>
  <c r="F39" i="15"/>
  <c r="E39" i="15"/>
  <c r="D39" i="15"/>
  <c r="L58" i="15"/>
  <c r="L69" i="15"/>
  <c r="L71" i="15"/>
  <c r="L73" i="15"/>
  <c r="K73" i="15"/>
  <c r="K71" i="15"/>
  <c r="K69" i="15"/>
  <c r="M27" i="15"/>
  <c r="M6" i="15"/>
  <c r="L27" i="15"/>
  <c r="L14" i="15"/>
  <c r="K39" i="15"/>
  <c r="K27" i="15"/>
  <c r="K14" i="15"/>
  <c r="K10" i="15"/>
  <c r="K6" i="15"/>
  <c r="J10" i="15"/>
  <c r="K47" i="15"/>
  <c r="M52" i="15"/>
  <c r="J6" i="15"/>
  <c r="J47" i="15"/>
  <c r="J39" i="15"/>
  <c r="J27" i="15"/>
  <c r="J14" i="15"/>
  <c r="L6" i="15"/>
  <c r="C60" i="15"/>
  <c r="K11" i="15" l="1"/>
  <c r="J11" i="15"/>
  <c r="J52" i="15"/>
  <c r="J12" i="15" s="1"/>
  <c r="L52" i="15"/>
  <c r="J53" i="15"/>
  <c r="K52" i="15"/>
  <c r="K12" i="15" s="1"/>
  <c r="K53" i="15"/>
  <c r="D52" i="15"/>
  <c r="C52" i="15"/>
  <c r="D51" i="15"/>
  <c r="C51" i="15"/>
  <c r="C53" i="15" s="1"/>
  <c r="E47" i="15"/>
  <c r="D47" i="15"/>
  <c r="D5" i="15"/>
  <c r="D7" i="15"/>
  <c r="C7" i="15"/>
  <c r="C12" i="15" s="1"/>
  <c r="F23" i="15" l="1"/>
  <c r="F21" i="15"/>
  <c r="D53" i="15"/>
  <c r="C19" i="15"/>
  <c r="J74" i="15" s="1"/>
  <c r="J65" i="15"/>
  <c r="D12" i="15"/>
  <c r="K70" i="15"/>
  <c r="K72" i="15" s="1"/>
  <c r="L74" i="15"/>
  <c r="L65" i="15"/>
  <c r="D19" i="15"/>
  <c r="K74" i="15" s="1"/>
  <c r="D15" i="15"/>
  <c r="C21" i="15"/>
  <c r="C23" i="15"/>
  <c r="C26" i="15" s="1"/>
  <c r="J64" i="15" s="1"/>
  <c r="C15" i="15"/>
  <c r="F47" i="15"/>
  <c r="L41" i="15"/>
  <c r="K58" i="15"/>
  <c r="J58" i="15"/>
  <c r="E23" i="15" l="1"/>
  <c r="E26" i="15" s="1"/>
  <c r="E21" i="15"/>
  <c r="L53" i="15"/>
  <c r="L70" i="15"/>
  <c r="L72" i="15" s="1"/>
  <c r="L64" i="15"/>
  <c r="D13" i="15"/>
  <c r="K65" i="15"/>
  <c r="D23" i="15"/>
  <c r="D21" i="15"/>
  <c r="C32" i="15"/>
  <c r="C29" i="15"/>
  <c r="D61" i="15" l="1"/>
  <c r="E61" i="15"/>
  <c r="D60" i="15"/>
  <c r="E60" i="15"/>
  <c r="C61" i="15"/>
  <c r="E59" i="15" l="1"/>
  <c r="E62" i="15" s="1"/>
  <c r="C59" i="15"/>
  <c r="C47" i="15"/>
  <c r="C48" i="15" s="1"/>
  <c r="D43" i="15" s="1"/>
  <c r="J67" i="15" l="1"/>
  <c r="J66" i="15"/>
  <c r="L66" i="15"/>
  <c r="L67" i="15"/>
  <c r="C62" i="15"/>
  <c r="D59" i="15"/>
  <c r="D48" i="15"/>
  <c r="E43" i="15" s="1"/>
  <c r="E48" i="15" s="1"/>
  <c r="K67" i="15" l="1"/>
  <c r="K66" i="15"/>
  <c r="D62" i="15"/>
  <c r="F26" i="15"/>
  <c r="F43" i="15"/>
  <c r="F48" i="15" s="1"/>
  <c r="D26" i="15"/>
  <c r="D27" i="15" l="1"/>
  <c r="K64" i="15"/>
  <c r="D29" i="15"/>
  <c r="D32" i="15"/>
  <c r="D33" i="15" s="1"/>
  <c r="C6" i="10" l="1"/>
  <c r="D6" i="10"/>
  <c r="E6" i="10"/>
  <c r="F6" i="10"/>
  <c r="B7" i="10"/>
  <c r="C7" i="10"/>
  <c r="D7" i="10"/>
  <c r="E7" i="10"/>
  <c r="F7" i="10"/>
  <c r="B8" i="10"/>
  <c r="C8" i="10"/>
  <c r="C10" i="10" s="1"/>
  <c r="D8" i="10"/>
  <c r="E8" i="10"/>
  <c r="F8" i="10"/>
  <c r="B9" i="10"/>
  <c r="C9" i="10"/>
  <c r="D9" i="10"/>
  <c r="E9" i="10"/>
  <c r="F9" i="10"/>
  <c r="B11" i="10"/>
  <c r="C11" i="10"/>
  <c r="D11" i="10"/>
  <c r="D13" i="10" s="1"/>
  <c r="E11" i="10"/>
  <c r="F11" i="10"/>
  <c r="B12" i="10"/>
  <c r="C12" i="10"/>
  <c r="D12" i="10"/>
  <c r="E12" i="10"/>
  <c r="F12" i="10"/>
  <c r="B14" i="10"/>
  <c r="C14" i="10"/>
  <c r="D14" i="10"/>
  <c r="E14" i="10"/>
  <c r="F14" i="10"/>
  <c r="B18" i="10"/>
  <c r="B38" i="10" s="1"/>
  <c r="C18" i="10"/>
  <c r="C38" i="10" s="1"/>
  <c r="D18" i="10"/>
  <c r="D38" i="10" s="1"/>
  <c r="E18" i="10"/>
  <c r="E38" i="10" s="1"/>
  <c r="F18" i="10"/>
  <c r="F38" i="10" s="1"/>
  <c r="B20" i="10"/>
  <c r="C20" i="10"/>
  <c r="D20" i="10"/>
  <c r="E20" i="10"/>
  <c r="F20" i="10"/>
  <c r="B21" i="10"/>
  <c r="C21" i="10"/>
  <c r="C19" i="10" s="1"/>
  <c r="D21" i="10"/>
  <c r="E21" i="10"/>
  <c r="F21" i="10"/>
  <c r="B27" i="10"/>
  <c r="C27" i="10"/>
  <c r="D27" i="10"/>
  <c r="E27" i="10"/>
  <c r="F27" i="10"/>
  <c r="B28" i="10"/>
  <c r="C28" i="10"/>
  <c r="D28" i="10"/>
  <c r="E28" i="10"/>
  <c r="F28" i="10"/>
  <c r="B29" i="10"/>
  <c r="C29" i="10"/>
  <c r="D29" i="10"/>
  <c r="E29" i="10"/>
  <c r="F29" i="10"/>
  <c r="B31" i="10"/>
  <c r="C31" i="10"/>
  <c r="D31" i="10"/>
  <c r="E31" i="10"/>
  <c r="F31" i="10"/>
  <c r="B32" i="10"/>
  <c r="C32" i="10"/>
  <c r="D32" i="10"/>
  <c r="E32" i="10"/>
  <c r="F32" i="10"/>
  <c r="B33" i="10"/>
  <c r="C33" i="10"/>
  <c r="D33" i="10"/>
  <c r="E33" i="10"/>
  <c r="F33" i="10"/>
  <c r="B34" i="10"/>
  <c r="C34" i="10"/>
  <c r="D34" i="10"/>
  <c r="E34" i="10"/>
  <c r="F34" i="10"/>
  <c r="C37" i="10"/>
  <c r="D37" i="10"/>
  <c r="E37" i="10"/>
  <c r="F37" i="10"/>
  <c r="B39" i="10"/>
  <c r="C39" i="10"/>
  <c r="D39" i="10"/>
  <c r="E39" i="10"/>
  <c r="F39" i="10"/>
  <c r="B40" i="10"/>
  <c r="C40" i="10"/>
  <c r="D40" i="10"/>
  <c r="E40" i="10"/>
  <c r="F40" i="10"/>
  <c r="B41" i="10"/>
  <c r="C41" i="10"/>
  <c r="D41" i="10"/>
  <c r="E41" i="10"/>
  <c r="F41" i="10"/>
  <c r="B42" i="10"/>
  <c r="C42" i="10"/>
  <c r="D42" i="10"/>
  <c r="E42" i="10"/>
  <c r="F42" i="10"/>
  <c r="B43" i="10"/>
  <c r="C43" i="10"/>
  <c r="D43" i="10"/>
  <c r="E43" i="10"/>
  <c r="F43" i="10"/>
  <c r="B44" i="10"/>
  <c r="C44" i="10"/>
  <c r="D44" i="10"/>
  <c r="E44" i="10"/>
  <c r="F44" i="10"/>
  <c r="B45" i="10"/>
  <c r="C45" i="10"/>
  <c r="D45" i="10"/>
  <c r="E45" i="10"/>
  <c r="F45" i="10"/>
  <c r="B46" i="10"/>
  <c r="C46" i="10"/>
  <c r="D46" i="10"/>
  <c r="E46" i="10"/>
  <c r="F46" i="10"/>
  <c r="B47" i="10"/>
  <c r="C47" i="10"/>
  <c r="D47" i="10"/>
  <c r="E47" i="10"/>
  <c r="F47" i="10"/>
  <c r="B48" i="10"/>
  <c r="C48" i="10"/>
  <c r="D48" i="10"/>
  <c r="E48" i="10"/>
  <c r="F48" i="10"/>
  <c r="B49" i="10"/>
  <c r="C49" i="10"/>
  <c r="D49" i="10"/>
  <c r="E49" i="10"/>
  <c r="F49" i="10"/>
  <c r="B50" i="10"/>
  <c r="C50" i="10"/>
  <c r="D50" i="10"/>
  <c r="E50" i="10"/>
  <c r="F50" i="10"/>
  <c r="B51" i="10"/>
  <c r="C51" i="10"/>
  <c r="D51" i="10"/>
  <c r="E51" i="10"/>
  <c r="F51" i="10"/>
  <c r="B37" i="10"/>
  <c r="B6" i="10"/>
  <c r="B10" i="10" s="1"/>
  <c r="C13" i="10" l="1"/>
  <c r="F19" i="10"/>
  <c r="D19" i="10"/>
  <c r="E19" i="10"/>
  <c r="D10" i="10"/>
  <c r="B19" i="10"/>
  <c r="B13" i="10"/>
  <c r="F10" i="10"/>
  <c r="E10" i="10"/>
  <c r="F13" i="10"/>
  <c r="E13" i="10"/>
</calcChain>
</file>

<file path=xl/sharedStrings.xml><?xml version="1.0" encoding="utf-8"?>
<sst xmlns="http://schemas.openxmlformats.org/spreadsheetml/2006/main" count="228" uniqueCount="159">
  <si>
    <t>March Year Ended (INR Mn)</t>
  </si>
  <si>
    <t>Share Capital</t>
  </si>
  <si>
    <t>Long Term Debt</t>
  </si>
  <si>
    <t>Short Term Debt</t>
  </si>
  <si>
    <t>NON-CURRENT ASSETS</t>
  </si>
  <si>
    <t>Financial assets</t>
  </si>
  <si>
    <t>Other non-current assets</t>
  </si>
  <si>
    <t>CURRENT ASSETS, LOANS &amp; ADVANCES</t>
  </si>
  <si>
    <t>Inventories</t>
  </si>
  <si>
    <t>CURRENT LIABILITIES &amp; PROVISIONS</t>
  </si>
  <si>
    <t>TOTAL ASSETS</t>
  </si>
  <si>
    <t>Provisions</t>
  </si>
  <si>
    <t>Growth (%)</t>
  </si>
  <si>
    <t>CAGR (%) - 3 Years</t>
  </si>
  <si>
    <t>Cost of Materials Consumed</t>
  </si>
  <si>
    <t>EBITDA</t>
  </si>
  <si>
    <t>Other Income</t>
  </si>
  <si>
    <t>PBT</t>
  </si>
  <si>
    <t>Other Comprehensive Income</t>
  </si>
  <si>
    <t>EPS</t>
  </si>
  <si>
    <t>FCF</t>
  </si>
  <si>
    <t>No. of Shares</t>
  </si>
  <si>
    <t>Total Debt</t>
  </si>
  <si>
    <t>Enterprise Value</t>
  </si>
  <si>
    <t>Dividend Yield</t>
  </si>
  <si>
    <t>Inventory Days</t>
  </si>
  <si>
    <t>Working Capital Days</t>
  </si>
  <si>
    <t>Income Statement</t>
  </si>
  <si>
    <t>Kriti</t>
  </si>
  <si>
    <t>Prince</t>
  </si>
  <si>
    <t>Apollo</t>
  </si>
  <si>
    <t>Finolex</t>
  </si>
  <si>
    <t>Astral</t>
  </si>
  <si>
    <t>Supreme</t>
  </si>
  <si>
    <t>Market Cap</t>
  </si>
  <si>
    <t>Interest Coverage Ratio</t>
  </si>
  <si>
    <t>Interest Cost (%)</t>
  </si>
  <si>
    <t>Net Debt/Equity</t>
  </si>
  <si>
    <t>Gross Debt/Equity</t>
  </si>
  <si>
    <t>Cash Conversion Cycle</t>
  </si>
  <si>
    <t>Payable days</t>
  </si>
  <si>
    <t>Receivable days</t>
  </si>
  <si>
    <t>Fixed Asset Turnover</t>
  </si>
  <si>
    <t>ROCE</t>
  </si>
  <si>
    <t>ROE</t>
  </si>
  <si>
    <t>Book Value per Share</t>
  </si>
  <si>
    <t>Book Value</t>
  </si>
  <si>
    <t>OPERATIONAL RATIOS COMPARISION</t>
  </si>
  <si>
    <t>EV/ EBITDA</t>
  </si>
  <si>
    <t>Price:Book Value</t>
  </si>
  <si>
    <t>Stock P:E</t>
  </si>
  <si>
    <t>CFO</t>
  </si>
  <si>
    <t>Cash Flow</t>
  </si>
  <si>
    <t>Short Term</t>
  </si>
  <si>
    <t>Long Term</t>
  </si>
  <si>
    <t>Total Networth</t>
  </si>
  <si>
    <t>Balance Sheet Comparision</t>
  </si>
  <si>
    <t>PAT Margin (%)</t>
  </si>
  <si>
    <t>3 Years CAGR (%)</t>
  </si>
  <si>
    <t>PAT</t>
  </si>
  <si>
    <t>EBITDA Margin (%)</t>
  </si>
  <si>
    <t>Operating Revenue</t>
  </si>
  <si>
    <t>P&amp;L Comparision</t>
  </si>
  <si>
    <t>INR Mn</t>
  </si>
  <si>
    <t>Peer Comparison Analysis - KRITI INDUSTRIES (INDIA) LIMITED</t>
  </si>
  <si>
    <t>FY21 Consol</t>
  </si>
  <si>
    <t>CMP (As on 31.03.2021)</t>
  </si>
  <si>
    <t>FY22</t>
  </si>
  <si>
    <t>Capital Employed</t>
  </si>
  <si>
    <t>Goodwill</t>
  </si>
  <si>
    <t>Lease Liabilities</t>
  </si>
  <si>
    <t>FY23</t>
  </si>
  <si>
    <t>-</t>
  </si>
  <si>
    <t>FY24</t>
  </si>
  <si>
    <t>Loans</t>
  </si>
  <si>
    <t>Other Equity</t>
  </si>
  <si>
    <t>Consolidated Balance sheet</t>
  </si>
  <si>
    <t>Networth/Shareholders Fund/ Book Value</t>
  </si>
  <si>
    <t>Minority Int</t>
  </si>
  <si>
    <t>Property, plant &amp; equipment</t>
  </si>
  <si>
    <t>Other intangible assets</t>
  </si>
  <si>
    <t>Capital Work-in-progress</t>
  </si>
  <si>
    <t>(i) Investments</t>
  </si>
  <si>
    <t>(ii) Other financial assets</t>
  </si>
  <si>
    <t xml:space="preserve">IV) Deffered Tax Assets </t>
  </si>
  <si>
    <t>(ii)Trade Receivable</t>
  </si>
  <si>
    <t>(iii)Cash and cash equivalents</t>
  </si>
  <si>
    <t>(iv)Other bank balances</t>
  </si>
  <si>
    <t>(v)Loans</t>
  </si>
  <si>
    <t>(vi) Other financial assets</t>
  </si>
  <si>
    <t>Current tax assets (net)</t>
  </si>
  <si>
    <t>Other current assets</t>
  </si>
  <si>
    <t>Financial liabilities</t>
  </si>
  <si>
    <t>(i)Trade Payables</t>
  </si>
  <si>
    <t>(ii)Other Financial liabilities</t>
  </si>
  <si>
    <t>(iii)Lease Liabilities</t>
  </si>
  <si>
    <t>Other Current liabilities</t>
  </si>
  <si>
    <t>Current Tax Liabilities (net)</t>
  </si>
  <si>
    <t>Long term provision</t>
  </si>
  <si>
    <t>Other non-current liabilities</t>
  </si>
  <si>
    <t>Deferred tax liability (net)</t>
  </si>
  <si>
    <t>(iii) Non - Current tax assets</t>
  </si>
  <si>
    <t>Right of use assets</t>
  </si>
  <si>
    <t>Intangible assets under development</t>
  </si>
  <si>
    <t>Revenue from Operations</t>
  </si>
  <si>
    <t>CAGR (%) - 3 years</t>
  </si>
  <si>
    <t>Expenses</t>
  </si>
  <si>
    <t>Changes in Inventories</t>
  </si>
  <si>
    <t>Employee benefits expenses</t>
  </si>
  <si>
    <t>Other expenses</t>
  </si>
  <si>
    <t>Depreciation and amortisation expenses</t>
  </si>
  <si>
    <t>Finance costs</t>
  </si>
  <si>
    <t>PBT and before share of profit from associate</t>
  </si>
  <si>
    <t>Share of profit/ (loss) of associates</t>
  </si>
  <si>
    <t>Tax Expense</t>
  </si>
  <si>
    <t>Total Comprehensive Income</t>
  </si>
  <si>
    <t>INCOME STATEMENT</t>
  </si>
  <si>
    <t>Cash and Cash Equivalents at beginning of the year</t>
  </si>
  <si>
    <t>Cash Flow From Operating Activities</t>
  </si>
  <si>
    <t>Cash Flow from Investing Activities</t>
  </si>
  <si>
    <t>Cash Flow From Financing Activities</t>
  </si>
  <si>
    <t>Net Inc./(Dec.) in Cash and Cash Equivalents</t>
  </si>
  <si>
    <t>Cash and Cash Equivalents at end of the year</t>
  </si>
  <si>
    <t>Our Calculations</t>
  </si>
  <si>
    <t xml:space="preserve">Operating Cash Inflow </t>
  </si>
  <si>
    <t>Capital Expenditure</t>
  </si>
  <si>
    <t>No of Shares</t>
  </si>
  <si>
    <t>Cash</t>
  </si>
  <si>
    <t>Bank</t>
  </si>
  <si>
    <t>EV</t>
  </si>
  <si>
    <t>CMP(INR)</t>
  </si>
  <si>
    <t>EPS (INR)</t>
  </si>
  <si>
    <t>BVPS (INR)</t>
  </si>
  <si>
    <t>DPS (INR)</t>
  </si>
  <si>
    <t>P/E (x)</t>
  </si>
  <si>
    <t>P/BV (x)</t>
  </si>
  <si>
    <t>EV/EBIDTA (x)</t>
  </si>
  <si>
    <t>ROE (%)</t>
  </si>
  <si>
    <t>ROCE (%)</t>
  </si>
  <si>
    <t>Gross D/E (x)</t>
  </si>
  <si>
    <t>Net D/E (x)</t>
  </si>
  <si>
    <t>Dividend Yield (%)</t>
  </si>
  <si>
    <t>Debtor Days</t>
  </si>
  <si>
    <t>Creditor Days</t>
  </si>
  <si>
    <t>Cash Conversion cycle</t>
  </si>
  <si>
    <t xml:space="preserve">PAT </t>
  </si>
  <si>
    <t>PBT Before Exceptional Iteams</t>
  </si>
  <si>
    <t>Non-Controling Interest</t>
  </si>
  <si>
    <t>Face value</t>
  </si>
  <si>
    <t>NON CURRENT LIABILITIES</t>
  </si>
  <si>
    <t>Gala Precision Engineering Ltd.</t>
  </si>
  <si>
    <t>CASH FLOW STATEMENT (INR Mn)</t>
  </si>
  <si>
    <t xml:space="preserve">Our Calculations </t>
  </si>
  <si>
    <t>Diluted</t>
  </si>
  <si>
    <t>Basic</t>
  </si>
  <si>
    <t>TOTAL EQUITIES &amp; LIABILITIES</t>
  </si>
  <si>
    <t>NA</t>
  </si>
  <si>
    <t>FY25</t>
  </si>
  <si>
    <t>Exceptional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</si>
</sst>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(* #,##0.00_);_(* \(#,##0.00\);_(* &quot;-&quot;??_);_(@_)"/>
    <numFmt numFmtId="165" formatCode="0.0%"/>
    <numFmt numFmtId="166" formatCode="_ * #,##0_ ;_ * \-#,##0_ ;_ * &quot;-&quot;??_ ;_ @_ "/>
    <numFmt numFmtId="167" formatCode="_(* #,##0.0_);_(* \(#,##0.0\);_(* &quot;-&quot;??_);_(@_)"/>
    <numFmt numFmtId="168" formatCode="_(* #,##0_);_(* \(#,##0\);_(* &quot;-&quot;??_);_(@_)"/>
    <numFmt numFmtId="169" formatCode="0.0"/>
    <numFmt numFmtId="170" formatCode="_ * #,##0.0_ ;_ * \-#,##0.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4" borderId="0" xfId="0" applyFill="1" applyAlignment="1">
      <alignment vertical="top"/>
    </xf>
    <xf numFmtId="0" fontId="3" fillId="4" borderId="0" xfId="0" applyFont="1" applyFill="1" applyAlignment="1">
      <alignment vertical="top"/>
    </xf>
    <xf numFmtId="165" fontId="0" fillId="4" borderId="1" xfId="2" applyNumberFormat="1" applyFont="1" applyFill="1" applyBorder="1" applyAlignment="1">
      <alignment vertical="top"/>
    </xf>
    <xf numFmtId="0" fontId="0" fillId="4" borderId="1" xfId="0" applyFill="1" applyBorder="1" applyAlignment="1">
      <alignment vertical="top"/>
    </xf>
    <xf numFmtId="164" fontId="0" fillId="0" borderId="1" xfId="0" applyNumberFormat="1" applyBorder="1" applyAlignment="1">
      <alignment vertical="top"/>
    </xf>
    <xf numFmtId="167" fontId="0" fillId="0" borderId="1" xfId="0" applyNumberFormat="1" applyBorder="1" applyAlignment="1">
      <alignment vertical="top"/>
    </xf>
    <xf numFmtId="168" fontId="0" fillId="0" borderId="1" xfId="0" applyNumberFormat="1" applyBorder="1" applyAlignment="1">
      <alignment vertical="top"/>
    </xf>
    <xf numFmtId="168" fontId="0" fillId="3" borderId="1" xfId="0" applyNumberForma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3" fillId="4" borderId="1" xfId="0" applyFont="1" applyFill="1" applyBorder="1" applyAlignment="1">
      <alignment vertical="top"/>
    </xf>
    <xf numFmtId="165" fontId="0" fillId="4" borderId="1" xfId="0" applyNumberFormat="1" applyFill="1" applyBorder="1" applyAlignment="1">
      <alignment vertical="top"/>
    </xf>
    <xf numFmtId="165" fontId="0" fillId="0" borderId="1" xfId="0" applyNumberFormat="1" applyBorder="1" applyAlignment="1">
      <alignment vertical="top"/>
    </xf>
    <xf numFmtId="0" fontId="2" fillId="4" borderId="0" xfId="0" applyFont="1" applyFill="1" applyAlignment="1">
      <alignment vertical="top"/>
    </xf>
    <xf numFmtId="43" fontId="2" fillId="4" borderId="1" xfId="3" applyFont="1" applyFill="1" applyBorder="1" applyAlignment="1">
      <alignment vertical="top"/>
    </xf>
    <xf numFmtId="43" fontId="2" fillId="0" borderId="1" xfId="3" applyFont="1" applyFill="1" applyBorder="1" applyAlignment="1">
      <alignment vertical="top"/>
    </xf>
    <xf numFmtId="166" fontId="0" fillId="0" borderId="1" xfId="3" applyNumberFormat="1" applyFont="1" applyFill="1" applyBorder="1" applyAlignment="1">
      <alignment vertical="top"/>
    </xf>
    <xf numFmtId="0" fontId="3" fillId="0" borderId="1" xfId="0" applyFont="1" applyBorder="1" applyAlignment="1">
      <alignment vertical="top"/>
    </xf>
    <xf numFmtId="164" fontId="1" fillId="0" borderId="1" xfId="5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164" fontId="0" fillId="0" borderId="1" xfId="5" applyFont="1" applyFill="1" applyBorder="1" applyAlignment="1">
      <alignment vertical="top"/>
    </xf>
    <xf numFmtId="0" fontId="0" fillId="4" borderId="1" xfId="0" applyFill="1" applyBorder="1" applyAlignment="1">
      <alignment horizontal="right" vertical="top"/>
    </xf>
    <xf numFmtId="164" fontId="2" fillId="0" borderId="1" xfId="0" applyNumberFormat="1" applyFont="1" applyBorder="1" applyAlignment="1">
      <alignment vertical="top"/>
    </xf>
    <xf numFmtId="10" fontId="2" fillId="4" borderId="1" xfId="2" applyNumberFormat="1" applyFont="1" applyFill="1" applyBorder="1" applyAlignment="1">
      <alignment vertical="top"/>
    </xf>
    <xf numFmtId="10" fontId="2" fillId="0" borderId="1" xfId="2" applyNumberFormat="1" applyFont="1" applyFill="1" applyBorder="1" applyAlignment="1">
      <alignment vertical="top"/>
    </xf>
    <xf numFmtId="165" fontId="3" fillId="4" borderId="1" xfId="2" applyNumberFormat="1" applyFont="1" applyFill="1" applyBorder="1" applyAlignment="1">
      <alignment vertical="top"/>
    </xf>
    <xf numFmtId="165" fontId="3" fillId="0" borderId="1" xfId="2" applyNumberFormat="1" applyFont="1" applyFill="1" applyBorder="1" applyAlignment="1">
      <alignment vertical="top"/>
    </xf>
    <xf numFmtId="164" fontId="2" fillId="4" borderId="1" xfId="0" applyNumberFormat="1" applyFont="1" applyFill="1" applyBorder="1" applyAlignment="1">
      <alignment vertical="top"/>
    </xf>
    <xf numFmtId="164" fontId="2" fillId="4" borderId="1" xfId="3" applyNumberFormat="1" applyFont="1" applyFill="1" applyBorder="1" applyAlignment="1">
      <alignment vertical="top"/>
    </xf>
    <xf numFmtId="164" fontId="2" fillId="0" borderId="1" xfId="3" applyNumberFormat="1" applyFont="1" applyFill="1" applyBorder="1" applyAlignment="1">
      <alignment vertical="top"/>
    </xf>
    <xf numFmtId="164" fontId="0" fillId="4" borderId="1" xfId="3" applyNumberFormat="1" applyFont="1" applyFill="1" applyBorder="1" applyAlignment="1">
      <alignment vertical="top"/>
    </xf>
    <xf numFmtId="164" fontId="0" fillId="0" borderId="1" xfId="3" applyNumberFormat="1" applyFont="1" applyFill="1" applyBorder="1" applyAlignment="1">
      <alignment vertical="top"/>
    </xf>
    <xf numFmtId="0" fontId="5" fillId="4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0" fillId="0" borderId="0" xfId="0" applyAlignment="1">
      <alignment vertical="top" wrapText="1"/>
    </xf>
    <xf numFmtId="0" fontId="6" fillId="5" borderId="1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top"/>
    </xf>
    <xf numFmtId="0" fontId="2" fillId="6" borderId="1" xfId="0" applyFont="1" applyFill="1" applyBorder="1" applyAlignment="1">
      <alignment horizontal="center" vertical="top" wrapText="1"/>
    </xf>
    <xf numFmtId="0" fontId="7" fillId="0" borderId="5" xfId="0" applyFont="1" applyBorder="1"/>
    <xf numFmtId="0" fontId="3" fillId="0" borderId="5" xfId="0" applyFont="1" applyBorder="1"/>
    <xf numFmtId="0" fontId="9" fillId="0" borderId="1" xfId="0" applyFont="1" applyBorder="1"/>
    <xf numFmtId="0" fontId="3" fillId="0" borderId="7" xfId="0" applyFont="1" applyBorder="1"/>
    <xf numFmtId="0" fontId="10" fillId="9" borderId="1" xfId="0" applyFont="1" applyFill="1" applyBorder="1"/>
    <xf numFmtId="165" fontId="10" fillId="9" borderId="1" xfId="2" applyNumberFormat="1" applyFont="1" applyFill="1" applyBorder="1"/>
    <xf numFmtId="43" fontId="10" fillId="9" borderId="1" xfId="1" applyFont="1" applyFill="1" applyBorder="1"/>
    <xf numFmtId="0" fontId="2" fillId="10" borderId="1" xfId="0" applyFont="1" applyFill="1" applyBorder="1"/>
    <xf numFmtId="43" fontId="2" fillId="10" borderId="1" xfId="1" applyFont="1" applyFill="1" applyBorder="1"/>
    <xf numFmtId="166" fontId="2" fillId="10" borderId="1" xfId="1" applyNumberFormat="1" applyFont="1" applyFill="1" applyBorder="1"/>
    <xf numFmtId="0" fontId="2" fillId="5" borderId="1" xfId="0" applyFont="1" applyFill="1" applyBorder="1"/>
    <xf numFmtId="0" fontId="11" fillId="0" borderId="1" xfId="0" applyFont="1" applyBorder="1"/>
    <xf numFmtId="0" fontId="3" fillId="5" borderId="5" xfId="0" applyFont="1" applyFill="1" applyBorder="1"/>
    <xf numFmtId="0" fontId="12" fillId="5" borderId="1" xfId="0" applyFont="1" applyFill="1" applyBorder="1"/>
    <xf numFmtId="0" fontId="3" fillId="10" borderId="7" xfId="0" applyFont="1" applyFill="1" applyBorder="1"/>
    <xf numFmtId="170" fontId="0" fillId="0" borderId="1" xfId="1" applyNumberFormat="1" applyFont="1" applyFill="1" applyBorder="1"/>
    <xf numFmtId="170" fontId="0" fillId="0" borderId="5" xfId="1" applyNumberFormat="1" applyFont="1" applyFill="1" applyBorder="1"/>
    <xf numFmtId="170" fontId="0" fillId="9" borderId="1" xfId="1" applyNumberFormat="1" applyFont="1" applyFill="1" applyBorder="1"/>
    <xf numFmtId="170" fontId="0" fillId="9" borderId="5" xfId="1" applyNumberFormat="1" applyFont="1" applyFill="1" applyBorder="1"/>
    <xf numFmtId="170" fontId="2" fillId="10" borderId="1" xfId="1" applyNumberFormat="1" applyFont="1" applyFill="1" applyBorder="1"/>
    <xf numFmtId="170" fontId="12" fillId="9" borderId="1" xfId="1" applyNumberFormat="1" applyFont="1" applyFill="1" applyBorder="1"/>
    <xf numFmtId="170" fontId="12" fillId="9" borderId="5" xfId="1" applyNumberFormat="1" applyFont="1" applyFill="1" applyBorder="1"/>
    <xf numFmtId="170" fontId="2" fillId="9" borderId="1" xfId="1" applyNumberFormat="1" applyFont="1" applyFill="1" applyBorder="1"/>
    <xf numFmtId="170" fontId="2" fillId="9" borderId="5" xfId="1" applyNumberFormat="1" applyFont="1" applyFill="1" applyBorder="1"/>
    <xf numFmtId="0" fontId="2" fillId="11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3" fontId="0" fillId="0" borderId="1" xfId="1" applyFont="1" applyFill="1" applyBorder="1" applyAlignment="1">
      <alignment horizontal="right"/>
    </xf>
    <xf numFmtId="170" fontId="0" fillId="4" borderId="1" xfId="1" applyNumberFormat="1" applyFont="1" applyFill="1" applyBorder="1"/>
    <xf numFmtId="170" fontId="0" fillId="0" borderId="1" xfId="1" applyNumberFormat="1" applyFont="1" applyFill="1" applyBorder="1" applyAlignment="1">
      <alignment horizontal="right"/>
    </xf>
    <xf numFmtId="170" fontId="0" fillId="0" borderId="1" xfId="1" applyNumberFormat="1" applyFont="1" applyFill="1" applyBorder="1" applyAlignment="1">
      <alignment horizontal="center"/>
    </xf>
    <xf numFmtId="170" fontId="7" fillId="10" borderId="1" xfId="1" applyNumberFormat="1" applyFont="1" applyFill="1" applyBorder="1"/>
    <xf numFmtId="43" fontId="3" fillId="10" borderId="1" xfId="1" applyFont="1" applyFill="1" applyBorder="1" applyAlignment="1">
      <alignment horizontal="right"/>
    </xf>
    <xf numFmtId="43" fontId="8" fillId="10" borderId="1" xfId="1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43" fontId="3" fillId="0" borderId="1" xfId="0" applyNumberFormat="1" applyFont="1" applyBorder="1" applyAlignment="1">
      <alignment horizontal="right"/>
    </xf>
    <xf numFmtId="43" fontId="3" fillId="0" borderId="1" xfId="1" applyFont="1" applyFill="1" applyBorder="1" applyAlignment="1">
      <alignment horizontal="right"/>
    </xf>
    <xf numFmtId="166" fontId="0" fillId="0" borderId="1" xfId="1" applyNumberFormat="1" applyFont="1" applyFill="1" applyBorder="1" applyAlignment="1">
      <alignment horizontal="right"/>
    </xf>
    <xf numFmtId="10" fontId="3" fillId="10" borderId="1" xfId="2" applyNumberFormat="1" applyFont="1" applyFill="1" applyBorder="1" applyAlignment="1">
      <alignment horizontal="right"/>
    </xf>
    <xf numFmtId="43" fontId="0" fillId="10" borderId="1" xfId="1" applyFont="1" applyFill="1" applyBorder="1" applyAlignment="1">
      <alignment horizontal="right"/>
    </xf>
    <xf numFmtId="0" fontId="0" fillId="8" borderId="11" xfId="0" applyFill="1" applyBorder="1"/>
    <xf numFmtId="0" fontId="0" fillId="8" borderId="9" xfId="0" applyFill="1" applyBorder="1"/>
    <xf numFmtId="0" fontId="0" fillId="0" borderId="1" xfId="0" applyBorder="1"/>
    <xf numFmtId="0" fontId="0" fillId="0" borderId="7" xfId="0" applyBorder="1"/>
    <xf numFmtId="169" fontId="0" fillId="0" borderId="1" xfId="0" applyNumberFormat="1" applyBorder="1"/>
    <xf numFmtId="0" fontId="0" fillId="0" borderId="10" xfId="0" applyBorder="1"/>
    <xf numFmtId="0" fontId="0" fillId="0" borderId="7" xfId="0" applyBorder="1" applyAlignment="1">
      <alignment horizontal="left" indent="1"/>
    </xf>
    <xf numFmtId="0" fontId="0" fillId="0" borderId="5" xfId="0" applyBorder="1"/>
    <xf numFmtId="0" fontId="0" fillId="5" borderId="1" xfId="0" applyFill="1" applyBorder="1" applyAlignment="1">
      <alignment horizontal="left" inden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indent="1"/>
    </xf>
    <xf numFmtId="0" fontId="0" fillId="0" borderId="6" xfId="0" applyBorder="1"/>
    <xf numFmtId="0" fontId="0" fillId="5" borderId="5" xfId="0" applyFill="1" applyBorder="1"/>
    <xf numFmtId="43" fontId="0" fillId="0" borderId="0" xfId="0" applyNumberFormat="1"/>
    <xf numFmtId="0" fontId="0" fillId="10" borderId="7" xfId="0" applyFill="1" applyBorder="1"/>
    <xf numFmtId="1" fontId="0" fillId="10" borderId="1" xfId="0" applyNumberFormat="1" applyFill="1" applyBorder="1" applyAlignment="1">
      <alignment horizontal="right"/>
    </xf>
    <xf numFmtId="0" fontId="0" fillId="8" borderId="8" xfId="0" applyFill="1" applyBorder="1"/>
    <xf numFmtId="0" fontId="4" fillId="7" borderId="2" xfId="0" applyFont="1" applyFill="1" applyBorder="1" applyAlignment="1">
      <alignment horizontal="center" vertical="top"/>
    </xf>
    <xf numFmtId="0" fontId="4" fillId="7" borderId="3" xfId="0" applyFont="1" applyFill="1" applyBorder="1" applyAlignment="1">
      <alignment horizontal="center" vertical="top"/>
    </xf>
    <xf numFmtId="0" fontId="4" fillId="7" borderId="4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6">
    <cellStyle name="Comma" xfId="1" builtinId="3"/>
    <cellStyle name="Comma 2" xfId="3"/>
    <cellStyle name="Comma 2 2" xfId="4"/>
    <cellStyle name="Comma 3" xfId="5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ummary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Standalone"/>
      <sheetName val="Peer Analysis working "/>
      <sheetName val="Peer Analysis Final "/>
      <sheetName val="Sheet1"/>
      <sheetName val="Peer Analysis working"/>
      <sheetName val="Peer Analysis Final"/>
    </sheetNames>
    <sheetDataSet>
      <sheetData sheetId="0"/>
      <sheetData sheetId="1"/>
      <sheetData sheetId="2">
        <row r="5">
          <cell r="C5">
            <v>4922.2</v>
          </cell>
          <cell r="D5">
            <v>6728.6</v>
          </cell>
          <cell r="E5">
            <v>5689.2</v>
          </cell>
          <cell r="F5">
            <v>44274</v>
          </cell>
          <cell r="I5">
            <v>680.69399999999996</v>
          </cell>
          <cell r="J5">
            <v>4754.6000000000004</v>
          </cell>
          <cell r="K5">
            <v>3151.3</v>
          </cell>
          <cell r="L5">
            <v>6058.3</v>
          </cell>
          <cell r="M5">
            <v>25609</v>
          </cell>
        </row>
        <row r="6">
          <cell r="I6">
            <v>0</v>
          </cell>
          <cell r="J6">
            <v>0</v>
          </cell>
          <cell r="K6">
            <v>389.3</v>
          </cell>
          <cell r="L6">
            <v>66.7</v>
          </cell>
          <cell r="M6">
            <v>859</v>
          </cell>
        </row>
        <row r="7">
          <cell r="B7">
            <v>6.6957261377430521E-2</v>
          </cell>
          <cell r="C7">
            <v>1.7483450932637146E-2</v>
          </cell>
          <cell r="D7">
            <v>0.11395326030791875</v>
          </cell>
          <cell r="E7">
            <v>8.1957653928725893E-2</v>
          </cell>
          <cell r="F7">
            <v>7.2805272529955722E-2</v>
          </cell>
          <cell r="I7">
            <v>180.61199999999999</v>
          </cell>
          <cell r="J7">
            <v>0</v>
          </cell>
          <cell r="K7">
            <v>832.6</v>
          </cell>
          <cell r="L7">
            <v>862.5</v>
          </cell>
          <cell r="M7">
            <v>2879</v>
          </cell>
        </row>
        <row r="12">
          <cell r="B12">
            <v>233.76000000000022</v>
          </cell>
          <cell r="C12">
            <v>874.7</v>
          </cell>
          <cell r="D12">
            <v>933</v>
          </cell>
          <cell r="E12">
            <v>977.9</v>
          </cell>
          <cell r="F12">
            <v>5489</v>
          </cell>
        </row>
        <row r="14">
          <cell r="B14">
            <v>0.27796799337795663</v>
          </cell>
          <cell r="C14">
            <v>0.20517447704828018</v>
          </cell>
          <cell r="D14">
            <v>0.33549630488669613</v>
          </cell>
          <cell r="E14">
            <v>-2.4487478418460316</v>
          </cell>
          <cell r="F14">
            <v>5.7989028682093879E-2</v>
          </cell>
        </row>
        <row r="25">
          <cell r="B25">
            <v>62.377000000000223</v>
          </cell>
          <cell r="C25">
            <v>788.3</v>
          </cell>
          <cell r="D25">
            <v>296</v>
          </cell>
          <cell r="E25">
            <v>99.7</v>
          </cell>
          <cell r="F25">
            <v>3451</v>
          </cell>
        </row>
        <row r="27">
          <cell r="B27">
            <v>0.15020466640116381</v>
          </cell>
          <cell r="C27">
            <v>-2.3617924740187757E-2</v>
          </cell>
          <cell r="D27">
            <v>0.2798301533370493</v>
          </cell>
          <cell r="E27">
            <v>-1.7739968460390942E-2</v>
          </cell>
          <cell r="F27">
            <v>1.3492351397157654E-2</v>
          </cell>
          <cell r="I27">
            <v>16042570</v>
          </cell>
          <cell r="J27">
            <v>15050871</v>
          </cell>
          <cell r="K27">
            <v>37759530</v>
          </cell>
          <cell r="L27">
            <v>30603181</v>
          </cell>
          <cell r="M27">
            <v>109971221</v>
          </cell>
        </row>
        <row r="28">
          <cell r="I28">
            <v>70.587307999999993</v>
          </cell>
          <cell r="J28">
            <v>569.82597606000002</v>
          </cell>
          <cell r="K28">
            <v>104.9714934</v>
          </cell>
          <cell r="L28">
            <v>220.95496682000004</v>
          </cell>
          <cell r="M28">
            <v>2525.489090265</v>
          </cell>
        </row>
        <row r="29">
          <cell r="B29">
            <v>3.76</v>
          </cell>
          <cell r="C29">
            <v>52.21</v>
          </cell>
          <cell r="D29">
            <v>7.83</v>
          </cell>
          <cell r="E29">
            <v>3.26</v>
          </cell>
          <cell r="F29">
            <v>31.37</v>
          </cell>
        </row>
        <row r="31">
          <cell r="I31">
            <v>29.757307999999966</v>
          </cell>
          <cell r="J31">
            <v>387.32597606000002</v>
          </cell>
          <cell r="K31">
            <v>625.27149340000017</v>
          </cell>
          <cell r="L31">
            <v>998.55496682</v>
          </cell>
          <cell r="M31">
            <v>-3254.5109097349996</v>
          </cell>
        </row>
        <row r="32">
          <cell r="J32">
            <v>378.6</v>
          </cell>
          <cell r="K32">
            <v>27.8</v>
          </cell>
          <cell r="L32">
            <v>72.2</v>
          </cell>
          <cell r="M32">
            <v>229.65</v>
          </cell>
        </row>
        <row r="34">
          <cell r="I34">
            <v>424.30483395116869</v>
          </cell>
          <cell r="J34">
            <v>3159.0198334701026</v>
          </cell>
          <cell r="K34">
            <v>834.57076928658807</v>
          </cell>
          <cell r="L34">
            <v>1979.6308102742653</v>
          </cell>
          <cell r="M34">
            <v>2328.7001605629166</v>
          </cell>
        </row>
        <row r="35">
          <cell r="I35">
            <v>11.702127659574469</v>
          </cell>
          <cell r="J35">
            <v>7.2514843899636086</v>
          </cell>
          <cell r="K35">
            <v>3.5504469987228608</v>
          </cell>
          <cell r="L35">
            <v>22.147239263803684</v>
          </cell>
          <cell r="M35">
            <v>7.3206885559451704</v>
          </cell>
        </row>
        <row r="36">
          <cell r="I36">
            <v>0.10369903069514348</v>
          </cell>
          <cell r="J36">
            <v>0.11984730073192279</v>
          </cell>
          <cell r="K36">
            <v>3.3310536413543618E-2</v>
          </cell>
          <cell r="L36">
            <v>3.6471446910849581E-2</v>
          </cell>
          <cell r="M36">
            <v>9.8617247462415569E-2</v>
          </cell>
        </row>
        <row r="37">
          <cell r="I37">
            <v>0.12729854551676908</v>
          </cell>
          <cell r="J37">
            <v>0.44281007895278379</v>
          </cell>
          <cell r="K37">
            <v>0.67017309046087903</v>
          </cell>
          <cell r="L37">
            <v>1.021121757664383</v>
          </cell>
          <cell r="M37">
            <v>-0.59291508648843139</v>
          </cell>
        </row>
        <row r="38">
          <cell r="I38">
            <v>9.1637358343103104E-2</v>
          </cell>
          <cell r="J38">
            <v>0.16579733310898917</v>
          </cell>
          <cell r="K38">
            <v>9.392948941706597E-2</v>
          </cell>
          <cell r="L38">
            <v>1.6456761797864088E-2</v>
          </cell>
          <cell r="M38">
            <v>0.13475731188254128</v>
          </cell>
        </row>
        <row r="39">
          <cell r="I39">
            <v>0.15966919879744115</v>
          </cell>
          <cell r="J39">
            <v>0.23463756949794889</v>
          </cell>
          <cell r="K39">
            <v>0.16266310441067727</v>
          </cell>
          <cell r="L39">
            <v>7.0130917016226549E-2</v>
          </cell>
          <cell r="M39">
            <v>0.12677259525029899</v>
          </cell>
        </row>
        <row r="40">
          <cell r="I40">
            <v>0.19664505085895492</v>
          </cell>
          <cell r="J40">
            <v>0.68930559505911992</v>
          </cell>
          <cell r="K40">
            <v>0.63170644710638169</v>
          </cell>
          <cell r="L40">
            <v>0.8970505519229417</v>
          </cell>
          <cell r="M40">
            <v>0.46451642047251207</v>
          </cell>
        </row>
        <row r="41">
          <cell r="I41">
            <v>0.2653350844873027</v>
          </cell>
          <cell r="J41">
            <v>0</v>
          </cell>
          <cell r="K41">
            <v>0.38774474026592198</v>
          </cell>
          <cell r="L41">
            <v>0.15337635970486771</v>
          </cell>
          <cell r="M41">
            <v>0.14596430942246866</v>
          </cell>
        </row>
        <row r="42">
          <cell r="I42">
            <v>-5.998289980519883E-2</v>
          </cell>
          <cell r="J42">
            <v>-3.8383880873259578E-2</v>
          </cell>
          <cell r="K42">
            <v>0.16510646399898457</v>
          </cell>
          <cell r="L42">
            <v>0.128352838254956</v>
          </cell>
          <cell r="M42">
            <v>-0.22570190167519233</v>
          </cell>
        </row>
        <row r="44">
          <cell r="I44">
            <v>3.4090909090909088E-2</v>
          </cell>
          <cell r="J44">
            <v>0.10565240359218171</v>
          </cell>
          <cell r="K44">
            <v>0</v>
          </cell>
          <cell r="L44">
            <v>0</v>
          </cell>
          <cell r="M44">
            <v>6.531678641410843E-2</v>
          </cell>
        </row>
        <row r="45">
          <cell r="I45">
            <v>66.342013720741051</v>
          </cell>
          <cell r="J45">
            <v>65.062573645930684</v>
          </cell>
          <cell r="K45">
            <v>86.592976250631622</v>
          </cell>
          <cell r="L45">
            <v>107.90185790620825</v>
          </cell>
          <cell r="M45">
            <v>56.711275240547494</v>
          </cell>
        </row>
        <row r="46">
          <cell r="I46">
            <v>6242.8348665021331</v>
          </cell>
          <cell r="J46">
            <v>17.260000000000002</v>
          </cell>
          <cell r="K46">
            <v>29.69</v>
          </cell>
          <cell r="L46">
            <v>50.87</v>
          </cell>
          <cell r="M46">
            <v>51.52</v>
          </cell>
        </row>
        <row r="47">
          <cell r="I47">
            <v>0</v>
          </cell>
          <cell r="J47">
            <v>0</v>
          </cell>
          <cell r="K47">
            <v>10.79</v>
          </cell>
          <cell r="L47">
            <v>0</v>
          </cell>
          <cell r="M47">
            <v>16.899999999999999</v>
          </cell>
        </row>
        <row r="48">
          <cell r="I48">
            <v>-6176.4928527813918</v>
          </cell>
          <cell r="J48">
            <v>47.802573645930678</v>
          </cell>
          <cell r="K48">
            <v>67.692976250631631</v>
          </cell>
          <cell r="L48">
            <v>57.031857906208252</v>
          </cell>
          <cell r="M48">
            <v>22.091275240547482</v>
          </cell>
        </row>
        <row r="49">
          <cell r="I49">
            <v>38.568782865166789</v>
          </cell>
          <cell r="J49">
            <v>104.5124131485921</v>
          </cell>
          <cell r="K49">
            <v>-3.1679695627619462</v>
          </cell>
          <cell r="L49">
            <v>102.35551571398437</v>
          </cell>
          <cell r="M49">
            <v>168.22119076658987</v>
          </cell>
        </row>
        <row r="50">
          <cell r="I50">
            <v>0.19180342391424715</v>
          </cell>
          <cell r="J50">
            <v>0</v>
          </cell>
          <cell r="K50">
            <v>0.24519191423193387</v>
          </cell>
          <cell r="L50">
            <v>0.14496340938441668</v>
          </cell>
          <cell r="M50">
            <v>0.13001605136436598</v>
          </cell>
        </row>
        <row r="51">
          <cell r="I51">
            <v>3.7837018647884131</v>
          </cell>
          <cell r="J51">
            <v>158.70422535211267</v>
          </cell>
          <cell r="K51">
            <v>2.2760347129506009</v>
          </cell>
          <cell r="L51">
            <v>3.4877505567928733</v>
          </cell>
          <cell r="M51">
            <v>10.687242798353909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view="pageBreakPreview" topLeftCell="A34" zoomScaleNormal="100" zoomScaleSheetLayoutView="100" workbookViewId="0">
      <selection activeCell="B6" sqref="B6"/>
    </sheetView>
  </sheetViews>
  <sheetFormatPr defaultColWidth="9.140625" defaultRowHeight="15" x14ac:dyDescent="0.25"/>
  <cols>
    <col min="1" max="1" width="25.42578125" style="3" customWidth="1"/>
    <col min="2" max="3" width="14.7109375" style="3" customWidth="1"/>
    <col min="4" max="5" width="14.7109375" style="4" customWidth="1"/>
    <col min="6" max="7" width="14.7109375" style="3" customWidth="1"/>
    <col min="8" max="16384" width="9.140625" style="3"/>
  </cols>
  <sheetData>
    <row r="1" spans="1:7" s="1" customFormat="1" ht="18.75" x14ac:dyDescent="0.25">
      <c r="A1" s="99" t="s">
        <v>64</v>
      </c>
      <c r="B1" s="100"/>
      <c r="C1" s="100"/>
      <c r="D1" s="100"/>
      <c r="E1" s="100"/>
      <c r="F1" s="101"/>
      <c r="G1" s="40"/>
    </row>
    <row r="2" spans="1:7" s="38" customFormat="1" x14ac:dyDescent="0.25">
      <c r="A2" s="102" t="s">
        <v>63</v>
      </c>
      <c r="B2" s="41" t="s">
        <v>28</v>
      </c>
      <c r="C2" s="41" t="s">
        <v>29</v>
      </c>
      <c r="D2" s="41" t="s">
        <v>30</v>
      </c>
      <c r="E2" s="41" t="s">
        <v>31</v>
      </c>
      <c r="F2" s="41" t="s">
        <v>32</v>
      </c>
      <c r="G2" s="41" t="s">
        <v>33</v>
      </c>
    </row>
    <row r="3" spans="1:7" s="38" customFormat="1" ht="15.75" x14ac:dyDescent="0.25">
      <c r="A3" s="102"/>
      <c r="B3" s="39" t="s">
        <v>65</v>
      </c>
      <c r="C3" s="39" t="s">
        <v>65</v>
      </c>
      <c r="D3" s="39" t="s">
        <v>65</v>
      </c>
      <c r="E3" s="39" t="s">
        <v>65</v>
      </c>
      <c r="F3" s="39" t="s">
        <v>65</v>
      </c>
      <c r="G3" s="39" t="s">
        <v>65</v>
      </c>
    </row>
    <row r="4" spans="1:7" ht="15.75" x14ac:dyDescent="0.25">
      <c r="A4" s="11" t="s">
        <v>62</v>
      </c>
      <c r="B4" s="37"/>
      <c r="C4" s="36"/>
      <c r="D4" s="35"/>
      <c r="E4" s="35"/>
      <c r="F4" s="35"/>
      <c r="G4" s="35"/>
    </row>
    <row r="5" spans="1:7" x14ac:dyDescent="0.25">
      <c r="A5" s="11" t="s">
        <v>27</v>
      </c>
      <c r="B5" s="2"/>
      <c r="C5" s="6"/>
      <c r="D5" s="13"/>
      <c r="E5" s="13"/>
      <c r="F5" s="13"/>
      <c r="G5" s="13"/>
    </row>
    <row r="6" spans="1:7" x14ac:dyDescent="0.25">
      <c r="A6" s="6" t="s">
        <v>61</v>
      </c>
      <c r="B6" s="34" t="e">
        <f>#REF!*10</f>
        <v>#REF!</v>
      </c>
      <c r="C6" s="33">
        <f>'[1]Peer Analysis working '!C5*10</f>
        <v>49222</v>
      </c>
      <c r="D6" s="33">
        <f>'[1]Peer Analysis working '!D5*10</f>
        <v>67286</v>
      </c>
      <c r="E6" s="33">
        <f>'[1]Peer Analysis working '!E5*10</f>
        <v>56892</v>
      </c>
      <c r="F6" s="33">
        <f>'[1]Peer Analysis working '!F5*10</f>
        <v>442740</v>
      </c>
      <c r="G6" s="33"/>
    </row>
    <row r="7" spans="1:7" x14ac:dyDescent="0.25">
      <c r="A7" s="6" t="s">
        <v>58</v>
      </c>
      <c r="B7" s="29">
        <f>'[1]Peer Analysis working '!B7</f>
        <v>6.6957261377430521E-2</v>
      </c>
      <c r="C7" s="28">
        <f>'[1]Peer Analysis working '!C7</f>
        <v>1.7483450932637146E-2</v>
      </c>
      <c r="D7" s="28">
        <f>'[1]Peer Analysis working '!D7</f>
        <v>0.11395326030791875</v>
      </c>
      <c r="E7" s="28">
        <f>'[1]Peer Analysis working '!E7</f>
        <v>8.1957653928725893E-2</v>
      </c>
      <c r="F7" s="28">
        <f>'[1]Peer Analysis working '!F7</f>
        <v>7.2805272529955722E-2</v>
      </c>
      <c r="G7" s="28"/>
    </row>
    <row r="8" spans="1:7" s="16" customFormat="1" x14ac:dyDescent="0.25">
      <c r="A8" s="11" t="s">
        <v>15</v>
      </c>
      <c r="B8" s="32">
        <f>'[1]Peer Analysis working '!B12*10</f>
        <v>2337.6000000000022</v>
      </c>
      <c r="C8" s="31">
        <f>'[1]Peer Analysis working '!C12*10</f>
        <v>8747</v>
      </c>
      <c r="D8" s="31">
        <f>'[1]Peer Analysis working '!D12*10</f>
        <v>9330</v>
      </c>
      <c r="E8" s="31">
        <f>'[1]Peer Analysis working '!E12*10</f>
        <v>9779</v>
      </c>
      <c r="F8" s="31">
        <f>'[1]Peer Analysis working '!F12*10</f>
        <v>54890</v>
      </c>
      <c r="G8" s="31"/>
    </row>
    <row r="9" spans="1:7" x14ac:dyDescent="0.25">
      <c r="A9" s="6" t="s">
        <v>58</v>
      </c>
      <c r="B9" s="29">
        <f>'[1]Peer Analysis working '!B14</f>
        <v>0.27796799337795663</v>
      </c>
      <c r="C9" s="28">
        <f>'[1]Peer Analysis working '!C14</f>
        <v>0.20517447704828018</v>
      </c>
      <c r="D9" s="28">
        <f>'[1]Peer Analysis working '!D14</f>
        <v>0.33549630488669613</v>
      </c>
      <c r="E9" s="28">
        <f>'[1]Peer Analysis working '!E14</f>
        <v>-2.4487478418460316</v>
      </c>
      <c r="F9" s="28">
        <f>'[1]Peer Analysis working '!F14</f>
        <v>5.7989028682093879E-2</v>
      </c>
      <c r="G9" s="28"/>
    </row>
    <row r="10" spans="1:7" s="16" customFormat="1" x14ac:dyDescent="0.25">
      <c r="A10" s="11" t="s">
        <v>60</v>
      </c>
      <c r="B10" s="27" t="e">
        <f>+B8/B$6</f>
        <v>#REF!</v>
      </c>
      <c r="C10" s="27">
        <f>+C8/C$6</f>
        <v>0.17770509121937345</v>
      </c>
      <c r="D10" s="27">
        <f>+D8/D$6</f>
        <v>0.13866183158457926</v>
      </c>
      <c r="E10" s="27">
        <f>+E8/E$6</f>
        <v>0.17188708430007735</v>
      </c>
      <c r="F10" s="27">
        <f>+F8/F$6</f>
        <v>0.12397795545918598</v>
      </c>
      <c r="G10" s="27"/>
    </row>
    <row r="11" spans="1:7" s="16" customFormat="1" x14ac:dyDescent="0.25">
      <c r="A11" s="11" t="s">
        <v>59</v>
      </c>
      <c r="B11" s="25">
        <f>'[1]Peer Analysis working '!B25*10</f>
        <v>623.77000000000226</v>
      </c>
      <c r="C11" s="30">
        <f>'[1]Peer Analysis working '!C25*10</f>
        <v>7883</v>
      </c>
      <c r="D11" s="30">
        <f>'[1]Peer Analysis working '!D25*10</f>
        <v>2960</v>
      </c>
      <c r="E11" s="30">
        <f>'[1]Peer Analysis working '!E25*10</f>
        <v>997</v>
      </c>
      <c r="F11" s="30">
        <f>'[1]Peer Analysis working '!F25*10</f>
        <v>34510</v>
      </c>
      <c r="G11" s="30"/>
    </row>
    <row r="12" spans="1:7" x14ac:dyDescent="0.25">
      <c r="A12" s="6" t="s">
        <v>58</v>
      </c>
      <c r="B12" s="29">
        <f>'[1]Peer Analysis working '!B27</f>
        <v>0.15020466640116381</v>
      </c>
      <c r="C12" s="28">
        <f>'[1]Peer Analysis working '!C27</f>
        <v>-2.3617924740187757E-2</v>
      </c>
      <c r="D12" s="28">
        <f>'[1]Peer Analysis working '!D27</f>
        <v>0.2798301533370493</v>
      </c>
      <c r="E12" s="28">
        <f>'[1]Peer Analysis working '!E27</f>
        <v>-1.7739968460390942E-2</v>
      </c>
      <c r="F12" s="28">
        <f>'[1]Peer Analysis working '!F27</f>
        <v>1.3492351397157654E-2</v>
      </c>
      <c r="G12" s="28"/>
    </row>
    <row r="13" spans="1:7" x14ac:dyDescent="0.25">
      <c r="A13" s="11" t="s">
        <v>57</v>
      </c>
      <c r="B13" s="27" t="e">
        <f>+B11/B$6</f>
        <v>#REF!</v>
      </c>
      <c r="C13" s="26">
        <f>+C11/C$6</f>
        <v>0.1601519645686888</v>
      </c>
      <c r="D13" s="26">
        <f>+D11/D$6</f>
        <v>4.3991320631334901E-2</v>
      </c>
      <c r="E13" s="26">
        <f>+E11/E$6</f>
        <v>1.7524432257610911E-2</v>
      </c>
      <c r="F13" s="26">
        <f>+F11/F$6</f>
        <v>7.7946424538103631E-2</v>
      </c>
      <c r="G13" s="26"/>
    </row>
    <row r="14" spans="1:7" x14ac:dyDescent="0.25">
      <c r="A14" s="6" t="s">
        <v>19</v>
      </c>
      <c r="B14" s="7">
        <f>'[1]Peer Analysis working '!B29</f>
        <v>3.76</v>
      </c>
      <c r="C14" s="7">
        <f>'[1]Peer Analysis working '!C29</f>
        <v>52.21</v>
      </c>
      <c r="D14" s="7">
        <f>'[1]Peer Analysis working '!D29</f>
        <v>7.83</v>
      </c>
      <c r="E14" s="7">
        <f>'[1]Peer Analysis working '!E29</f>
        <v>3.26</v>
      </c>
      <c r="F14" s="7">
        <f>'[1]Peer Analysis working '!F29</f>
        <v>31.37</v>
      </c>
      <c r="G14" s="7"/>
    </row>
    <row r="15" spans="1:7" x14ac:dyDescent="0.25">
      <c r="A15" s="6"/>
      <c r="B15" s="2"/>
      <c r="C15" s="6"/>
      <c r="D15" s="13"/>
      <c r="E15" s="13"/>
      <c r="F15" s="6"/>
      <c r="G15" s="6"/>
    </row>
    <row r="16" spans="1:7" x14ac:dyDescent="0.25">
      <c r="A16" s="6"/>
      <c r="B16" s="2"/>
      <c r="C16" s="6"/>
      <c r="D16" s="13"/>
      <c r="E16" s="13"/>
      <c r="F16" s="6"/>
      <c r="G16" s="6"/>
    </row>
    <row r="17" spans="1:7" x14ac:dyDescent="0.25">
      <c r="A17" s="11" t="s">
        <v>56</v>
      </c>
      <c r="B17" s="12"/>
      <c r="C17" s="11"/>
      <c r="D17" s="11"/>
      <c r="E17" s="11"/>
      <c r="F17" s="11"/>
      <c r="G17" s="11"/>
    </row>
    <row r="18" spans="1:7" s="16" customFormat="1" x14ac:dyDescent="0.25">
      <c r="A18" s="11" t="s">
        <v>55</v>
      </c>
      <c r="B18" s="25">
        <f>'[1]Peer Analysis working '!I5*10</f>
        <v>6806.94</v>
      </c>
      <c r="C18" s="25">
        <f>'[1]Peer Analysis working '!J5*10</f>
        <v>47546</v>
      </c>
      <c r="D18" s="25">
        <f>'[1]Peer Analysis working '!K5*10</f>
        <v>31513</v>
      </c>
      <c r="E18" s="25">
        <f>'[1]Peer Analysis working '!L5*10</f>
        <v>60583</v>
      </c>
      <c r="F18" s="25">
        <f>'[1]Peer Analysis working '!M5*10</f>
        <v>256090</v>
      </c>
      <c r="G18" s="25"/>
    </row>
    <row r="19" spans="1:7" s="16" customFormat="1" x14ac:dyDescent="0.25">
      <c r="A19" s="11" t="s">
        <v>22</v>
      </c>
      <c r="B19" s="25">
        <f>SUM(B20:B21)</f>
        <v>1806.12</v>
      </c>
      <c r="C19" s="25">
        <f>SUM(C20:C21)</f>
        <v>0</v>
      </c>
      <c r="D19" s="25">
        <f>SUM(D20:D21)</f>
        <v>12219</v>
      </c>
      <c r="E19" s="25">
        <f>SUM(E20:E21)</f>
        <v>9292</v>
      </c>
      <c r="F19" s="25">
        <f>SUM(F20:F21)</f>
        <v>37380</v>
      </c>
      <c r="G19" s="25"/>
    </row>
    <row r="20" spans="1:7" x14ac:dyDescent="0.25">
      <c r="A20" s="24" t="s">
        <v>54</v>
      </c>
      <c r="B20" s="7">
        <f>'[1]Peer Analysis working '!I6*10</f>
        <v>0</v>
      </c>
      <c r="C20" s="7">
        <f>'[1]Peer Analysis working '!J6*10</f>
        <v>0</v>
      </c>
      <c r="D20" s="7">
        <f>'[1]Peer Analysis working '!K6*10</f>
        <v>3893</v>
      </c>
      <c r="E20" s="7">
        <f>'[1]Peer Analysis working '!L6*10</f>
        <v>667</v>
      </c>
      <c r="F20" s="7">
        <f>'[1]Peer Analysis working '!M6*10</f>
        <v>8590</v>
      </c>
      <c r="G20" s="7"/>
    </row>
    <row r="21" spans="1:7" x14ac:dyDescent="0.25">
      <c r="A21" s="24" t="s">
        <v>53</v>
      </c>
      <c r="B21" s="7">
        <f>'[1]Peer Analysis working '!I7*10</f>
        <v>1806.12</v>
      </c>
      <c r="C21" s="7">
        <f>'[1]Peer Analysis working '!J7*10</f>
        <v>0</v>
      </c>
      <c r="D21" s="7">
        <f>'[1]Peer Analysis working '!K7*10</f>
        <v>8326</v>
      </c>
      <c r="E21" s="7">
        <f>'[1]Peer Analysis working '!L7*10</f>
        <v>8625</v>
      </c>
      <c r="F21" s="7">
        <f>'[1]Peer Analysis working '!M7*10</f>
        <v>28790</v>
      </c>
      <c r="G21" s="7"/>
    </row>
    <row r="22" spans="1:7" x14ac:dyDescent="0.25">
      <c r="A22" s="6"/>
      <c r="B22" s="2"/>
      <c r="C22" s="6"/>
      <c r="D22" s="13"/>
      <c r="E22" s="13"/>
      <c r="F22" s="6"/>
      <c r="G22" s="6"/>
    </row>
    <row r="23" spans="1:7" x14ac:dyDescent="0.25">
      <c r="A23" s="11" t="s">
        <v>52</v>
      </c>
      <c r="B23" s="12"/>
      <c r="C23" s="11"/>
      <c r="D23" s="11"/>
      <c r="E23" s="11"/>
      <c r="F23" s="11"/>
      <c r="G23" s="11"/>
    </row>
    <row r="24" spans="1:7" x14ac:dyDescent="0.25">
      <c r="A24" s="22" t="s">
        <v>51</v>
      </c>
      <c r="B24" s="23"/>
      <c r="C24" s="6"/>
      <c r="D24" s="6"/>
      <c r="E24" s="6"/>
      <c r="F24" s="6"/>
      <c r="G24" s="6"/>
    </row>
    <row r="25" spans="1:7" x14ac:dyDescent="0.25">
      <c r="A25" s="22" t="s">
        <v>20</v>
      </c>
      <c r="B25" s="21"/>
      <c r="C25" s="6"/>
      <c r="D25" s="6"/>
      <c r="E25" s="6"/>
      <c r="F25" s="6"/>
      <c r="G25" s="6"/>
    </row>
    <row r="26" spans="1:7" s="1" customFormat="1" x14ac:dyDescent="0.25">
      <c r="A26" s="2"/>
      <c r="B26" s="2"/>
      <c r="C26" s="2"/>
      <c r="D26" s="20"/>
      <c r="E26" s="20"/>
      <c r="F26" s="20"/>
      <c r="G26" s="20"/>
    </row>
    <row r="27" spans="1:7" s="1" customFormat="1" x14ac:dyDescent="0.25">
      <c r="A27" s="2" t="s">
        <v>21</v>
      </c>
      <c r="B27" s="19">
        <f>'[1]Peer Analysis working '!I27</f>
        <v>16042570</v>
      </c>
      <c r="C27" s="19">
        <f>'[1]Peer Analysis working '!J27</f>
        <v>15050871</v>
      </c>
      <c r="D27" s="19">
        <f>'[1]Peer Analysis working '!K27</f>
        <v>37759530</v>
      </c>
      <c r="E27" s="19">
        <f>'[1]Peer Analysis working '!L27</f>
        <v>30603181</v>
      </c>
      <c r="F27" s="19">
        <f>'[1]Peer Analysis working '!M27</f>
        <v>109971221</v>
      </c>
      <c r="G27" s="19"/>
    </row>
    <row r="28" spans="1:7" s="16" customFormat="1" x14ac:dyDescent="0.25">
      <c r="A28" s="11" t="s">
        <v>34</v>
      </c>
      <c r="B28" s="18">
        <f>'[1]Peer Analysis working '!I28*10</f>
        <v>705.87307999999996</v>
      </c>
      <c r="C28" s="17">
        <f>'[1]Peer Analysis working '!J28*10</f>
        <v>5698.2597605999999</v>
      </c>
      <c r="D28" s="17">
        <f>'[1]Peer Analysis working '!K28*10</f>
        <v>1049.7149340000001</v>
      </c>
      <c r="E28" s="17">
        <f>'[1]Peer Analysis working '!L28*10</f>
        <v>2209.5496682000003</v>
      </c>
      <c r="F28" s="17">
        <f>'[1]Peer Analysis working '!M28*10</f>
        <v>25254.89090265</v>
      </c>
      <c r="G28" s="17"/>
    </row>
    <row r="29" spans="1:7" s="16" customFormat="1" x14ac:dyDescent="0.25">
      <c r="A29" s="11" t="s">
        <v>23</v>
      </c>
      <c r="B29" s="18">
        <f>'[1]Peer Analysis working '!I31*10</f>
        <v>297.57307999999966</v>
      </c>
      <c r="C29" s="17">
        <f>'[1]Peer Analysis working '!J31*10</f>
        <v>3873.2597605999999</v>
      </c>
      <c r="D29" s="17">
        <f>'[1]Peer Analysis working '!K31*10</f>
        <v>6252.7149340000014</v>
      </c>
      <c r="E29" s="17">
        <f>'[1]Peer Analysis working '!L31*10</f>
        <v>9985.5496681999994</v>
      </c>
      <c r="F29" s="17">
        <f>'[1]Peer Analysis working '!M31*10</f>
        <v>-32545.109097349996</v>
      </c>
      <c r="G29" s="17"/>
    </row>
    <row r="30" spans="1:7" x14ac:dyDescent="0.25">
      <c r="A30" s="6"/>
      <c r="B30" s="2"/>
      <c r="C30" s="6"/>
      <c r="D30" s="13"/>
      <c r="E30" s="6"/>
      <c r="F30" s="6"/>
      <c r="G30" s="6"/>
    </row>
    <row r="31" spans="1:7" x14ac:dyDescent="0.25">
      <c r="A31" s="6" t="s">
        <v>50</v>
      </c>
      <c r="B31" s="8">
        <f>'[1]Peer Analysis working '!I35</f>
        <v>11.702127659574469</v>
      </c>
      <c r="C31" s="8">
        <f>'[1]Peer Analysis working '!J35</f>
        <v>7.2514843899636086</v>
      </c>
      <c r="D31" s="8">
        <f>'[1]Peer Analysis working '!K35</f>
        <v>3.5504469987228608</v>
      </c>
      <c r="E31" s="8">
        <f>'[1]Peer Analysis working '!L35</f>
        <v>22.147239263803684</v>
      </c>
      <c r="F31" s="8">
        <f>'[1]Peer Analysis working '!M35</f>
        <v>7.3206885559451704</v>
      </c>
      <c r="G31" s="8"/>
    </row>
    <row r="32" spans="1:7" x14ac:dyDescent="0.25">
      <c r="A32" s="6" t="s">
        <v>24</v>
      </c>
      <c r="B32" s="15">
        <f>'[1]Peer Analysis working '!I44</f>
        <v>3.4090909090909088E-2</v>
      </c>
      <c r="C32" s="14">
        <f>'[1]Peer Analysis working '!J44</f>
        <v>0.10565240359218171</v>
      </c>
      <c r="D32" s="14">
        <f>'[1]Peer Analysis working '!K44</f>
        <v>0</v>
      </c>
      <c r="E32" s="14">
        <f>'[1]Peer Analysis working '!L44</f>
        <v>0</v>
      </c>
      <c r="F32" s="14">
        <f>'[1]Peer Analysis working '!M44</f>
        <v>6.531678641410843E-2</v>
      </c>
      <c r="G32" s="14"/>
    </row>
    <row r="33" spans="1:7" x14ac:dyDescent="0.25">
      <c r="A33" s="6" t="s">
        <v>49</v>
      </c>
      <c r="B33" s="8">
        <f>'[1]Peer Analysis working '!I36</f>
        <v>0.10369903069514348</v>
      </c>
      <c r="C33" s="8">
        <f>'[1]Peer Analysis working '!J36</f>
        <v>0.11984730073192279</v>
      </c>
      <c r="D33" s="8">
        <f>'[1]Peer Analysis working '!K36</f>
        <v>3.3310536413543618E-2</v>
      </c>
      <c r="E33" s="8">
        <f>'[1]Peer Analysis working '!L36</f>
        <v>3.6471446910849581E-2</v>
      </c>
      <c r="F33" s="8">
        <f>'[1]Peer Analysis working '!M36</f>
        <v>9.8617247462415569E-2</v>
      </c>
      <c r="G33" s="8"/>
    </row>
    <row r="34" spans="1:7" x14ac:dyDescent="0.25">
      <c r="A34" s="6" t="s">
        <v>48</v>
      </c>
      <c r="B34" s="8">
        <f>'[1]Peer Analysis working '!I37</f>
        <v>0.12729854551676908</v>
      </c>
      <c r="C34" s="8">
        <f>'[1]Peer Analysis working '!J37</f>
        <v>0.44281007895278379</v>
      </c>
      <c r="D34" s="8">
        <f>'[1]Peer Analysis working '!K37</f>
        <v>0.67017309046087903</v>
      </c>
      <c r="E34" s="8">
        <f>'[1]Peer Analysis working '!L37</f>
        <v>1.021121757664383</v>
      </c>
      <c r="F34" s="8">
        <f>'[1]Peer Analysis working '!M37</f>
        <v>-0.59291508648843139</v>
      </c>
      <c r="G34" s="8"/>
    </row>
    <row r="35" spans="1:7" x14ac:dyDescent="0.25">
      <c r="A35" s="6"/>
      <c r="B35" s="2"/>
      <c r="C35" s="6"/>
      <c r="D35" s="13"/>
      <c r="E35" s="13"/>
      <c r="F35" s="6"/>
      <c r="G35" s="6"/>
    </row>
    <row r="36" spans="1:7" x14ac:dyDescent="0.25">
      <c r="A36" s="11" t="s">
        <v>47</v>
      </c>
      <c r="B36" s="12"/>
      <c r="C36" s="11"/>
      <c r="D36" s="11"/>
      <c r="E36" s="11"/>
      <c r="F36" s="11"/>
      <c r="G36" s="11"/>
    </row>
    <row r="37" spans="1:7" x14ac:dyDescent="0.25">
      <c r="A37" s="11" t="s">
        <v>66</v>
      </c>
      <c r="B37" s="7" t="e">
        <f>#REF!</f>
        <v>#REF!</v>
      </c>
      <c r="C37" s="7">
        <f>'[1]Peer Analysis working '!J32</f>
        <v>378.6</v>
      </c>
      <c r="D37" s="7">
        <f>'[1]Peer Analysis working '!K32</f>
        <v>27.8</v>
      </c>
      <c r="E37" s="7">
        <f>'[1]Peer Analysis working '!L32</f>
        <v>72.2</v>
      </c>
      <c r="F37" s="7">
        <f>'[1]Peer Analysis working '!M32</f>
        <v>229.65</v>
      </c>
      <c r="G37" s="7"/>
    </row>
    <row r="38" spans="1:7" x14ac:dyDescent="0.25">
      <c r="A38" s="6" t="s">
        <v>46</v>
      </c>
      <c r="B38" s="7">
        <f>B18</f>
        <v>6806.94</v>
      </c>
      <c r="C38" s="7">
        <f>C18</f>
        <v>47546</v>
      </c>
      <c r="D38" s="7">
        <f>D18</f>
        <v>31513</v>
      </c>
      <c r="E38" s="7">
        <f>E18</f>
        <v>60583</v>
      </c>
      <c r="F38" s="7">
        <f>F18</f>
        <v>256090</v>
      </c>
      <c r="G38" s="7"/>
    </row>
    <row r="39" spans="1:7" x14ac:dyDescent="0.25">
      <c r="A39" s="6" t="s">
        <v>45</v>
      </c>
      <c r="B39" s="7">
        <f>'[1]Peer Analysis working '!I34</f>
        <v>424.30483395116869</v>
      </c>
      <c r="C39" s="7">
        <f>'[1]Peer Analysis working '!J34</f>
        <v>3159.0198334701026</v>
      </c>
      <c r="D39" s="7">
        <f>'[1]Peer Analysis working '!K34</f>
        <v>834.57076928658807</v>
      </c>
      <c r="E39" s="7">
        <f>'[1]Peer Analysis working '!L34</f>
        <v>1979.6308102742653</v>
      </c>
      <c r="F39" s="7">
        <f>'[1]Peer Analysis working '!M34</f>
        <v>2328.7001605629166</v>
      </c>
      <c r="G39" s="7"/>
    </row>
    <row r="40" spans="1:7" x14ac:dyDescent="0.25">
      <c r="A40" s="6" t="s">
        <v>44</v>
      </c>
      <c r="B40" s="5">
        <f>'[1]Peer Analysis working '!I38</f>
        <v>9.1637358343103104E-2</v>
      </c>
      <c r="C40" s="5">
        <f>'[1]Peer Analysis working '!J38</f>
        <v>0.16579733310898917</v>
      </c>
      <c r="D40" s="5">
        <f>'[1]Peer Analysis working '!K38</f>
        <v>9.392948941706597E-2</v>
      </c>
      <c r="E40" s="5">
        <f>'[1]Peer Analysis working '!L38</f>
        <v>1.6456761797864088E-2</v>
      </c>
      <c r="F40" s="5">
        <f>'[1]Peer Analysis working '!M38</f>
        <v>0.13475731188254128</v>
      </c>
      <c r="G40" s="5"/>
    </row>
    <row r="41" spans="1:7" x14ac:dyDescent="0.25">
      <c r="A41" s="6" t="s">
        <v>43</v>
      </c>
      <c r="B41" s="5">
        <f>'[1]Peer Analysis working '!I39</f>
        <v>0.15966919879744115</v>
      </c>
      <c r="C41" s="5">
        <f>'[1]Peer Analysis working '!J39</f>
        <v>0.23463756949794889</v>
      </c>
      <c r="D41" s="5">
        <f>'[1]Peer Analysis working '!K39</f>
        <v>0.16266310441067727</v>
      </c>
      <c r="E41" s="5">
        <f>'[1]Peer Analysis working '!L39</f>
        <v>7.0130917016226549E-2</v>
      </c>
      <c r="F41" s="5">
        <f>'[1]Peer Analysis working '!M39</f>
        <v>0.12677259525029899</v>
      </c>
      <c r="G41" s="5"/>
    </row>
    <row r="42" spans="1:7" x14ac:dyDescent="0.25">
      <c r="A42" s="6" t="s">
        <v>42</v>
      </c>
      <c r="B42" s="8">
        <f>'[1]Peer Analysis working '!I40</f>
        <v>0.19664505085895492</v>
      </c>
      <c r="C42" s="8">
        <f>'[1]Peer Analysis working '!J40</f>
        <v>0.68930559505911992</v>
      </c>
      <c r="D42" s="8">
        <f>'[1]Peer Analysis working '!K40</f>
        <v>0.63170644710638169</v>
      </c>
      <c r="E42" s="8">
        <f>'[1]Peer Analysis working '!L40</f>
        <v>0.8970505519229417</v>
      </c>
      <c r="F42" s="8">
        <f>'[1]Peer Analysis working '!M40</f>
        <v>0.46451642047251207</v>
      </c>
      <c r="G42" s="8"/>
    </row>
    <row r="43" spans="1:7" x14ac:dyDescent="0.25">
      <c r="A43" s="6" t="s">
        <v>41</v>
      </c>
      <c r="B43" s="9">
        <f>'[1]Peer Analysis working '!I45</f>
        <v>66.342013720741051</v>
      </c>
      <c r="C43" s="9">
        <f>'[1]Peer Analysis working '!J45</f>
        <v>65.062573645930684</v>
      </c>
      <c r="D43" s="9">
        <f>'[1]Peer Analysis working '!K45</f>
        <v>86.592976250631622</v>
      </c>
      <c r="E43" s="9">
        <f>'[1]Peer Analysis working '!L45</f>
        <v>107.90185790620825</v>
      </c>
      <c r="F43" s="9">
        <f>'[1]Peer Analysis working '!M45</f>
        <v>56.711275240547494</v>
      </c>
      <c r="G43" s="9"/>
    </row>
    <row r="44" spans="1:7" x14ac:dyDescent="0.25">
      <c r="A44" s="6" t="s">
        <v>25</v>
      </c>
      <c r="B44" s="9">
        <f>'[1]Peer Analysis working '!I47</f>
        <v>0</v>
      </c>
      <c r="C44" s="9">
        <f>'[1]Peer Analysis working '!J47</f>
        <v>0</v>
      </c>
      <c r="D44" s="9">
        <f>'[1]Peer Analysis working '!K47</f>
        <v>10.79</v>
      </c>
      <c r="E44" s="9">
        <f>'[1]Peer Analysis working '!L47</f>
        <v>0</v>
      </c>
      <c r="F44" s="9">
        <f>'[1]Peer Analysis working '!M47</f>
        <v>16.899999999999999</v>
      </c>
      <c r="G44" s="9"/>
    </row>
    <row r="45" spans="1:7" x14ac:dyDescent="0.25">
      <c r="A45" s="6" t="s">
        <v>40</v>
      </c>
      <c r="B45" s="10">
        <f>'[1]Peer Analysis working '!I46</f>
        <v>6242.8348665021331</v>
      </c>
      <c r="C45" s="9">
        <f>'[1]Peer Analysis working '!J46</f>
        <v>17.260000000000002</v>
      </c>
      <c r="D45" s="9">
        <f>'[1]Peer Analysis working '!K46</f>
        <v>29.69</v>
      </c>
      <c r="E45" s="9">
        <f>'[1]Peer Analysis working '!L46</f>
        <v>50.87</v>
      </c>
      <c r="F45" s="9">
        <f>'[1]Peer Analysis working '!M46</f>
        <v>51.52</v>
      </c>
      <c r="G45" s="9"/>
    </row>
    <row r="46" spans="1:7" x14ac:dyDescent="0.25">
      <c r="A46" s="6" t="s">
        <v>39</v>
      </c>
      <c r="B46" s="10">
        <f>'[1]Peer Analysis working '!I48</f>
        <v>-6176.4928527813918</v>
      </c>
      <c r="C46" s="9">
        <f>'[1]Peer Analysis working '!J48</f>
        <v>47.802573645930678</v>
      </c>
      <c r="D46" s="9">
        <f>'[1]Peer Analysis working '!K48</f>
        <v>67.692976250631631</v>
      </c>
      <c r="E46" s="9">
        <f>'[1]Peer Analysis working '!L48</f>
        <v>57.031857906208252</v>
      </c>
      <c r="F46" s="9">
        <f>'[1]Peer Analysis working '!M48</f>
        <v>22.091275240547482</v>
      </c>
      <c r="G46" s="9"/>
    </row>
    <row r="47" spans="1:7" x14ac:dyDescent="0.25">
      <c r="A47" s="6" t="s">
        <v>26</v>
      </c>
      <c r="B47" s="9">
        <f>'[1]Peer Analysis working '!I49</f>
        <v>38.568782865166789</v>
      </c>
      <c r="C47" s="9">
        <f>'[1]Peer Analysis working '!J49</f>
        <v>104.5124131485921</v>
      </c>
      <c r="D47" s="9">
        <f>'[1]Peer Analysis working '!K49</f>
        <v>-3.1679695627619462</v>
      </c>
      <c r="E47" s="9">
        <f>'[1]Peer Analysis working '!L49</f>
        <v>102.35551571398437</v>
      </c>
      <c r="F47" s="9">
        <f>'[1]Peer Analysis working '!M49</f>
        <v>168.22119076658987</v>
      </c>
      <c r="G47" s="9"/>
    </row>
    <row r="48" spans="1:7" x14ac:dyDescent="0.25">
      <c r="A48" s="6" t="s">
        <v>38</v>
      </c>
      <c r="B48" s="8">
        <f>'[1]Peer Analysis working '!I41</f>
        <v>0.2653350844873027</v>
      </c>
      <c r="C48" s="8">
        <f>'[1]Peer Analysis working '!J41</f>
        <v>0</v>
      </c>
      <c r="D48" s="8">
        <f>'[1]Peer Analysis working '!K41</f>
        <v>0.38774474026592198</v>
      </c>
      <c r="E48" s="8">
        <f>'[1]Peer Analysis working '!L41</f>
        <v>0.15337635970486771</v>
      </c>
      <c r="F48" s="8">
        <f>'[1]Peer Analysis working '!M41</f>
        <v>0.14596430942246866</v>
      </c>
      <c r="G48" s="8"/>
    </row>
    <row r="49" spans="1:7" x14ac:dyDescent="0.25">
      <c r="A49" s="6" t="s">
        <v>37</v>
      </c>
      <c r="B49" s="8">
        <f>'[1]Peer Analysis working '!I42</f>
        <v>-5.998289980519883E-2</v>
      </c>
      <c r="C49" s="8">
        <f>'[1]Peer Analysis working '!J42</f>
        <v>-3.8383880873259578E-2</v>
      </c>
      <c r="D49" s="8">
        <f>'[1]Peer Analysis working '!K42</f>
        <v>0.16510646399898457</v>
      </c>
      <c r="E49" s="8">
        <f>'[1]Peer Analysis working '!L42</f>
        <v>0.128352838254956</v>
      </c>
      <c r="F49" s="8">
        <f>'[1]Peer Analysis working '!M42</f>
        <v>-0.22570190167519233</v>
      </c>
      <c r="G49" s="8"/>
    </row>
    <row r="50" spans="1:7" x14ac:dyDescent="0.25">
      <c r="A50" s="6" t="s">
        <v>35</v>
      </c>
      <c r="B50" s="7">
        <f>'[1]Peer Analysis working '!I51</f>
        <v>3.7837018647884131</v>
      </c>
      <c r="C50" s="7">
        <f>'[1]Peer Analysis working '!J51</f>
        <v>158.70422535211267</v>
      </c>
      <c r="D50" s="7">
        <f>'[1]Peer Analysis working '!K51</f>
        <v>2.2760347129506009</v>
      </c>
      <c r="E50" s="7">
        <f>'[1]Peer Analysis working '!L51</f>
        <v>3.4877505567928733</v>
      </c>
      <c r="F50" s="7">
        <f>'[1]Peer Analysis working '!M51</f>
        <v>10.687242798353909</v>
      </c>
      <c r="G50" s="7"/>
    </row>
    <row r="51" spans="1:7" x14ac:dyDescent="0.25">
      <c r="A51" s="6" t="s">
        <v>36</v>
      </c>
      <c r="B51" s="5">
        <f>'[1]Peer Analysis working '!I50</f>
        <v>0.19180342391424715</v>
      </c>
      <c r="C51" s="5">
        <f>'[1]Peer Analysis working '!J50</f>
        <v>0</v>
      </c>
      <c r="D51" s="5">
        <f>'[1]Peer Analysis working '!K50</f>
        <v>0.24519191423193387</v>
      </c>
      <c r="E51" s="5">
        <f>'[1]Peer Analysis working '!L50</f>
        <v>0.14496340938441668</v>
      </c>
      <c r="F51" s="5">
        <f>'[1]Peer Analysis working '!M50</f>
        <v>0.13001605136436598</v>
      </c>
      <c r="G51" s="5"/>
    </row>
  </sheetData>
  <mergeCells count="2">
    <mergeCell ref="A1:F1"/>
    <mergeCell ref="A2:A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abSelected="1" zoomScale="85" zoomScaleNormal="85" workbookViewId="0">
      <selection activeCell="H9" sqref="H9"/>
    </sheetView>
  </sheetViews>
  <sheetFormatPr defaultRowHeight="15" x14ac:dyDescent="0.25"/>
  <cols>
    <col min="1" max="1" width="46.85546875" bestFit="1" customWidth="1"/>
    <col min="2" max="2" width="2.7109375" customWidth="1"/>
    <col min="3" max="6" width="10.28515625" bestFit="1" customWidth="1"/>
    <col min="7" max="7" width="3.140625" customWidth="1"/>
    <col min="8" max="8" width="39.7109375" bestFit="1" customWidth="1"/>
    <col min="9" max="9" width="3.140625" customWidth="1"/>
    <col min="10" max="10" width="9.42578125" bestFit="1" customWidth="1"/>
    <col min="11" max="11" width="9.28515625" bestFit="1" customWidth="1"/>
    <col min="12" max="13" width="9.42578125" bestFit="1" customWidth="1"/>
  </cols>
  <sheetData>
    <row r="1" spans="1:13" ht="18.75" x14ac:dyDescent="0.3">
      <c r="A1" s="103" t="s">
        <v>150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x14ac:dyDescent="0.25">
      <c r="A2" s="109" t="s">
        <v>116</v>
      </c>
      <c r="B2" s="109"/>
      <c r="C2" s="109"/>
      <c r="D2" s="109"/>
      <c r="E2" s="109"/>
      <c r="F2" s="109"/>
      <c r="G2" s="82"/>
      <c r="H2" s="109" t="s">
        <v>76</v>
      </c>
      <c r="I2" s="109"/>
      <c r="J2" s="109"/>
      <c r="K2" s="109"/>
      <c r="L2" s="109"/>
      <c r="M2" s="109"/>
    </row>
    <row r="3" spans="1:13" x14ac:dyDescent="0.25">
      <c r="A3" s="66" t="s">
        <v>0</v>
      </c>
      <c r="B3" s="68"/>
      <c r="C3" s="67" t="s">
        <v>67</v>
      </c>
      <c r="D3" s="67" t="s">
        <v>71</v>
      </c>
      <c r="E3" s="67" t="s">
        <v>73</v>
      </c>
      <c r="F3" s="67" t="s">
        <v>157</v>
      </c>
      <c r="G3" s="83"/>
      <c r="H3" s="66" t="s">
        <v>0</v>
      </c>
      <c r="I3" s="66"/>
      <c r="J3" s="67" t="s">
        <v>67</v>
      </c>
      <c r="K3" s="67" t="s">
        <v>71</v>
      </c>
      <c r="L3" s="67" t="s">
        <v>73</v>
      </c>
      <c r="M3" s="67" t="s">
        <v>157</v>
      </c>
    </row>
    <row r="4" spans="1:13" x14ac:dyDescent="0.25">
      <c r="A4" s="84" t="s">
        <v>104</v>
      </c>
      <c r="B4" s="84"/>
      <c r="C4" s="57">
        <v>1452.77</v>
      </c>
      <c r="D4" s="57">
        <v>1654.65</v>
      </c>
      <c r="E4" s="57">
        <v>2025.46</v>
      </c>
      <c r="F4" s="58">
        <v>2378.35</v>
      </c>
      <c r="G4" s="83"/>
      <c r="H4" s="85" t="s">
        <v>1</v>
      </c>
      <c r="I4" s="85"/>
      <c r="J4" s="57">
        <v>25.28</v>
      </c>
      <c r="K4" s="57">
        <v>25.24</v>
      </c>
      <c r="L4" s="57">
        <v>101.11</v>
      </c>
      <c r="M4" s="57">
        <v>126.97</v>
      </c>
    </row>
    <row r="5" spans="1:13" x14ac:dyDescent="0.25">
      <c r="A5" s="46" t="s">
        <v>12</v>
      </c>
      <c r="B5" s="46"/>
      <c r="C5" s="48">
        <v>0</v>
      </c>
      <c r="D5" s="47">
        <f>D4/C4-1</f>
        <v>0.13896212063850455</v>
      </c>
      <c r="E5" s="47">
        <f>E4/D4-1</f>
        <v>0.22410177378901874</v>
      </c>
      <c r="F5" s="47">
        <f>F4/E4-1</f>
        <v>0.17422708915505614</v>
      </c>
      <c r="G5" s="83"/>
      <c r="H5" s="85" t="s">
        <v>75</v>
      </c>
      <c r="I5" s="85"/>
      <c r="J5" s="57">
        <v>567.88</v>
      </c>
      <c r="K5" s="57">
        <v>811.27</v>
      </c>
      <c r="L5" s="57">
        <v>946.73</v>
      </c>
      <c r="M5" s="57">
        <v>2439.15</v>
      </c>
    </row>
    <row r="6" spans="1:13" x14ac:dyDescent="0.25">
      <c r="A6" s="46" t="s">
        <v>105</v>
      </c>
      <c r="B6" s="46"/>
      <c r="C6" s="48">
        <v>0</v>
      </c>
      <c r="D6" s="48">
        <v>0</v>
      </c>
      <c r="E6" s="48">
        <v>0</v>
      </c>
      <c r="F6" s="47">
        <f>(F4/C4)^(1/3)-1</f>
        <v>0.17858153965720192</v>
      </c>
      <c r="G6" s="83"/>
      <c r="H6" s="49" t="s">
        <v>77</v>
      </c>
      <c r="I6" s="49"/>
      <c r="J6" s="61">
        <f>SUM(J4:J5)+J7</f>
        <v>593.16</v>
      </c>
      <c r="K6" s="61">
        <f>SUM(K4:K5)+K7</f>
        <v>836.54</v>
      </c>
      <c r="L6" s="61">
        <f t="shared" ref="L6" si="0">SUM(L4:L5)+L7</f>
        <v>1044.47</v>
      </c>
      <c r="M6" s="61">
        <f>SUM(M4:M5)+M7</f>
        <v>2562.4899999999998</v>
      </c>
    </row>
    <row r="7" spans="1:13" x14ac:dyDescent="0.25">
      <c r="A7" s="49" t="s">
        <v>106</v>
      </c>
      <c r="B7" s="49"/>
      <c r="C7" s="50">
        <f>SUM(C8:C11)</f>
        <v>1256.1199999999999</v>
      </c>
      <c r="D7" s="61">
        <f>SUM(D8:D11)</f>
        <v>1381.41</v>
      </c>
      <c r="E7" s="61">
        <f>SUM(E8:E11)</f>
        <v>1637.8799999999997</v>
      </c>
      <c r="F7" s="61">
        <f>SUM(F8:F11)</f>
        <v>1970.52</v>
      </c>
      <c r="G7" s="83"/>
      <c r="H7" s="85" t="s">
        <v>78</v>
      </c>
      <c r="I7" s="85"/>
      <c r="J7" s="57">
        <v>0</v>
      </c>
      <c r="K7" s="57">
        <v>0.03</v>
      </c>
      <c r="L7" s="57">
        <v>-3.37</v>
      </c>
      <c r="M7" s="57">
        <v>-3.63</v>
      </c>
    </row>
    <row r="8" spans="1:13" x14ac:dyDescent="0.25">
      <c r="A8" s="84" t="s">
        <v>14</v>
      </c>
      <c r="B8" s="84"/>
      <c r="C8" s="57">
        <v>600.80999999999995</v>
      </c>
      <c r="D8" s="57">
        <v>713.64</v>
      </c>
      <c r="E8" s="57">
        <v>900.3</v>
      </c>
      <c r="F8" s="58">
        <v>1047.1199999999999</v>
      </c>
      <c r="G8" s="83"/>
      <c r="H8" s="85" t="s">
        <v>2</v>
      </c>
      <c r="I8" s="85"/>
      <c r="J8" s="57">
        <v>237.74</v>
      </c>
      <c r="K8" s="57">
        <v>204.99</v>
      </c>
      <c r="L8" s="57">
        <v>92.06</v>
      </c>
      <c r="M8" s="57">
        <v>10.68</v>
      </c>
    </row>
    <row r="9" spans="1:13" x14ac:dyDescent="0.25">
      <c r="A9" s="86" t="s">
        <v>107</v>
      </c>
      <c r="B9" s="86"/>
      <c r="C9" s="57">
        <v>-8.8800000000000008</v>
      </c>
      <c r="D9" s="57">
        <v>-45.75</v>
      </c>
      <c r="E9" s="57">
        <v>-72.83</v>
      </c>
      <c r="F9" s="58">
        <v>-58.13</v>
      </c>
      <c r="G9" s="83"/>
      <c r="H9" s="85" t="s">
        <v>3</v>
      </c>
      <c r="I9" s="85"/>
      <c r="J9" s="57">
        <v>331.18</v>
      </c>
      <c r="K9" s="57">
        <v>380.99</v>
      </c>
      <c r="L9" s="57">
        <v>458.22</v>
      </c>
      <c r="M9" s="57">
        <v>220.49</v>
      </c>
    </row>
    <row r="10" spans="1:13" x14ac:dyDescent="0.25">
      <c r="A10" s="84" t="s">
        <v>108</v>
      </c>
      <c r="B10" s="84"/>
      <c r="C10" s="57">
        <v>215.12</v>
      </c>
      <c r="D10" s="57">
        <v>232.3</v>
      </c>
      <c r="E10" s="57">
        <v>247.75</v>
      </c>
      <c r="F10" s="58">
        <v>288.77999999999997</v>
      </c>
      <c r="G10" s="83"/>
      <c r="H10" s="49" t="s">
        <v>74</v>
      </c>
      <c r="I10" s="49"/>
      <c r="J10" s="61">
        <f>SUM(J8:J9)</f>
        <v>568.92000000000007</v>
      </c>
      <c r="K10" s="61">
        <f>SUM(K8:K9)</f>
        <v>585.98</v>
      </c>
      <c r="L10" s="61">
        <f>SUM(L8:L9)</f>
        <v>550.28</v>
      </c>
      <c r="M10" s="61">
        <f>SUM(M8:M9)</f>
        <v>231.17000000000002</v>
      </c>
    </row>
    <row r="11" spans="1:13" x14ac:dyDescent="0.25">
      <c r="A11" s="84" t="s">
        <v>109</v>
      </c>
      <c r="B11" s="84"/>
      <c r="C11" s="57">
        <v>449.07</v>
      </c>
      <c r="D11" s="57">
        <v>481.22</v>
      </c>
      <c r="E11" s="57">
        <v>562.66</v>
      </c>
      <c r="F11" s="58">
        <v>692.75</v>
      </c>
      <c r="G11" s="83"/>
      <c r="H11" s="49" t="s">
        <v>68</v>
      </c>
      <c r="I11" s="49"/>
      <c r="J11" s="61">
        <f>J6+J47</f>
        <v>891.67</v>
      </c>
      <c r="K11" s="61">
        <f>K6+K47</f>
        <v>1139.3600000000001</v>
      </c>
      <c r="L11" s="61">
        <f>L6+L47</f>
        <v>1209.8</v>
      </c>
      <c r="M11" s="61">
        <f>M6+M47</f>
        <v>2654.35</v>
      </c>
    </row>
    <row r="12" spans="1:13" x14ac:dyDescent="0.25">
      <c r="A12" s="49" t="s">
        <v>15</v>
      </c>
      <c r="B12" s="49"/>
      <c r="C12" s="61">
        <f>C4-C7</f>
        <v>196.65000000000009</v>
      </c>
      <c r="D12" s="61">
        <f>D4-D7</f>
        <v>273.24</v>
      </c>
      <c r="E12" s="61">
        <f>E4-E7</f>
        <v>387.58000000000038</v>
      </c>
      <c r="F12" s="61">
        <f>F4-F7</f>
        <v>407.82999999999993</v>
      </c>
      <c r="G12" s="83"/>
      <c r="H12" s="49" t="s">
        <v>68</v>
      </c>
      <c r="I12" s="49"/>
      <c r="J12" s="61">
        <f>J52-J39</f>
        <v>891.67000000000007</v>
      </c>
      <c r="K12" s="61">
        <f>K52-K39</f>
        <v>1139.3599999999999</v>
      </c>
      <c r="L12" s="61">
        <f>L52-L39</f>
        <v>1209.8000000000002</v>
      </c>
      <c r="M12" s="61">
        <f>M52-M39</f>
        <v>2654.35</v>
      </c>
    </row>
    <row r="13" spans="1:13" x14ac:dyDescent="0.25">
      <c r="A13" s="46" t="s">
        <v>12</v>
      </c>
      <c r="B13" s="46"/>
      <c r="C13" s="48">
        <v>0</v>
      </c>
      <c r="D13" s="47">
        <f>D12/C12-1</f>
        <v>0.38947368421052575</v>
      </c>
      <c r="E13" s="47">
        <f>E12/D12-1</f>
        <v>0.4184599619382241</v>
      </c>
      <c r="F13" s="47">
        <f>F12/E12-1</f>
        <v>5.2247277981318785E-2</v>
      </c>
      <c r="G13" s="83"/>
      <c r="H13" s="108"/>
      <c r="I13" s="104"/>
      <c r="J13" s="104"/>
      <c r="K13" s="104"/>
      <c r="L13" s="104"/>
      <c r="M13" s="105"/>
    </row>
    <row r="14" spans="1:13" x14ac:dyDescent="0.25">
      <c r="A14" s="46" t="s">
        <v>105</v>
      </c>
      <c r="B14" s="46"/>
      <c r="C14" s="48">
        <v>0</v>
      </c>
      <c r="D14" s="48">
        <v>0</v>
      </c>
      <c r="E14" s="48">
        <v>0</v>
      </c>
      <c r="F14" s="47">
        <f>(F12/C12)^(1/3)-1</f>
        <v>0.2752492384920453</v>
      </c>
      <c r="G14" s="83"/>
      <c r="H14" s="49" t="s">
        <v>4</v>
      </c>
      <c r="I14" s="49"/>
      <c r="J14" s="61">
        <f>SUM(J15:J26)</f>
        <v>605.44000000000005</v>
      </c>
      <c r="K14" s="61">
        <f>SUM(K15:K26)</f>
        <v>681.91</v>
      </c>
      <c r="L14" s="61">
        <f>SUM(L15:L26)</f>
        <v>743.57999999999993</v>
      </c>
      <c r="M14" s="61">
        <f>SUM(M15:M26)</f>
        <v>1055.68</v>
      </c>
    </row>
    <row r="15" spans="1:13" x14ac:dyDescent="0.25">
      <c r="A15" s="46" t="s">
        <v>60</v>
      </c>
      <c r="B15" s="46"/>
      <c r="C15" s="47">
        <f>C12/C4</f>
        <v>0.1353621013649787</v>
      </c>
      <c r="D15" s="47">
        <f>D12/D4</f>
        <v>0.16513462061463149</v>
      </c>
      <c r="E15" s="47">
        <f>E12/E4</f>
        <v>0.19135406278080058</v>
      </c>
      <c r="F15" s="47">
        <f>F12/F4</f>
        <v>0.17147602329345973</v>
      </c>
      <c r="G15" s="83"/>
      <c r="H15" s="85" t="s">
        <v>79</v>
      </c>
      <c r="I15" s="85"/>
      <c r="J15" s="57">
        <v>383.52</v>
      </c>
      <c r="K15" s="57">
        <v>381.54</v>
      </c>
      <c r="L15" s="57">
        <v>412.71</v>
      </c>
      <c r="M15" s="57">
        <v>606.62</v>
      </c>
    </row>
    <row r="16" spans="1:13" x14ac:dyDescent="0.25">
      <c r="A16" s="84" t="s">
        <v>110</v>
      </c>
      <c r="B16" s="84"/>
      <c r="C16" s="57">
        <v>62.61</v>
      </c>
      <c r="D16" s="57">
        <v>60.83</v>
      </c>
      <c r="E16" s="57">
        <v>68.62</v>
      </c>
      <c r="F16" s="58">
        <v>79.69</v>
      </c>
      <c r="G16" s="83"/>
      <c r="H16" s="85" t="s">
        <v>69</v>
      </c>
      <c r="I16" s="85"/>
      <c r="J16" s="57">
        <v>0</v>
      </c>
      <c r="K16" s="57">
        <v>7.0000000000000007E-2</v>
      </c>
      <c r="L16" s="57">
        <v>0</v>
      </c>
      <c r="M16" s="57">
        <v>0</v>
      </c>
    </row>
    <row r="17" spans="1:13" x14ac:dyDescent="0.25">
      <c r="A17" s="84" t="s">
        <v>111</v>
      </c>
      <c r="B17" s="84"/>
      <c r="C17" s="57">
        <v>48.62</v>
      </c>
      <c r="D17" s="57">
        <v>51.6</v>
      </c>
      <c r="E17" s="57">
        <v>61.4</v>
      </c>
      <c r="F17" s="58">
        <v>38.020000000000003</v>
      </c>
      <c r="G17" s="83"/>
      <c r="H17" s="85" t="s">
        <v>80</v>
      </c>
      <c r="I17" s="85"/>
      <c r="J17" s="57">
        <v>168.37</v>
      </c>
      <c r="K17" s="57">
        <v>176.8</v>
      </c>
      <c r="L17" s="57">
        <v>185.98</v>
      </c>
      <c r="M17" s="57">
        <v>189.47</v>
      </c>
    </row>
    <row r="18" spans="1:13" x14ac:dyDescent="0.25">
      <c r="A18" s="84" t="s">
        <v>16</v>
      </c>
      <c r="B18" s="84"/>
      <c r="C18" s="57">
        <v>26.86</v>
      </c>
      <c r="D18" s="57">
        <v>16.170000000000002</v>
      </c>
      <c r="E18" s="57">
        <v>18.32</v>
      </c>
      <c r="F18" s="58">
        <v>43.7</v>
      </c>
      <c r="G18" s="83"/>
      <c r="H18" s="87" t="s">
        <v>103</v>
      </c>
      <c r="I18" s="87"/>
      <c r="J18" s="57">
        <v>29.33</v>
      </c>
      <c r="K18" s="57">
        <v>34.549999999999997</v>
      </c>
      <c r="L18" s="57">
        <v>33.340000000000003</v>
      </c>
      <c r="M18" s="57">
        <v>39.22</v>
      </c>
    </row>
    <row r="19" spans="1:13" x14ac:dyDescent="0.25">
      <c r="A19" s="52" t="s">
        <v>112</v>
      </c>
      <c r="B19" s="52"/>
      <c r="C19" s="64">
        <f>C12-C16-C17+C18</f>
        <v>112.28000000000007</v>
      </c>
      <c r="D19" s="64">
        <f>D12-D16-D17+D18</f>
        <v>176.98000000000002</v>
      </c>
      <c r="E19" s="64">
        <f>E12-E16-E17+E18</f>
        <v>275.88000000000039</v>
      </c>
      <c r="F19" s="65">
        <f>F12-F16-F17+F18</f>
        <v>333.81999999999994</v>
      </c>
      <c r="G19" s="83"/>
      <c r="H19" s="87" t="s">
        <v>81</v>
      </c>
      <c r="I19" s="87"/>
      <c r="J19" s="57">
        <v>1.26</v>
      </c>
      <c r="K19" s="57">
        <v>12.5</v>
      </c>
      <c r="L19" s="57">
        <v>32.299999999999997</v>
      </c>
      <c r="M19" s="57">
        <v>66.41</v>
      </c>
    </row>
    <row r="20" spans="1:13" x14ac:dyDescent="0.25">
      <c r="A20" s="84" t="s">
        <v>113</v>
      </c>
      <c r="B20" s="84"/>
      <c r="C20" s="57"/>
      <c r="D20" s="57"/>
      <c r="E20" s="57"/>
      <c r="F20" s="58"/>
      <c r="G20" s="83"/>
      <c r="H20" s="85" t="s">
        <v>102</v>
      </c>
      <c r="I20" s="85"/>
      <c r="J20" s="57">
        <v>11.1</v>
      </c>
      <c r="K20" s="57">
        <v>49.67</v>
      </c>
      <c r="L20" s="57">
        <v>45.23</v>
      </c>
      <c r="M20" s="57">
        <v>40.75</v>
      </c>
    </row>
    <row r="21" spans="1:13" x14ac:dyDescent="0.25">
      <c r="A21" s="52" t="s">
        <v>146</v>
      </c>
      <c r="B21" s="52"/>
      <c r="C21" s="64">
        <f>C19+C20</f>
        <v>112.28000000000007</v>
      </c>
      <c r="D21" s="64">
        <f>D19+D20</f>
        <v>176.98000000000002</v>
      </c>
      <c r="E21" s="64">
        <f>E19+E20</f>
        <v>275.88000000000039</v>
      </c>
      <c r="F21" s="65">
        <f>F19+F20</f>
        <v>333.81999999999994</v>
      </c>
      <c r="G21" s="83"/>
      <c r="H21" s="53" t="s">
        <v>5</v>
      </c>
      <c r="I21" s="53"/>
      <c r="J21" s="57"/>
      <c r="K21" s="57"/>
      <c r="L21" s="57"/>
      <c r="M21" s="57"/>
    </row>
    <row r="22" spans="1:13" x14ac:dyDescent="0.25">
      <c r="A22" s="84" t="s">
        <v>158</v>
      </c>
      <c r="B22" s="84"/>
      <c r="C22" s="57">
        <v>0</v>
      </c>
      <c r="D22" s="57">
        <v>97.59</v>
      </c>
      <c r="E22" s="57">
        <v>-23.09</v>
      </c>
      <c r="F22" s="58">
        <v>-2.56</v>
      </c>
      <c r="G22" s="83"/>
      <c r="H22" s="88" t="s">
        <v>82</v>
      </c>
      <c r="I22" s="88"/>
      <c r="J22" s="57">
        <v>0</v>
      </c>
      <c r="K22" s="57">
        <v>0</v>
      </c>
      <c r="L22" s="57">
        <v>0</v>
      </c>
      <c r="M22" s="57">
        <v>0</v>
      </c>
    </row>
    <row r="23" spans="1:13" x14ac:dyDescent="0.25">
      <c r="A23" s="52" t="s">
        <v>17</v>
      </c>
      <c r="B23" s="52"/>
      <c r="C23" s="64">
        <f>C19+C20+C22</f>
        <v>112.28000000000007</v>
      </c>
      <c r="D23" s="64">
        <f>D19+D20+D22</f>
        <v>274.57000000000005</v>
      </c>
      <c r="E23" s="64">
        <f>E19+E20+E22</f>
        <v>252.79000000000039</v>
      </c>
      <c r="F23" s="65">
        <f>F19+F20+F22</f>
        <v>331.25999999999993</v>
      </c>
      <c r="G23" s="83"/>
      <c r="H23" s="88" t="s">
        <v>83</v>
      </c>
      <c r="I23" s="88"/>
      <c r="J23" s="57">
        <v>6.11</v>
      </c>
      <c r="K23" s="57">
        <v>8.98</v>
      </c>
      <c r="L23" s="57">
        <v>11.12</v>
      </c>
      <c r="M23" s="57">
        <v>56.59</v>
      </c>
    </row>
    <row r="24" spans="1:13" x14ac:dyDescent="0.25">
      <c r="A24" s="84" t="s">
        <v>114</v>
      </c>
      <c r="B24" s="84"/>
      <c r="C24" s="57">
        <v>45.97</v>
      </c>
      <c r="D24" s="57">
        <v>32.450000000000003</v>
      </c>
      <c r="E24" s="57">
        <v>32.86</v>
      </c>
      <c r="F24" s="58">
        <v>63.1</v>
      </c>
      <c r="G24" s="83"/>
      <c r="H24" s="88" t="s">
        <v>101</v>
      </c>
      <c r="I24" s="88"/>
      <c r="J24" s="57">
        <v>1.31</v>
      </c>
      <c r="K24" s="57">
        <v>10.89</v>
      </c>
      <c r="L24" s="57">
        <v>7.22</v>
      </c>
      <c r="M24" s="57">
        <v>13.49</v>
      </c>
    </row>
    <row r="25" spans="1:13" x14ac:dyDescent="0.25">
      <c r="A25" s="84" t="s">
        <v>147</v>
      </c>
      <c r="B25" s="84"/>
      <c r="C25" s="57">
        <v>0</v>
      </c>
      <c r="D25" s="57">
        <v>0</v>
      </c>
      <c r="E25" s="57">
        <v>-3.4</v>
      </c>
      <c r="F25" s="58">
        <v>-0.26</v>
      </c>
      <c r="G25" s="83"/>
      <c r="H25" s="88" t="s">
        <v>84</v>
      </c>
      <c r="I25" s="88"/>
      <c r="J25" s="57">
        <v>0</v>
      </c>
      <c r="K25" s="57">
        <v>0</v>
      </c>
      <c r="L25" s="57">
        <v>0</v>
      </c>
      <c r="M25" s="57">
        <v>0</v>
      </c>
    </row>
    <row r="26" spans="1:13" x14ac:dyDescent="0.25">
      <c r="A26" s="49" t="s">
        <v>145</v>
      </c>
      <c r="B26" s="49"/>
      <c r="C26" s="61">
        <f>C23-C24+C25</f>
        <v>66.310000000000073</v>
      </c>
      <c r="D26" s="61">
        <f>D23-D24</f>
        <v>242.12000000000006</v>
      </c>
      <c r="E26" s="61">
        <f>E23-E24-E25</f>
        <v>223.33000000000041</v>
      </c>
      <c r="F26" s="61">
        <f>F23-F24-F25</f>
        <v>268.4199999999999</v>
      </c>
      <c r="G26" s="83"/>
      <c r="H26" s="85" t="s">
        <v>6</v>
      </c>
      <c r="I26" s="85"/>
      <c r="J26" s="57">
        <v>4.4400000000000004</v>
      </c>
      <c r="K26" s="57">
        <v>6.91</v>
      </c>
      <c r="L26" s="57">
        <v>15.68</v>
      </c>
      <c r="M26" s="57">
        <v>43.13</v>
      </c>
    </row>
    <row r="27" spans="1:13" x14ac:dyDescent="0.25">
      <c r="A27" s="46" t="s">
        <v>12</v>
      </c>
      <c r="B27" s="46"/>
      <c r="C27" s="48">
        <v>0</v>
      </c>
      <c r="D27" s="47">
        <f>D26/C26-1</f>
        <v>2.6513346403257394</v>
      </c>
      <c r="E27" s="47">
        <f>E26/D26-1</f>
        <v>-7.7606145712868169E-2</v>
      </c>
      <c r="F27" s="47">
        <f>F26/E26-1</f>
        <v>0.20189853579903905</v>
      </c>
      <c r="G27" s="83"/>
      <c r="H27" s="49" t="s">
        <v>7</v>
      </c>
      <c r="I27" s="49"/>
      <c r="J27" s="61">
        <f>SUM(J28:J37)</f>
        <v>850.7299999999999</v>
      </c>
      <c r="K27" s="61">
        <f>SUM(K28:K37)</f>
        <v>1021.9499999999999</v>
      </c>
      <c r="L27" s="61">
        <f>SUM(L28:L37)</f>
        <v>1143.2600000000002</v>
      </c>
      <c r="M27" s="61">
        <f>SUM(M28:M37)</f>
        <v>2140.94</v>
      </c>
    </row>
    <row r="28" spans="1:13" x14ac:dyDescent="0.25">
      <c r="A28" s="46" t="s">
        <v>105</v>
      </c>
      <c r="B28" s="46"/>
      <c r="C28" s="48">
        <v>0</v>
      </c>
      <c r="D28" s="48">
        <v>0</v>
      </c>
      <c r="E28" s="48">
        <v>0</v>
      </c>
      <c r="F28" s="47">
        <f>(F26/C26)^(1/3)-1</f>
        <v>0.59371972584555421</v>
      </c>
      <c r="G28" s="83"/>
      <c r="H28" s="85" t="s">
        <v>8</v>
      </c>
      <c r="I28" s="85"/>
      <c r="J28" s="57">
        <v>497.23</v>
      </c>
      <c r="K28" s="57">
        <v>557.57000000000005</v>
      </c>
      <c r="L28" s="57">
        <v>576.5</v>
      </c>
      <c r="M28" s="57">
        <v>723.88</v>
      </c>
    </row>
    <row r="29" spans="1:13" x14ac:dyDescent="0.25">
      <c r="A29" s="46" t="s">
        <v>57</v>
      </c>
      <c r="B29" s="46"/>
      <c r="C29" s="47">
        <f>C26/C4</f>
        <v>4.5643839010992844E-2</v>
      </c>
      <c r="D29" s="47">
        <f>D26/D4</f>
        <v>0.14632701779832596</v>
      </c>
      <c r="E29" s="47">
        <f>E26/E4</f>
        <v>0.11026137272520831</v>
      </c>
      <c r="F29" s="47">
        <f>F26/F4</f>
        <v>0.11285975571299427</v>
      </c>
      <c r="G29" s="83"/>
      <c r="H29" s="53" t="s">
        <v>5</v>
      </c>
      <c r="I29" s="53"/>
      <c r="J29" s="57"/>
      <c r="K29" s="57"/>
      <c r="L29" s="57"/>
      <c r="M29" s="57"/>
    </row>
    <row r="30" spans="1:13" x14ac:dyDescent="0.25">
      <c r="A30" s="84"/>
      <c r="B30" s="84"/>
      <c r="C30" s="84"/>
      <c r="D30" s="84"/>
      <c r="E30" s="44"/>
      <c r="F30" s="89"/>
      <c r="G30" s="83"/>
      <c r="H30" s="88" t="s">
        <v>82</v>
      </c>
      <c r="I30" s="88"/>
      <c r="J30" s="57"/>
      <c r="K30" s="57"/>
      <c r="L30" s="57"/>
      <c r="M30" s="57"/>
    </row>
    <row r="31" spans="1:13" x14ac:dyDescent="0.25">
      <c r="A31" s="84" t="s">
        <v>18</v>
      </c>
      <c r="B31" s="84"/>
      <c r="C31" s="57">
        <v>-3.21</v>
      </c>
      <c r="D31" s="57">
        <v>2.2400000000000002</v>
      </c>
      <c r="E31" s="57">
        <v>4.8600000000000003</v>
      </c>
      <c r="F31" s="58">
        <v>-4.0599999999999996</v>
      </c>
      <c r="G31" s="83"/>
      <c r="H31" s="88" t="s">
        <v>85</v>
      </c>
      <c r="I31" s="88"/>
      <c r="J31" s="57">
        <v>254.57</v>
      </c>
      <c r="K31" s="57">
        <v>299.63</v>
      </c>
      <c r="L31" s="57">
        <v>469.68</v>
      </c>
      <c r="M31" s="57">
        <v>708.68</v>
      </c>
    </row>
    <row r="32" spans="1:13" x14ac:dyDescent="0.25">
      <c r="A32" s="49" t="s">
        <v>115</v>
      </c>
      <c r="B32" s="49"/>
      <c r="C32" s="61">
        <f>C26+C31</f>
        <v>63.100000000000072</v>
      </c>
      <c r="D32" s="61">
        <f>D26+D31</f>
        <v>244.36000000000007</v>
      </c>
      <c r="E32" s="61">
        <f>E26+E31</f>
        <v>228.19000000000042</v>
      </c>
      <c r="F32" s="61">
        <f>F26+F31</f>
        <v>264.3599999999999</v>
      </c>
      <c r="G32" s="83"/>
      <c r="H32" s="88" t="s">
        <v>86</v>
      </c>
      <c r="I32" s="88"/>
      <c r="J32" s="57">
        <v>5.29</v>
      </c>
      <c r="K32" s="57">
        <v>5.34</v>
      </c>
      <c r="L32" s="57">
        <v>13.83</v>
      </c>
      <c r="M32" s="57">
        <v>15.26</v>
      </c>
    </row>
    <row r="33" spans="1:13" x14ac:dyDescent="0.25">
      <c r="A33" s="46" t="s">
        <v>12</v>
      </c>
      <c r="B33" s="46"/>
      <c r="C33" s="48">
        <v>0</v>
      </c>
      <c r="D33" s="47">
        <f>D32/C32-1</f>
        <v>2.8725832012678256</v>
      </c>
      <c r="E33" s="47">
        <f>E32/D32-1</f>
        <v>-6.6172859715172838E-2</v>
      </c>
      <c r="F33" s="47">
        <f>F32/E32-1</f>
        <v>0.1585082606599737</v>
      </c>
      <c r="G33" s="83"/>
      <c r="H33" s="88" t="s">
        <v>87</v>
      </c>
      <c r="I33" s="88"/>
      <c r="J33" s="57">
        <v>21.42</v>
      </c>
      <c r="K33" s="57">
        <v>114.69</v>
      </c>
      <c r="L33" s="57">
        <v>27.17</v>
      </c>
      <c r="M33" s="57">
        <v>579.08000000000004</v>
      </c>
    </row>
    <row r="34" spans="1:13" x14ac:dyDescent="0.25">
      <c r="A34" s="46" t="s">
        <v>13</v>
      </c>
      <c r="B34" s="46"/>
      <c r="C34" s="48">
        <v>0</v>
      </c>
      <c r="D34" s="48">
        <v>0</v>
      </c>
      <c r="E34" s="48">
        <v>0</v>
      </c>
      <c r="F34" s="47">
        <f>(F32/C32)^(1/3)-1</f>
        <v>0.61208818354141337</v>
      </c>
      <c r="G34" s="83"/>
      <c r="H34" s="88" t="s">
        <v>88</v>
      </c>
      <c r="I34" s="88"/>
      <c r="J34" s="57">
        <v>2.99</v>
      </c>
      <c r="K34" s="57">
        <v>6.26</v>
      </c>
      <c r="L34" s="57">
        <v>1.22</v>
      </c>
      <c r="M34" s="57">
        <v>2.97</v>
      </c>
    </row>
    <row r="35" spans="1:13" x14ac:dyDescent="0.25">
      <c r="A35" s="84"/>
      <c r="B35" s="84"/>
      <c r="C35" s="84"/>
      <c r="D35" s="84"/>
      <c r="E35" s="84"/>
      <c r="F35" s="89"/>
      <c r="G35" s="83"/>
      <c r="H35" s="88" t="s">
        <v>89</v>
      </c>
      <c r="I35" s="88"/>
      <c r="J35" s="57">
        <v>20.96</v>
      </c>
      <c r="K35" s="57">
        <v>4.03</v>
      </c>
      <c r="L35" s="57">
        <v>17.47</v>
      </c>
      <c r="M35" s="57">
        <v>22.84</v>
      </c>
    </row>
    <row r="36" spans="1:13" x14ac:dyDescent="0.25">
      <c r="A36" s="49" t="s">
        <v>19</v>
      </c>
      <c r="B36" s="49"/>
      <c r="C36" s="50"/>
      <c r="D36" s="51"/>
      <c r="E36" s="51"/>
      <c r="F36" s="51"/>
      <c r="G36" s="83"/>
      <c r="H36" s="85" t="s">
        <v>90</v>
      </c>
      <c r="I36" s="85"/>
      <c r="J36" s="57"/>
      <c r="K36" s="57"/>
      <c r="L36" s="57"/>
      <c r="M36" s="57"/>
    </row>
    <row r="37" spans="1:13" x14ac:dyDescent="0.25">
      <c r="A37" s="90" t="s">
        <v>154</v>
      </c>
      <c r="B37" s="52"/>
      <c r="C37" s="64">
        <v>6.56</v>
      </c>
      <c r="D37" s="64">
        <v>23.98</v>
      </c>
      <c r="E37" s="64">
        <v>22.09</v>
      </c>
      <c r="F37" s="64">
        <v>23.23</v>
      </c>
      <c r="G37" s="83"/>
      <c r="H37" s="85" t="s">
        <v>91</v>
      </c>
      <c r="I37" s="85"/>
      <c r="J37" s="57">
        <v>48.27</v>
      </c>
      <c r="K37" s="57">
        <v>34.43</v>
      </c>
      <c r="L37" s="57">
        <v>37.39</v>
      </c>
      <c r="M37" s="57">
        <v>88.23</v>
      </c>
    </row>
    <row r="38" spans="1:13" x14ac:dyDescent="0.25">
      <c r="A38" s="90" t="s">
        <v>153</v>
      </c>
      <c r="B38" s="52"/>
      <c r="C38" s="64">
        <v>6.44</v>
      </c>
      <c r="D38" s="64">
        <v>23.56</v>
      </c>
      <c r="E38" s="64">
        <v>21.77</v>
      </c>
      <c r="F38" s="64">
        <v>22.56</v>
      </c>
      <c r="G38" s="83"/>
      <c r="H38" s="108"/>
      <c r="I38" s="104"/>
      <c r="J38" s="104"/>
      <c r="K38" s="104"/>
      <c r="L38" s="104"/>
      <c r="M38" s="104"/>
    </row>
    <row r="39" spans="1:13" x14ac:dyDescent="0.25">
      <c r="A39" s="46" t="s">
        <v>12</v>
      </c>
      <c r="B39" s="46"/>
      <c r="C39" s="48">
        <v>0</v>
      </c>
      <c r="D39" s="47">
        <f>D38/C38-1</f>
        <v>2.6583850931677016</v>
      </c>
      <c r="E39" s="47">
        <f>E38/D38-1</f>
        <v>-7.5976230899830188E-2</v>
      </c>
      <c r="F39" s="47">
        <f>F38/E38-1</f>
        <v>3.6288470372071613E-2</v>
      </c>
      <c r="G39" s="83"/>
      <c r="H39" s="49" t="s">
        <v>9</v>
      </c>
      <c r="I39" s="49"/>
      <c r="J39" s="61">
        <f>SUM(J41:J46,J9)</f>
        <v>564.5</v>
      </c>
      <c r="K39" s="61">
        <f>SUM(K41:K46,K9)</f>
        <v>564.5</v>
      </c>
      <c r="L39" s="61">
        <f>SUM(L41:L46,L9)</f>
        <v>677.04</v>
      </c>
      <c r="M39" s="61">
        <f>SUM(M41:M46,M9)</f>
        <v>542.27</v>
      </c>
    </row>
    <row r="40" spans="1:13" x14ac:dyDescent="0.25">
      <c r="A40" s="46" t="s">
        <v>105</v>
      </c>
      <c r="B40" s="46"/>
      <c r="C40" s="48">
        <v>0</v>
      </c>
      <c r="D40" s="48">
        <v>0</v>
      </c>
      <c r="E40" s="48">
        <v>0</v>
      </c>
      <c r="F40" s="47">
        <f>(F38/C38)^(1/3)-1</f>
        <v>0.51874341987467898</v>
      </c>
      <c r="G40" s="83"/>
      <c r="H40" s="53" t="s">
        <v>92</v>
      </c>
      <c r="I40" s="53"/>
      <c r="J40" s="70"/>
      <c r="K40" s="70"/>
      <c r="L40" s="70"/>
      <c r="M40" s="70"/>
    </row>
    <row r="41" spans="1:13" x14ac:dyDescent="0.25">
      <c r="A41" s="104"/>
      <c r="B41" s="104"/>
      <c r="C41" s="104"/>
      <c r="D41" s="104"/>
      <c r="E41" s="104"/>
      <c r="F41" s="105"/>
      <c r="G41" s="83"/>
      <c r="H41" s="88" t="s">
        <v>93</v>
      </c>
      <c r="I41" s="88"/>
      <c r="J41" s="57">
        <v>138</v>
      </c>
      <c r="K41" s="57">
        <v>81.08</v>
      </c>
      <c r="L41" s="57">
        <f>133.42+3.28</f>
        <v>136.69999999999999</v>
      </c>
      <c r="M41" s="57">
        <f>7.77+175.42</f>
        <v>183.19</v>
      </c>
    </row>
    <row r="42" spans="1:13" x14ac:dyDescent="0.25">
      <c r="A42" s="66" t="s">
        <v>151</v>
      </c>
      <c r="B42" s="67"/>
      <c r="C42" s="67" t="s">
        <v>67</v>
      </c>
      <c r="D42" s="67" t="s">
        <v>71</v>
      </c>
      <c r="E42" s="67" t="s">
        <v>73</v>
      </c>
      <c r="F42" s="67" t="s">
        <v>157</v>
      </c>
      <c r="G42" s="83"/>
      <c r="H42" s="88" t="s">
        <v>94</v>
      </c>
      <c r="I42" s="88"/>
      <c r="J42" s="57">
        <v>56.91</v>
      </c>
      <c r="K42" s="57">
        <v>84.33</v>
      </c>
      <c r="L42" s="57">
        <v>38.340000000000003</v>
      </c>
      <c r="M42" s="57">
        <v>69.849999999999994</v>
      </c>
    </row>
    <row r="43" spans="1:13" x14ac:dyDescent="0.25">
      <c r="A43" s="91" t="s">
        <v>117</v>
      </c>
      <c r="B43" s="91"/>
      <c r="C43" s="57">
        <v>24.84</v>
      </c>
      <c r="D43" s="57">
        <f>C48</f>
        <v>5.2799999999999976</v>
      </c>
      <c r="E43" s="57">
        <f t="shared" ref="E43" si="1">D48</f>
        <v>5.3300000000000018</v>
      </c>
      <c r="F43" s="58">
        <f>E48</f>
        <v>13.820000000000011</v>
      </c>
      <c r="G43" s="83"/>
      <c r="H43" s="88" t="s">
        <v>95</v>
      </c>
      <c r="I43" s="88"/>
      <c r="J43" s="57">
        <v>0</v>
      </c>
      <c r="K43" s="57">
        <v>2.9</v>
      </c>
      <c r="L43" s="57">
        <v>3.45</v>
      </c>
      <c r="M43" s="57">
        <v>4.0599999999999996</v>
      </c>
    </row>
    <row r="44" spans="1:13" x14ac:dyDescent="0.25">
      <c r="A44" s="92" t="s">
        <v>118</v>
      </c>
      <c r="B44" s="84"/>
      <c r="C44" s="57">
        <v>115.94</v>
      </c>
      <c r="D44" s="57">
        <v>160.21</v>
      </c>
      <c r="E44" s="57">
        <v>156.46</v>
      </c>
      <c r="F44" s="58">
        <v>27.41</v>
      </c>
      <c r="G44" s="83"/>
      <c r="H44" s="85" t="s">
        <v>96</v>
      </c>
      <c r="I44" s="85"/>
      <c r="J44" s="57">
        <v>11.51</v>
      </c>
      <c r="K44" s="57">
        <v>8.99</v>
      </c>
      <c r="L44" s="57">
        <v>35.35</v>
      </c>
      <c r="M44" s="57">
        <v>57.82</v>
      </c>
    </row>
    <row r="45" spans="1:13" x14ac:dyDescent="0.25">
      <c r="A45" s="92" t="s">
        <v>119</v>
      </c>
      <c r="B45" s="84"/>
      <c r="C45" s="57">
        <v>-66.25</v>
      </c>
      <c r="D45" s="57">
        <v>-123.95</v>
      </c>
      <c r="E45" s="57">
        <v>-29.92</v>
      </c>
      <c r="F45" s="58">
        <v>-919.32</v>
      </c>
      <c r="G45" s="83"/>
      <c r="H45" s="85" t="s">
        <v>11</v>
      </c>
      <c r="I45" s="85"/>
      <c r="J45" s="57">
        <v>9.98</v>
      </c>
      <c r="K45" s="57">
        <v>6.16</v>
      </c>
      <c r="L45" s="57">
        <v>4.9800000000000004</v>
      </c>
      <c r="M45" s="57">
        <v>6.86</v>
      </c>
    </row>
    <row r="46" spans="1:13" x14ac:dyDescent="0.25">
      <c r="A46" s="92" t="s">
        <v>120</v>
      </c>
      <c r="B46" s="84"/>
      <c r="C46" s="57">
        <v>-69.25</v>
      </c>
      <c r="D46" s="57">
        <v>-36.21</v>
      </c>
      <c r="E46" s="57">
        <v>-118.05</v>
      </c>
      <c r="F46" s="58">
        <v>893.34</v>
      </c>
      <c r="G46" s="83"/>
      <c r="H46" s="85" t="s">
        <v>97</v>
      </c>
      <c r="I46" s="85"/>
      <c r="J46" s="71">
        <v>16.920000000000002</v>
      </c>
      <c r="K46" s="71">
        <v>0.05</v>
      </c>
      <c r="L46" s="72" t="s">
        <v>72</v>
      </c>
      <c r="M46" s="72">
        <v>0</v>
      </c>
    </row>
    <row r="47" spans="1:13" x14ac:dyDescent="0.25">
      <c r="A47" s="55" t="s">
        <v>121</v>
      </c>
      <c r="B47" s="55"/>
      <c r="C47" s="62">
        <f>C44+C45+C46</f>
        <v>-19.560000000000002</v>
      </c>
      <c r="D47" s="62">
        <f>D44+D45+D46</f>
        <v>5.0000000000004263E-2</v>
      </c>
      <c r="E47" s="62">
        <f>E44+E45+E46</f>
        <v>8.4900000000000091</v>
      </c>
      <c r="F47" s="63">
        <f>F44+F45+F46</f>
        <v>1.42999999999995</v>
      </c>
      <c r="G47" s="83"/>
      <c r="H47" s="49" t="s">
        <v>149</v>
      </c>
      <c r="I47" s="49"/>
      <c r="J47" s="73">
        <f>SUM(J48:J51,J8)</f>
        <v>298.51</v>
      </c>
      <c r="K47" s="73">
        <f t="shared" ref="K47:L47" si="2">SUM(K48:K51,K8)</f>
        <v>302.82000000000005</v>
      </c>
      <c r="L47" s="73">
        <f>SUM(L48:L51,L8)</f>
        <v>165.32999999999998</v>
      </c>
      <c r="M47" s="73">
        <f>SUM(M48:M51,M8)</f>
        <v>91.860000000000014</v>
      </c>
    </row>
    <row r="48" spans="1:13" x14ac:dyDescent="0.25">
      <c r="A48" s="49" t="s">
        <v>122</v>
      </c>
      <c r="B48" s="49"/>
      <c r="C48" s="61">
        <f>C43+C47</f>
        <v>5.2799999999999976</v>
      </c>
      <c r="D48" s="61">
        <f>D43+D47</f>
        <v>5.3300000000000018</v>
      </c>
      <c r="E48" s="61">
        <f>E43+E47</f>
        <v>13.820000000000011</v>
      </c>
      <c r="F48" s="61">
        <f>F43+F47</f>
        <v>15.249999999999961</v>
      </c>
      <c r="G48" s="83"/>
      <c r="H48" s="85" t="s">
        <v>98</v>
      </c>
      <c r="I48" s="85"/>
      <c r="J48" s="57">
        <v>39.64</v>
      </c>
      <c r="K48" s="57">
        <v>45.99</v>
      </c>
      <c r="L48" s="57">
        <v>52.56</v>
      </c>
      <c r="M48" s="57">
        <v>68.98</v>
      </c>
    </row>
    <row r="49" spans="1:14" x14ac:dyDescent="0.25">
      <c r="A49" s="104"/>
      <c r="B49" s="104"/>
      <c r="C49" s="104"/>
      <c r="D49" s="104"/>
      <c r="E49" s="104"/>
      <c r="F49" s="105"/>
      <c r="G49" s="83"/>
      <c r="H49" s="85" t="s">
        <v>99</v>
      </c>
      <c r="I49" s="85"/>
      <c r="J49" s="57">
        <v>0</v>
      </c>
      <c r="K49" s="57">
        <v>0</v>
      </c>
      <c r="L49" s="57">
        <v>0</v>
      </c>
      <c r="M49" s="57">
        <v>0</v>
      </c>
    </row>
    <row r="50" spans="1:14" x14ac:dyDescent="0.25">
      <c r="A50" s="66" t="s">
        <v>123</v>
      </c>
      <c r="B50" s="67"/>
      <c r="C50" s="67" t="s">
        <v>67</v>
      </c>
      <c r="D50" s="67" t="s">
        <v>71</v>
      </c>
      <c r="E50" s="67" t="s">
        <v>73</v>
      </c>
      <c r="F50" s="67" t="s">
        <v>157</v>
      </c>
      <c r="G50" s="83"/>
      <c r="H50" s="85" t="s">
        <v>70</v>
      </c>
      <c r="I50" s="85"/>
      <c r="J50" s="57">
        <v>0</v>
      </c>
      <c r="K50" s="57">
        <v>14.89</v>
      </c>
      <c r="L50" s="57">
        <v>11.43</v>
      </c>
      <c r="M50" s="57">
        <v>7.37</v>
      </c>
    </row>
    <row r="51" spans="1:14" x14ac:dyDescent="0.25">
      <c r="A51" s="43" t="s">
        <v>124</v>
      </c>
      <c r="B51" s="42"/>
      <c r="C51" s="57">
        <f>C44</f>
        <v>115.94</v>
      </c>
      <c r="D51" s="57">
        <f>D44</f>
        <v>160.21</v>
      </c>
      <c r="E51" s="57">
        <f>E44</f>
        <v>156.46</v>
      </c>
      <c r="F51" s="58">
        <f>F44</f>
        <v>27.41</v>
      </c>
      <c r="G51" s="83"/>
      <c r="H51" s="85" t="s">
        <v>100</v>
      </c>
      <c r="I51" s="85"/>
      <c r="J51" s="57">
        <v>21.13</v>
      </c>
      <c r="K51" s="57">
        <v>36.950000000000003</v>
      </c>
      <c r="L51" s="57">
        <v>9.2799999999999994</v>
      </c>
      <c r="M51" s="57">
        <v>4.83</v>
      </c>
    </row>
    <row r="52" spans="1:14" x14ac:dyDescent="0.25">
      <c r="A52" s="54" t="s">
        <v>125</v>
      </c>
      <c r="B52" s="54"/>
      <c r="C52" s="59">
        <f>-68.81+1.03</f>
        <v>-67.78</v>
      </c>
      <c r="D52" s="59">
        <f>-98.61+6.49</f>
        <v>-92.12</v>
      </c>
      <c r="E52" s="59">
        <f>-107.45+1.57</f>
        <v>-105.88000000000001</v>
      </c>
      <c r="F52" s="60">
        <f>-272.94+0.36</f>
        <v>-272.58</v>
      </c>
      <c r="G52" s="83"/>
      <c r="H52" s="49" t="s">
        <v>10</v>
      </c>
      <c r="I52" s="49"/>
      <c r="J52" s="61">
        <f>J14+J27</f>
        <v>1456.17</v>
      </c>
      <c r="K52" s="61">
        <f t="shared" ref="K52:M52" si="3">K14+K27</f>
        <v>1703.86</v>
      </c>
      <c r="L52" s="61">
        <f t="shared" si="3"/>
        <v>1886.8400000000001</v>
      </c>
      <c r="M52" s="61">
        <f t="shared" si="3"/>
        <v>3196.62</v>
      </c>
    </row>
    <row r="53" spans="1:14" x14ac:dyDescent="0.25">
      <c r="A53" s="49" t="s">
        <v>20</v>
      </c>
      <c r="B53" s="49"/>
      <c r="C53" s="61">
        <f>C51+C52</f>
        <v>48.16</v>
      </c>
      <c r="D53" s="61">
        <f t="shared" ref="D53:F53" si="4">D51+D52</f>
        <v>68.09</v>
      </c>
      <c r="E53" s="61">
        <f>E51+E52</f>
        <v>50.58</v>
      </c>
      <c r="F53" s="61">
        <f>F51+F52</f>
        <v>-245.17</v>
      </c>
      <c r="G53" s="83"/>
      <c r="H53" s="49" t="s">
        <v>155</v>
      </c>
      <c r="I53" s="49"/>
      <c r="J53" s="61">
        <f>J47+J39+J6</f>
        <v>1456.17</v>
      </c>
      <c r="K53" s="61">
        <f t="shared" ref="K53:L53" si="5">K47+K39+K6</f>
        <v>1703.8600000000001</v>
      </c>
      <c r="L53" s="61">
        <f t="shared" si="5"/>
        <v>1886.84</v>
      </c>
      <c r="M53" s="61">
        <f>M47+M39+M6</f>
        <v>3196.62</v>
      </c>
    </row>
    <row r="54" spans="1:14" x14ac:dyDescent="0.25">
      <c r="A54" s="106"/>
      <c r="B54" s="106"/>
      <c r="C54" s="106"/>
      <c r="D54" s="106"/>
      <c r="E54" s="106"/>
      <c r="F54" s="107"/>
      <c r="G54" s="83"/>
    </row>
    <row r="55" spans="1:14" x14ac:dyDescent="0.25">
      <c r="A55" s="66" t="s">
        <v>123</v>
      </c>
      <c r="B55" s="67"/>
      <c r="C55" s="67" t="s">
        <v>67</v>
      </c>
      <c r="D55" s="67" t="s">
        <v>71</v>
      </c>
      <c r="E55" s="67" t="s">
        <v>73</v>
      </c>
      <c r="F55" s="67" t="s">
        <v>157</v>
      </c>
      <c r="G55" s="83"/>
      <c r="H55" s="89"/>
      <c r="I55" s="93"/>
      <c r="J55" s="93"/>
      <c r="K55" s="93"/>
      <c r="L55" s="93"/>
      <c r="M55" s="93"/>
    </row>
    <row r="56" spans="1:14" x14ac:dyDescent="0.25">
      <c r="A56" s="89" t="s">
        <v>126</v>
      </c>
      <c r="B56" s="89"/>
      <c r="C56" s="57">
        <v>0</v>
      </c>
      <c r="D56" s="57">
        <v>0</v>
      </c>
      <c r="E56" s="57">
        <v>0</v>
      </c>
      <c r="F56" s="58">
        <f>12697800/10^6</f>
        <v>12.697800000000001</v>
      </c>
      <c r="G56" s="83"/>
      <c r="H56" s="66" t="s">
        <v>152</v>
      </c>
      <c r="I56" s="67"/>
      <c r="J56" s="67" t="s">
        <v>67</v>
      </c>
      <c r="K56" s="67" t="s">
        <v>71</v>
      </c>
      <c r="L56" s="67" t="s">
        <v>73</v>
      </c>
      <c r="M56" s="67" t="s">
        <v>157</v>
      </c>
    </row>
    <row r="57" spans="1:14" x14ac:dyDescent="0.25">
      <c r="A57" s="89" t="s">
        <v>148</v>
      </c>
      <c r="B57" s="89"/>
      <c r="C57" s="57">
        <v>0</v>
      </c>
      <c r="D57" s="57">
        <v>0</v>
      </c>
      <c r="E57" s="57">
        <v>0</v>
      </c>
      <c r="F57" s="58">
        <v>10</v>
      </c>
      <c r="G57" s="83"/>
      <c r="H57" s="56" t="s">
        <v>130</v>
      </c>
      <c r="I57" s="56"/>
      <c r="J57" s="75">
        <v>0</v>
      </c>
      <c r="K57" s="75">
        <v>0</v>
      </c>
      <c r="L57" s="75">
        <v>0</v>
      </c>
      <c r="M57" s="75">
        <v>798.6</v>
      </c>
    </row>
    <row r="58" spans="1:14" x14ac:dyDescent="0.25">
      <c r="A58" s="94" t="s">
        <v>34</v>
      </c>
      <c r="B58" s="94"/>
      <c r="C58" s="59">
        <v>0</v>
      </c>
      <c r="D58" s="59">
        <v>0</v>
      </c>
      <c r="E58" s="59">
        <v>0</v>
      </c>
      <c r="F58" s="60">
        <f>M57*F56</f>
        <v>10140.463080000001</v>
      </c>
      <c r="G58" s="83"/>
      <c r="H58" s="56" t="s">
        <v>131</v>
      </c>
      <c r="I58" s="56"/>
      <c r="J58" s="74">
        <f>C38</f>
        <v>6.44</v>
      </c>
      <c r="K58" s="74">
        <f>D38</f>
        <v>23.56</v>
      </c>
      <c r="L58" s="74">
        <f>E38</f>
        <v>21.77</v>
      </c>
      <c r="M58" s="74">
        <f>F38</f>
        <v>22.56</v>
      </c>
    </row>
    <row r="59" spans="1:14" x14ac:dyDescent="0.25">
      <c r="A59" s="94" t="s">
        <v>22</v>
      </c>
      <c r="B59" s="94"/>
      <c r="C59" s="59">
        <f>J10</f>
        <v>568.92000000000007</v>
      </c>
      <c r="D59" s="59">
        <f>K10</f>
        <v>585.98</v>
      </c>
      <c r="E59" s="59">
        <f>L10</f>
        <v>550.28</v>
      </c>
      <c r="F59" s="59">
        <f>M10</f>
        <v>231.17000000000002</v>
      </c>
      <c r="G59" s="83"/>
      <c r="H59" s="45" t="s">
        <v>132</v>
      </c>
      <c r="I59" s="45"/>
      <c r="J59" s="76" t="s">
        <v>156</v>
      </c>
      <c r="K59" s="77" t="s">
        <v>156</v>
      </c>
      <c r="L59" s="77" t="s">
        <v>156</v>
      </c>
      <c r="M59" s="78">
        <f>M6/F56</f>
        <v>201.8058246310384</v>
      </c>
    </row>
    <row r="60" spans="1:14" x14ac:dyDescent="0.25">
      <c r="A60" s="94" t="s">
        <v>127</v>
      </c>
      <c r="B60" s="94"/>
      <c r="C60" s="59">
        <f t="shared" ref="C60:F61" si="6">J32</f>
        <v>5.29</v>
      </c>
      <c r="D60" s="59">
        <f t="shared" si="6"/>
        <v>5.34</v>
      </c>
      <c r="E60" s="59">
        <f t="shared" si="6"/>
        <v>13.83</v>
      </c>
      <c r="F60" s="59">
        <f>M32</f>
        <v>15.26</v>
      </c>
      <c r="G60" s="83"/>
      <c r="H60" s="45" t="s">
        <v>133</v>
      </c>
      <c r="I60" s="45"/>
      <c r="J60" s="79">
        <v>0</v>
      </c>
      <c r="K60" s="79">
        <v>0</v>
      </c>
      <c r="L60" s="79">
        <v>0</v>
      </c>
      <c r="M60" s="79">
        <v>0</v>
      </c>
    </row>
    <row r="61" spans="1:14" x14ac:dyDescent="0.25">
      <c r="A61" s="94" t="s">
        <v>128</v>
      </c>
      <c r="B61" s="94"/>
      <c r="C61" s="59">
        <f t="shared" si="6"/>
        <v>21.42</v>
      </c>
      <c r="D61" s="59">
        <f t="shared" si="6"/>
        <v>114.69</v>
      </c>
      <c r="E61" s="59">
        <f t="shared" si="6"/>
        <v>27.17</v>
      </c>
      <c r="F61" s="59">
        <f>M33</f>
        <v>579.08000000000004</v>
      </c>
      <c r="G61" s="83"/>
      <c r="H61" s="45" t="s">
        <v>134</v>
      </c>
      <c r="I61" s="45"/>
      <c r="J61" s="76" t="s">
        <v>156</v>
      </c>
      <c r="K61" s="77" t="s">
        <v>156</v>
      </c>
      <c r="L61" s="77" t="s">
        <v>156</v>
      </c>
      <c r="M61" s="69">
        <f>M57/M58</f>
        <v>35.398936170212771</v>
      </c>
    </row>
    <row r="62" spans="1:14" x14ac:dyDescent="0.25">
      <c r="A62" s="49" t="s">
        <v>129</v>
      </c>
      <c r="B62" s="49"/>
      <c r="C62" s="61">
        <f>(C58+C59)-(C60+C61)</f>
        <v>542.21</v>
      </c>
      <c r="D62" s="61">
        <f>(D58+D59)-(D60+D61)</f>
        <v>465.95000000000005</v>
      </c>
      <c r="E62" s="61">
        <f>(E58+E59)-(E60+E61)</f>
        <v>509.28</v>
      </c>
      <c r="F62" s="61">
        <f>(F58+F59)-(F60+F61)</f>
        <v>9777.2930800000013</v>
      </c>
      <c r="G62" s="83"/>
      <c r="H62" s="45" t="s">
        <v>135</v>
      </c>
      <c r="I62" s="45"/>
      <c r="J62" s="76" t="s">
        <v>156</v>
      </c>
      <c r="K62" s="77" t="s">
        <v>156</v>
      </c>
      <c r="L62" s="77" t="s">
        <v>156</v>
      </c>
      <c r="M62" s="69">
        <f>M57/M59</f>
        <v>3.9572693278803048</v>
      </c>
      <c r="N62" s="95"/>
    </row>
    <row r="63" spans="1:14" x14ac:dyDescent="0.25">
      <c r="G63" s="83"/>
      <c r="H63" s="45" t="s">
        <v>136</v>
      </c>
      <c r="I63" s="45"/>
      <c r="J63" s="76" t="s">
        <v>156</v>
      </c>
      <c r="K63" s="77" t="s">
        <v>156</v>
      </c>
      <c r="L63" s="77" t="s">
        <v>156</v>
      </c>
      <c r="M63" s="69">
        <f>F62/F12</f>
        <v>23.973942770271936</v>
      </c>
    </row>
    <row r="64" spans="1:14" x14ac:dyDescent="0.25">
      <c r="G64" s="83"/>
      <c r="H64" s="56" t="s">
        <v>137</v>
      </c>
      <c r="I64" s="56"/>
      <c r="J64" s="80">
        <f>C26/J6</f>
        <v>0.11179108503607808</v>
      </c>
      <c r="K64" s="80">
        <f>D26/K6</f>
        <v>0.28943027231214297</v>
      </c>
      <c r="L64" s="80">
        <f>E26/L6</f>
        <v>0.21382136394535067</v>
      </c>
      <c r="M64" s="80">
        <f>F26/M6</f>
        <v>0.10474967707191049</v>
      </c>
    </row>
    <row r="65" spans="7:13" x14ac:dyDescent="0.25">
      <c r="G65" s="83"/>
      <c r="H65" s="56" t="s">
        <v>138</v>
      </c>
      <c r="I65" s="56"/>
      <c r="J65" s="80">
        <f>(C12-C16)/J11</f>
        <v>0.15032467168347044</v>
      </c>
      <c r="K65" s="80">
        <f>(D12-D16)/K11</f>
        <v>0.18642922342367646</v>
      </c>
      <c r="L65" s="80">
        <f>(E12-E16)/L11</f>
        <v>0.26364688378244372</v>
      </c>
      <c r="M65" s="80">
        <f>(F12-F16)/M11</f>
        <v>0.12362348597585093</v>
      </c>
    </row>
    <row r="66" spans="7:13" x14ac:dyDescent="0.25">
      <c r="G66" s="83"/>
      <c r="H66" s="45" t="s">
        <v>139</v>
      </c>
      <c r="I66" s="45"/>
      <c r="J66" s="78">
        <f>C59/J6</f>
        <v>0.95913412907141427</v>
      </c>
      <c r="K66" s="78">
        <f>D59/K6</f>
        <v>0.70048055084036631</v>
      </c>
      <c r="L66" s="78">
        <f>E59/L6</f>
        <v>0.52685093875362621</v>
      </c>
      <c r="M66" s="78">
        <f>F59/M6</f>
        <v>9.021303497769749E-2</v>
      </c>
    </row>
    <row r="67" spans="7:13" x14ac:dyDescent="0.25">
      <c r="G67" s="83"/>
      <c r="H67" s="56" t="s">
        <v>140</v>
      </c>
      <c r="I67" s="56"/>
      <c r="J67" s="74">
        <f>(C59-C60-C61)/J6</f>
        <v>0.91410412030480848</v>
      </c>
      <c r="K67" s="74">
        <f>(D59-D60-D61)/K6</f>
        <v>0.55699667678772091</v>
      </c>
      <c r="L67" s="74">
        <f>(E59-E60-E61)/L6</f>
        <v>0.48759658008367873</v>
      </c>
      <c r="M67" s="74">
        <f>(F59-F60-F61)/M6</f>
        <v>-0.14172543112363367</v>
      </c>
    </row>
    <row r="68" spans="7:13" x14ac:dyDescent="0.25">
      <c r="G68" s="83"/>
      <c r="H68" s="45" t="s">
        <v>141</v>
      </c>
      <c r="I68" s="45"/>
      <c r="J68" s="76" t="s">
        <v>156</v>
      </c>
      <c r="K68" s="76" t="s">
        <v>156</v>
      </c>
      <c r="L68" s="76" t="s">
        <v>156</v>
      </c>
      <c r="M68" s="78" t="s">
        <v>156</v>
      </c>
    </row>
    <row r="69" spans="7:13" x14ac:dyDescent="0.25">
      <c r="G69" s="83"/>
      <c r="H69" s="45" t="s">
        <v>142</v>
      </c>
      <c r="I69" s="45"/>
      <c r="J69" s="76" t="s">
        <v>156</v>
      </c>
      <c r="K69" s="69">
        <f>AVERAGE(J31:K31/(D4)*365)</f>
        <v>66.095518689753106</v>
      </c>
      <c r="L69" s="69">
        <f>AVERAGE(K31:L31/(E4)*365)</f>
        <v>84.639143700690212</v>
      </c>
      <c r="M69" s="69">
        <f>AVERAGE(L31:M31/(F4)*365)</f>
        <v>108.7595181533416</v>
      </c>
    </row>
    <row r="70" spans="7:13" x14ac:dyDescent="0.25">
      <c r="G70" s="83"/>
      <c r="H70" s="85" t="s">
        <v>143</v>
      </c>
      <c r="I70" s="85"/>
      <c r="J70" s="76" t="s">
        <v>156</v>
      </c>
      <c r="K70" s="69">
        <f>(AVERAGE(J41:K41)/(D7)*365)</f>
        <v>28.942964072939965</v>
      </c>
      <c r="L70" s="69">
        <f>(AVERAGE(K41:L41)/(E7)*365)</f>
        <v>24.266032920604687</v>
      </c>
      <c r="M70" s="69">
        <f>(AVERAGE(L41:M41)/(F7)*365)</f>
        <v>29.626659460446987</v>
      </c>
    </row>
    <row r="71" spans="7:13" x14ac:dyDescent="0.25">
      <c r="G71" s="83"/>
      <c r="H71" s="85" t="s">
        <v>25</v>
      </c>
      <c r="I71" s="85"/>
      <c r="J71" s="76" t="s">
        <v>156</v>
      </c>
      <c r="K71" s="69">
        <f>(AVERAGE(J28:K28)/(D8+D9))*365</f>
        <v>288.22261150788307</v>
      </c>
      <c r="L71" s="69">
        <f>(AVERAGE(K28:L28)/(E8+E9))*365</f>
        <v>250.1211826410626</v>
      </c>
      <c r="M71" s="69">
        <f>(AVERAGE(L28:M28)/(F8+F9))*365</f>
        <v>239.96132417921319</v>
      </c>
    </row>
    <row r="72" spans="7:13" x14ac:dyDescent="0.25">
      <c r="G72" s="83"/>
      <c r="H72" s="96" t="s">
        <v>144</v>
      </c>
      <c r="I72" s="96"/>
      <c r="J72" s="97" t="s">
        <v>156</v>
      </c>
      <c r="K72" s="81">
        <f>K71+K69-K70</f>
        <v>325.37516612469619</v>
      </c>
      <c r="L72" s="81">
        <f>L71+L69-L70</f>
        <v>310.49429342114814</v>
      </c>
      <c r="M72" s="81">
        <f>M71+M69-M70</f>
        <v>319.09418287210781</v>
      </c>
    </row>
    <row r="73" spans="7:13" x14ac:dyDescent="0.25">
      <c r="G73" s="83"/>
      <c r="H73" s="45" t="s">
        <v>42</v>
      </c>
      <c r="I73" s="45"/>
      <c r="J73" s="76" t="s">
        <v>156</v>
      </c>
      <c r="K73" s="78">
        <f>D4/(AVERAGE(J15:K15))</f>
        <v>4.3255430946592428</v>
      </c>
      <c r="L73" s="78">
        <f>E4/(AVERAGE(K15:L15))</f>
        <v>5.1003084671073342</v>
      </c>
      <c r="M73" s="78">
        <f>F4/(AVERAGE(L15:M15))</f>
        <v>4.6664966203290401</v>
      </c>
    </row>
    <row r="74" spans="7:13" x14ac:dyDescent="0.25">
      <c r="G74" s="98"/>
      <c r="H74" s="56" t="s">
        <v>35</v>
      </c>
      <c r="I74" s="56"/>
      <c r="J74" s="74">
        <f>(C19+C17)/C17</f>
        <v>3.3093377211024286</v>
      </c>
      <c r="K74" s="74">
        <f>(D19+D17)/D17</f>
        <v>4.4298449612403106</v>
      </c>
      <c r="L74" s="74">
        <f>(E19+E17)/E17</f>
        <v>5.4931596091205277</v>
      </c>
      <c r="M74" s="74">
        <f>(F19+F17)/F17</f>
        <v>9.78011572856391</v>
      </c>
    </row>
  </sheetData>
  <mergeCells count="8">
    <mergeCell ref="A1:M1"/>
    <mergeCell ref="A41:F41"/>
    <mergeCell ref="A49:F49"/>
    <mergeCell ref="A54:F54"/>
    <mergeCell ref="H38:M38"/>
    <mergeCell ref="H13:M13"/>
    <mergeCell ref="A2:F2"/>
    <mergeCell ref="H2:M2"/>
  </mergeCells>
  <pageMargins left="0.7" right="0.7" top="0.75" bottom="0.75" header="0.3" footer="0.3"/>
  <pageSetup orientation="portrait" r:id="rId1"/>
  <ignoredErrors>
    <ignoredError sqref="J10:K10 K69:L73 L10:M10 M69:M7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Peer Analysis</vt:lpstr>
      <vt:lpstr>Summary Sheet</vt:lpstr>
      <vt:lpstr>'Peer Analysis'!Print_Area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2023-01-09T10:48:40Z</cp:lastPrinted>
  <dcterms:created xsi:type="dcterms:W3CDTF">2021-01-27T07:46:46Z</dcterms:created>
  <dcterms:modified xsi:type="dcterms:W3CDTF">2025-06-04T07:39:59Z</dcterms:modified>
</cp:coreProperties>
</file>