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2a0939aee27bb1/Desktop/Mallcom(India)/"/>
    </mc:Choice>
  </mc:AlternateContent>
  <xr:revisionPtr revIDLastSave="0" documentId="8_{C29B21C7-8513-4B43-8CE0-8CDA094FB67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allcom Consolidated" sheetId="1" r:id="rId1"/>
    <sheet name="Sheet1" sheetId="3" r:id="rId2"/>
    <sheet name="peer sheet" sheetId="2" state="hidden" r:id="rId3"/>
  </sheets>
  <definedNames>
    <definedName name="_xlnm.Print_Area" localSheetId="0">'Mallcom Consolidated'!$B$2:$U$75</definedName>
    <definedName name="_xlnm.Print_Area" localSheetId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2" i="1" l="1"/>
  <c r="O72" i="1"/>
  <c r="P72" i="1"/>
  <c r="Q72" i="1"/>
  <c r="R72" i="1"/>
  <c r="S72" i="1"/>
  <c r="T72" i="1"/>
  <c r="M72" i="1"/>
  <c r="T71" i="1"/>
  <c r="S70" i="1"/>
  <c r="T69" i="1"/>
  <c r="N68" i="1"/>
  <c r="O67" i="1"/>
  <c r="P67" i="1"/>
  <c r="Q67" i="1"/>
  <c r="R67" i="1"/>
  <c r="S67" i="1"/>
  <c r="T67" i="1"/>
  <c r="N67" i="1"/>
  <c r="O66" i="1"/>
  <c r="P66" i="1"/>
  <c r="Q66" i="1"/>
  <c r="R66" i="1"/>
  <c r="S66" i="1"/>
  <c r="T66" i="1"/>
  <c r="N66" i="1"/>
  <c r="T65" i="1"/>
  <c r="T64" i="1"/>
  <c r="T62" i="1"/>
  <c r="T60" i="1"/>
  <c r="T59" i="1"/>
  <c r="T58" i="1"/>
  <c r="T57" i="1"/>
  <c r="T55" i="1"/>
  <c r="T49" i="1"/>
  <c r="T42" i="1"/>
  <c r="T15" i="1"/>
  <c r="J57" i="1"/>
  <c r="J53" i="1"/>
  <c r="I47" i="1"/>
  <c r="J37" i="1"/>
  <c r="J36" i="1"/>
  <c r="J29" i="1"/>
  <c r="T54" i="1"/>
  <c r="J7" i="1" l="1"/>
  <c r="J6" i="1"/>
  <c r="J8" i="1"/>
  <c r="J15" i="1" l="1"/>
  <c r="J18" i="1" l="1"/>
  <c r="T68" i="1"/>
  <c r="J59" i="1"/>
  <c r="J51" i="1" l="1"/>
  <c r="J46" i="1"/>
  <c r="T43" i="1"/>
  <c r="T12" i="1" s="1"/>
  <c r="T35" i="1"/>
  <c r="T24" i="1"/>
  <c r="T11" i="1"/>
  <c r="T7" i="1"/>
  <c r="T70" i="1" l="1"/>
  <c r="J58" i="1"/>
  <c r="J60" i="1" s="1"/>
  <c r="T48" i="1"/>
  <c r="T13" i="1" s="1"/>
  <c r="T63" i="1"/>
  <c r="T61" i="1"/>
  <c r="I8" i="1"/>
  <c r="J24" i="1" l="1"/>
  <c r="J26" i="1" s="1"/>
  <c r="S54" i="1"/>
  <c r="R54" i="1"/>
  <c r="C8" i="1"/>
  <c r="C15" i="1" s="1"/>
  <c r="J27" i="1" l="1"/>
  <c r="C18" i="1"/>
  <c r="C24" i="1"/>
  <c r="I57" i="1"/>
  <c r="S35" i="1"/>
  <c r="S57" i="1"/>
  <c r="S64" i="1"/>
  <c r="S65" i="1"/>
  <c r="I25" i="1"/>
  <c r="I6" i="1"/>
  <c r="J32" i="1" l="1"/>
  <c r="J28" i="1"/>
  <c r="C26" i="1"/>
  <c r="C27" i="1"/>
  <c r="I7" i="1"/>
  <c r="I15" i="1"/>
  <c r="J16" i="1" s="1"/>
  <c r="I36" i="1"/>
  <c r="I37" i="1"/>
  <c r="C32" i="1" l="1"/>
  <c r="C28" i="1"/>
  <c r="S71" i="1"/>
  <c r="I24" i="1"/>
  <c r="I26" i="1" s="1"/>
  <c r="I18" i="1"/>
  <c r="S68" i="1" l="1"/>
  <c r="I27" i="1"/>
  <c r="O65" i="1"/>
  <c r="N65" i="1"/>
  <c r="I32" i="1" l="1"/>
  <c r="J33" i="1" s="1"/>
  <c r="I28" i="1"/>
  <c r="R65" i="1" l="1"/>
  <c r="I46" i="1" l="1"/>
  <c r="I51" i="1"/>
  <c r="I53" i="1" s="1"/>
  <c r="I59" i="1"/>
  <c r="S43" i="1"/>
  <c r="S7" i="1" l="1"/>
  <c r="S11" i="1"/>
  <c r="S15" i="1"/>
  <c r="S24" i="1"/>
  <c r="S62" i="1" l="1"/>
  <c r="S63" i="1"/>
  <c r="S55" i="1"/>
  <c r="S58" i="1" s="1"/>
  <c r="S60" i="1"/>
  <c r="I58" i="1"/>
  <c r="I60" i="1" s="1"/>
  <c r="S59" i="1" s="1"/>
  <c r="S48" i="1"/>
  <c r="S13" i="1" s="1"/>
  <c r="S42" i="1"/>
  <c r="S69" i="1" s="1"/>
  <c r="S12" i="1"/>
  <c r="S61" i="1" s="1"/>
  <c r="S49" i="1"/>
  <c r="R64" i="1" l="1"/>
  <c r="R43" i="1" l="1"/>
  <c r="H46" i="1" l="1"/>
  <c r="R57" i="1"/>
  <c r="R35" i="1"/>
  <c r="R7" i="1"/>
  <c r="R12" i="1" s="1"/>
  <c r="H36" i="1"/>
  <c r="H37" i="1"/>
  <c r="H6" i="1"/>
  <c r="H7" i="1"/>
  <c r="R55" i="1" l="1"/>
  <c r="R58" i="1" s="1"/>
  <c r="H57" i="1"/>
  <c r="R11" i="1" l="1"/>
  <c r="R63" i="1" s="1"/>
  <c r="R24" i="1"/>
  <c r="R15" i="1"/>
  <c r="R70" i="1" l="1"/>
  <c r="R62" i="1"/>
  <c r="R42" i="1"/>
  <c r="R69" i="1" s="1"/>
  <c r="R48" i="1"/>
  <c r="R13" i="1" s="1"/>
  <c r="R49" i="1"/>
  <c r="H59" i="1"/>
  <c r="H58" i="1"/>
  <c r="H51" i="1"/>
  <c r="H53" i="1" s="1"/>
  <c r="P7" i="1"/>
  <c r="P35" i="1"/>
  <c r="P43" i="1"/>
  <c r="Q43" i="1"/>
  <c r="M35" i="1"/>
  <c r="P24" i="1"/>
  <c r="O35" i="1"/>
  <c r="Q35" i="1"/>
  <c r="N35" i="1"/>
  <c r="M15" i="1"/>
  <c r="O43" i="1"/>
  <c r="N43" i="1"/>
  <c r="M43" i="1"/>
  <c r="P42" i="1" l="1"/>
  <c r="P69" i="1" s="1"/>
  <c r="P49" i="1"/>
  <c r="H60" i="1"/>
  <c r="P12" i="1"/>
  <c r="E25" i="1"/>
  <c r="G8" i="1"/>
  <c r="G15" i="1" s="1"/>
  <c r="Q7" i="1"/>
  <c r="Q12" i="1" s="1"/>
  <c r="Q15" i="1"/>
  <c r="Q24" i="1"/>
  <c r="Q42" i="1" s="1"/>
  <c r="Q69" i="1" s="1"/>
  <c r="H8" i="1"/>
  <c r="Q71" i="1" l="1"/>
  <c r="J17" i="1"/>
  <c r="H15" i="1"/>
  <c r="I16" i="1" s="1"/>
  <c r="G24" i="1"/>
  <c r="G26" i="1" s="1"/>
  <c r="Q49" i="1"/>
  <c r="Q48" i="1"/>
  <c r="Q13" i="1" s="1"/>
  <c r="Q65" i="1"/>
  <c r="Q64" i="1"/>
  <c r="G57" i="1"/>
  <c r="R59" i="1" l="1"/>
  <c r="R71" i="1"/>
  <c r="R68" i="1"/>
  <c r="G27" i="1"/>
  <c r="R61" i="1"/>
  <c r="H16" i="1"/>
  <c r="H18" i="1"/>
  <c r="H24" i="1"/>
  <c r="H27" i="1" s="1"/>
  <c r="G37" i="1"/>
  <c r="G36" i="1"/>
  <c r="G7" i="1"/>
  <c r="G6" i="1"/>
  <c r="F42" i="2"/>
  <c r="F43" i="2" s="1"/>
  <c r="G42" i="2"/>
  <c r="G43" i="2" s="1"/>
  <c r="H42" i="2"/>
  <c r="I42" i="2"/>
  <c r="G14" i="2"/>
  <c r="G7" i="2"/>
  <c r="G32" i="1" l="1"/>
  <c r="J34" i="1" s="1"/>
  <c r="R60" i="1"/>
  <c r="H26" i="1"/>
  <c r="H28" i="1"/>
  <c r="H32" i="1"/>
  <c r="I33" i="1" s="1"/>
  <c r="H46" i="2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H33" i="1" l="1"/>
  <c r="G46" i="2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G45" i="2" s="1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D26" i="2" s="1"/>
  <c r="E25" i="2"/>
  <c r="E26" i="2" s="1"/>
  <c r="D21" i="2" l="1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44" i="2"/>
  <c r="E20" i="2"/>
  <c r="E54" i="2" s="1"/>
  <c r="D20" i="2"/>
  <c r="D54" i="2" s="1"/>
  <c r="D46" i="2"/>
  <c r="D38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M68" i="1"/>
  <c r="E59" i="2" l="1"/>
  <c r="D59" i="2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57" i="1"/>
  <c r="E57" i="1"/>
  <c r="D57" i="1"/>
  <c r="C57" i="1"/>
  <c r="Q54" i="1" l="1"/>
  <c r="Q57" i="1" s="1"/>
  <c r="P54" i="1"/>
  <c r="P57" i="1" s="1"/>
  <c r="O54" i="1"/>
  <c r="O57" i="1" s="1"/>
  <c r="N54" i="1"/>
  <c r="N57" i="1" s="1"/>
  <c r="M54" i="1"/>
  <c r="M57" i="1" s="1"/>
  <c r="O64" i="1"/>
  <c r="P64" i="1"/>
  <c r="N64" i="1"/>
  <c r="M64" i="1"/>
  <c r="P65" i="1"/>
  <c r="G59" i="1" l="1"/>
  <c r="G51" i="1"/>
  <c r="G53" i="1" s="1"/>
  <c r="G46" i="1"/>
  <c r="Q11" i="1"/>
  <c r="Q63" i="1" s="1"/>
  <c r="Q55" i="1"/>
  <c r="Q58" i="1" s="1"/>
  <c r="Q70" i="1" l="1"/>
  <c r="Q62" i="1"/>
  <c r="G58" i="1"/>
  <c r="G60" i="1" s="1"/>
  <c r="Q59" i="1" s="1"/>
  <c r="F37" i="1"/>
  <c r="E37" i="1"/>
  <c r="F36" i="1"/>
  <c r="E36" i="1"/>
  <c r="D36" i="1"/>
  <c r="F7" i="1"/>
  <c r="F6" i="1"/>
  <c r="E6" i="1"/>
  <c r="D6" i="1"/>
  <c r="F59" i="1"/>
  <c r="E59" i="1"/>
  <c r="D59" i="1"/>
  <c r="C59" i="1"/>
  <c r="M11" i="1"/>
  <c r="N11" i="1"/>
  <c r="D58" i="1" s="1"/>
  <c r="M7" i="1"/>
  <c r="N7" i="1"/>
  <c r="M24" i="1"/>
  <c r="M42" i="1" s="1"/>
  <c r="M69" i="1" s="1"/>
  <c r="N24" i="1"/>
  <c r="N42" i="1" s="1"/>
  <c r="N69" i="1" s="1"/>
  <c r="N15" i="1"/>
  <c r="C51" i="1"/>
  <c r="C53" i="1" s="1"/>
  <c r="D51" i="1"/>
  <c r="D53" i="1" s="1"/>
  <c r="C46" i="1"/>
  <c r="D46" i="1"/>
  <c r="E46" i="1"/>
  <c r="M71" i="1"/>
  <c r="D8" i="1"/>
  <c r="E51" i="1"/>
  <c r="E53" i="1" s="1"/>
  <c r="F51" i="1"/>
  <c r="F53" i="1" s="1"/>
  <c r="F46" i="1"/>
  <c r="F47" i="1" s="1"/>
  <c r="G42" i="1" s="1"/>
  <c r="G47" i="1" s="1"/>
  <c r="P11" i="1"/>
  <c r="P63" i="1" s="1"/>
  <c r="O11" i="1"/>
  <c r="O15" i="1"/>
  <c r="P15" i="1"/>
  <c r="P48" i="1" s="1"/>
  <c r="O7" i="1"/>
  <c r="O24" i="1"/>
  <c r="O42" i="1" s="1"/>
  <c r="O69" i="1" s="1"/>
  <c r="E8" i="1"/>
  <c r="F8" i="1"/>
  <c r="H42" i="1" l="1"/>
  <c r="I42" i="1" s="1"/>
  <c r="J42" i="1" s="1"/>
  <c r="J47" i="1" s="1"/>
  <c r="O48" i="1"/>
  <c r="O13" i="1" s="1"/>
  <c r="O12" i="1"/>
  <c r="O49" i="1"/>
  <c r="N12" i="1"/>
  <c r="N49" i="1"/>
  <c r="O63" i="1"/>
  <c r="M12" i="1"/>
  <c r="M61" i="1" s="1"/>
  <c r="M49" i="1"/>
  <c r="P55" i="1"/>
  <c r="P58" i="1" s="1"/>
  <c r="O55" i="1"/>
  <c r="O58" i="1" s="1"/>
  <c r="M55" i="1"/>
  <c r="M58" i="1" s="1"/>
  <c r="N55" i="1"/>
  <c r="N58" i="1" s="1"/>
  <c r="D60" i="1"/>
  <c r="N48" i="1"/>
  <c r="N13" i="1" s="1"/>
  <c r="M48" i="1"/>
  <c r="M13" i="1" s="1"/>
  <c r="M63" i="1"/>
  <c r="M62" i="1"/>
  <c r="M70" i="1"/>
  <c r="F15" i="1"/>
  <c r="I17" i="1" s="1"/>
  <c r="C58" i="1"/>
  <c r="C60" i="1" s="1"/>
  <c r="M59" i="1" s="1"/>
  <c r="E15" i="1"/>
  <c r="O62" i="1"/>
  <c r="O70" i="1"/>
  <c r="D15" i="1"/>
  <c r="N71" i="1" s="1"/>
  <c r="N62" i="1"/>
  <c r="N63" i="1"/>
  <c r="N70" i="1"/>
  <c r="E58" i="1"/>
  <c r="E60" i="1" s="1"/>
  <c r="P62" i="1"/>
  <c r="P70" i="1"/>
  <c r="F58" i="1"/>
  <c r="F60" i="1" s="1"/>
  <c r="P13" i="1"/>
  <c r="O71" i="1" l="1"/>
  <c r="H17" i="1"/>
  <c r="F24" i="1"/>
  <c r="F27" i="1" s="1"/>
  <c r="P71" i="1"/>
  <c r="P61" i="1"/>
  <c r="Q68" i="1"/>
  <c r="E24" i="1"/>
  <c r="E27" i="1" s="1"/>
  <c r="P59" i="1"/>
  <c r="N61" i="1"/>
  <c r="F18" i="1"/>
  <c r="P68" i="1"/>
  <c r="O59" i="1"/>
  <c r="Q61" i="1"/>
  <c r="G17" i="1"/>
  <c r="G16" i="1"/>
  <c r="O61" i="1"/>
  <c r="O68" i="1"/>
  <c r="F16" i="1"/>
  <c r="F17" i="1"/>
  <c r="E18" i="1"/>
  <c r="E16" i="1"/>
  <c r="E17" i="1"/>
  <c r="D18" i="1"/>
  <c r="D16" i="1"/>
  <c r="D24" i="1"/>
  <c r="N59" i="1"/>
  <c r="G18" i="1"/>
  <c r="F28" i="1" l="1"/>
  <c r="I29" i="1"/>
  <c r="F26" i="1"/>
  <c r="E32" i="1"/>
  <c r="H34" i="1" s="1"/>
  <c r="H29" i="1"/>
  <c r="E26" i="1"/>
  <c r="F32" i="1"/>
  <c r="I34" i="1" s="1"/>
  <c r="E28" i="1"/>
  <c r="Q60" i="1"/>
  <c r="D27" i="1"/>
  <c r="G29" i="1" s="1"/>
  <c r="D26" i="1"/>
  <c r="M60" i="1"/>
  <c r="E29" i="1"/>
  <c r="P60" i="1"/>
  <c r="F29" i="1"/>
  <c r="G28" i="1"/>
  <c r="E34" i="1" l="1"/>
  <c r="F33" i="1"/>
  <c r="G33" i="1"/>
  <c r="F34" i="1"/>
  <c r="N60" i="1"/>
  <c r="D28" i="1"/>
  <c r="D32" i="1"/>
  <c r="G34" i="1" s="1"/>
  <c r="D33" i="1" l="1"/>
  <c r="E33" i="1"/>
</calcChain>
</file>

<file path=xl/sharedStrings.xml><?xml version="1.0" encoding="utf-8"?>
<sst xmlns="http://schemas.openxmlformats.org/spreadsheetml/2006/main" count="316" uniqueCount="166">
  <si>
    <t>Y/E, Mar (Rs. mn)</t>
  </si>
  <si>
    <t>Income</t>
  </si>
  <si>
    <t>Growth (%)</t>
  </si>
  <si>
    <t>CAGR (%) - 3 Years</t>
  </si>
  <si>
    <t>Expenditure</t>
  </si>
  <si>
    <t>Employee Benefit Expense</t>
  </si>
  <si>
    <t>Other Expenses</t>
  </si>
  <si>
    <t>EBITDA</t>
  </si>
  <si>
    <t>EBITDA margin (%)</t>
  </si>
  <si>
    <t>Other Income</t>
  </si>
  <si>
    <t>Depreciation</t>
  </si>
  <si>
    <t>Excp Item</t>
  </si>
  <si>
    <t>Share of profit of associate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</si>
  <si>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</si>
  <si>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</si>
  <si>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</si>
  <si>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</si>
  <si>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</si>
  <si>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</si>
  <si>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</si>
  <si>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PAT After MI</t>
  </si>
  <si>
    <t>EPS</t>
  </si>
  <si>
    <t>FY18</t>
  </si>
  <si>
    <t>FY19</t>
  </si>
  <si>
    <t>FY20</t>
  </si>
  <si>
    <t>FY21</t>
  </si>
  <si>
    <t>Consolidated Income Statement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</si>
  <si>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</si>
  <si>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</si>
  <si>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</si>
  <si>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</si>
  <si>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</si>
  <si>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</si>
  <si>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</si>
  <si>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</si>
  <si>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</si>
  <si>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</si>
  <si>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</si>
  <si>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</si>
  <si>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</si>
  <si>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</si>
  <si>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</si>
  <si>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</si>
  <si>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</si>
  <si>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</si>
  <si>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</si>
  <si>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</si>
  <si>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Trade Payables</t>
  </si>
  <si>
    <t>Other Financial liabilities</t>
  </si>
  <si>
    <t>Other Current liabilities</t>
  </si>
  <si>
    <t>Liabilities for current tax (net)    </t>
  </si>
  <si>
    <t>NET CURRENT ASSETS</t>
  </si>
  <si>
    <t>Deferred Tax Liability</t>
  </si>
  <si>
    <t>Other non-current liabilities</t>
  </si>
  <si>
    <t>TOTAL ASSETS</t>
  </si>
  <si>
    <t>TOTAL LIABILITIES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</si>
  <si>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</si>
  <si>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</si>
  <si>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</si>
  <si>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</si>
  <si>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</si>
  <si>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</si>
  <si>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</si>
  <si>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</si>
  <si>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</si>
  <si>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</si>
  <si>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</si>
  <si>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</si>
  <si>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</si>
  <si>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</si>
  <si>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</si>
  <si>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</si>
  <si>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</si>
  <si>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</si>
  <si>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</si>
  <si>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</si>
  <si>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Key Ratios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</si>
  <si>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</si>
  <si>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</si>
  <si>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</si>
  <si>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</si>
  <si>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</si>
  <si>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</si>
  <si>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Cash Flow Statement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</si>
  <si>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</si>
  <si>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</si>
  <si>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</si>
  <si>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</si>
  <si>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</si>
  <si>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</si>
  <si>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</si>
  <si>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</si>
  <si>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</si>
  <si>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Cost of Material Comsumed</t>
  </si>
  <si>
    <t>Purchase of Traded goods</t>
  </si>
  <si>
    <t>Stock in trade</t>
  </si>
  <si>
    <t>Manufacturing &amp; other operational expense</t>
  </si>
  <si>
    <t>Intangible Assets</t>
  </si>
  <si>
    <t>Capital Work-in-progress</t>
  </si>
  <si>
    <t>Provisions</t>
  </si>
  <si>
    <t>Other Financial Liabilities</t>
  </si>
  <si>
    <t>(ii) Investments</t>
  </si>
  <si>
    <t>Long term provision</t>
  </si>
  <si>
    <t>Mallcom (India) Limited</t>
  </si>
  <si>
    <t>-</t>
  </si>
  <si>
    <t>Y/E, Mar (Rs. Mn)</t>
  </si>
  <si>
    <t>Paticulars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</si>
  <si>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</si>
  <si>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</si>
  <si>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</si>
  <si>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</si>
  <si>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</si>
  <si>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</si>
  <si>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</si>
  <si>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</si>
  <si>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</si>
  <si>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</si>
  <si>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</si>
  <si>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</si>
  <si>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</si>
  <si>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</si>
  <si>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</si>
  <si>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</si>
  <si>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</si>
  <si>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</si>
  <si>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</si>
  <si>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</si>
  <si>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</si>
  <si>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</si>
  <si>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</si>
  <si>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</si>
  <si>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</si>
  <si>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</si>
  <si>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</si>
  <si>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</si>
  <si>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</si>
  <si>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</si>
  <si>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</si>
  <si>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</si>
  <si>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</si>
  <si>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</si>
  <si>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</si>
  <si>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</si>
  <si>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</si>
  <si>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</si>
  <si>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</si>
  <si>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</si>
  <si>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</si>
  <si>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</si>
  <si>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</si>
  <si>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</si>
  <si>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</si>
  <si>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</si>
  <si>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</si>
  <si>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</si>
  <si>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 xml:space="preserve">  (i) Loans</t>
  </si>
  <si>
    <t>Non Current Tax Assets (Net)</t>
  </si>
  <si>
    <t xml:space="preserve">  (i) Investments</t>
  </si>
  <si>
    <t xml:space="preserve">  (vi) Others</t>
  </si>
  <si>
    <t>NA</t>
  </si>
  <si>
    <t>NON CURRENT LIABILITIES</t>
  </si>
  <si>
    <t>FY23</t>
  </si>
  <si>
    <t>Market Cap (Rs. Mn)</t>
  </si>
  <si>
    <t>FY24</t>
  </si>
  <si>
    <t>FY25</t>
  </si>
  <si>
    <t>Fixed Asset Turnover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</si>
</sst>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  <numFmt numFmtId="167" formatCode="_ * #,##0.000_ ;_ * \-#,##0.000_ ;_ * &quot;-&quot;??_ ;_ @_ "/>
    <numFmt numFmtId="168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33333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  <font>
      <sz val="1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72">
    <xf numFmtId="0" fontId="0" fillId="0" borderId="0" xfId="0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166" fontId="0" fillId="0" borderId="6" xfId="1" applyNumberFormat="1" applyFont="1" applyFill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0" fontId="0" fillId="0" borderId="6" xfId="0" applyBorder="1" applyAlignment="1">
      <alignment horizontal="right"/>
    </xf>
    <xf numFmtId="166" fontId="0" fillId="0" borderId="6" xfId="1" applyNumberFormat="1" applyFont="1" applyBorder="1" applyAlignment="1">
      <alignment horizontal="right"/>
    </xf>
    <xf numFmtId="43" fontId="0" fillId="0" borderId="6" xfId="1" applyFont="1" applyBorder="1" applyAlignment="1">
      <alignment horizontal="right"/>
    </xf>
    <xf numFmtId="10" fontId="4" fillId="0" borderId="6" xfId="2" applyNumberFormat="1" applyFont="1" applyFill="1" applyBorder="1"/>
    <xf numFmtId="10" fontId="4" fillId="0" borderId="6" xfId="2" applyNumberFormat="1" applyFont="1" applyBorder="1"/>
    <xf numFmtId="10" fontId="0" fillId="0" borderId="6" xfId="2" applyNumberFormat="1" applyFont="1" applyBorder="1"/>
    <xf numFmtId="43" fontId="0" fillId="0" borderId="6" xfId="1" applyFont="1" applyBorder="1"/>
    <xf numFmtId="43" fontId="0" fillId="0" borderId="7" xfId="1" applyFont="1" applyBorder="1"/>
    <xf numFmtId="166" fontId="0" fillId="0" borderId="6" xfId="0" applyNumberFormat="1" applyBorder="1"/>
    <xf numFmtId="2" fontId="0" fillId="0" borderId="6" xfId="0" applyNumberFormat="1" applyBorder="1"/>
    <xf numFmtId="43" fontId="0" fillId="0" borderId="6" xfId="0" applyNumberFormat="1" applyBorder="1"/>
    <xf numFmtId="10" fontId="0" fillId="0" borderId="6" xfId="2" applyNumberFormat="1" applyFont="1" applyFill="1" applyBorder="1"/>
    <xf numFmtId="43" fontId="0" fillId="0" borderId="6" xfId="1" applyFont="1" applyFill="1" applyBorder="1"/>
    <xf numFmtId="0" fontId="0" fillId="0" borderId="6" xfId="2" applyNumberFormat="1" applyFont="1" applyFill="1" applyBorder="1"/>
    <xf numFmtId="10" fontId="0" fillId="0" borderId="6" xfId="1" applyNumberFormat="1" applyFont="1" applyBorder="1"/>
    <xf numFmtId="10" fontId="0" fillId="0" borderId="7" xfId="2" applyNumberFormat="1" applyFont="1" applyBorder="1"/>
    <xf numFmtId="10" fontId="0" fillId="0" borderId="7" xfId="1" applyNumberFormat="1" applyFont="1" applyBorder="1"/>
    <xf numFmtId="166" fontId="0" fillId="0" borderId="6" xfId="2" applyNumberFormat="1" applyFont="1" applyFill="1" applyBorder="1"/>
    <xf numFmtId="2" fontId="0" fillId="0" borderId="6" xfId="2" applyNumberFormat="1" applyFont="1" applyBorder="1"/>
    <xf numFmtId="0" fontId="0" fillId="0" borderId="8" xfId="0" applyBorder="1"/>
    <xf numFmtId="0" fontId="0" fillId="0" borderId="8" xfId="2" applyNumberFormat="1" applyFont="1" applyFill="1" applyBorder="1"/>
    <xf numFmtId="10" fontId="0" fillId="0" borderId="9" xfId="2" applyNumberFormat="1" applyFont="1" applyBorder="1"/>
    <xf numFmtId="0" fontId="0" fillId="0" borderId="6" xfId="2" applyNumberFormat="1" applyFont="1" applyBorder="1"/>
    <xf numFmtId="10" fontId="0" fillId="0" borderId="8" xfId="2" applyNumberFormat="1" applyFont="1" applyFill="1" applyBorder="1"/>
    <xf numFmtId="0" fontId="0" fillId="0" borderId="6" xfId="1" applyNumberFormat="1" applyFont="1" applyBorder="1"/>
    <xf numFmtId="2" fontId="0" fillId="0" borderId="0" xfId="0" applyNumberFormat="1"/>
    <xf numFmtId="167" fontId="0" fillId="0" borderId="0" xfId="0" applyNumberFormat="1"/>
    <xf numFmtId="9" fontId="0" fillId="0" borderId="0" xfId="2" applyFont="1"/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8" fillId="0" borderId="0" xfId="0" applyFont="1"/>
    <xf numFmtId="0" fontId="9" fillId="2" borderId="51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1" fillId="2" borderId="11" xfId="0" applyFont="1" applyFill="1" applyBorder="1"/>
    <xf numFmtId="0" fontId="12" fillId="2" borderId="10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1" fillId="2" borderId="19" xfId="0" applyFont="1" applyFill="1" applyBorder="1" applyAlignment="1">
      <alignment horizontal="left"/>
    </xf>
    <xf numFmtId="0" fontId="12" fillId="2" borderId="19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3" fillId="0" borderId="17" xfId="0" applyFont="1" applyBorder="1"/>
    <xf numFmtId="43" fontId="11" fillId="0" borderId="17" xfId="1" applyFont="1" applyBorder="1"/>
    <xf numFmtId="43" fontId="11" fillId="0" borderId="30" xfId="1" applyFont="1" applyBorder="1"/>
    <xf numFmtId="43" fontId="11" fillId="0" borderId="3" xfId="1" applyFont="1" applyBorder="1"/>
    <xf numFmtId="43" fontId="11" fillId="0" borderId="17" xfId="1" applyFont="1" applyBorder="1" applyAlignment="1">
      <alignment horizontal="right"/>
    </xf>
    <xf numFmtId="0" fontId="14" fillId="0" borderId="14" xfId="0" applyFont="1" applyBorder="1" applyAlignment="1">
      <alignment horizontal="left" indent="1"/>
    </xf>
    <xf numFmtId="43" fontId="8" fillId="0" borderId="14" xfId="1" applyFont="1" applyBorder="1"/>
    <xf numFmtId="43" fontId="8" fillId="0" borderId="29" xfId="1" applyFont="1" applyBorder="1"/>
    <xf numFmtId="0" fontId="15" fillId="2" borderId="15" xfId="0" applyFont="1" applyFill="1" applyBorder="1"/>
    <xf numFmtId="0" fontId="16" fillId="2" borderId="15" xfId="0" applyFont="1" applyFill="1" applyBorder="1"/>
    <xf numFmtId="10" fontId="16" fillId="2" borderId="15" xfId="2" applyNumberFormat="1" applyFont="1" applyFill="1" applyBorder="1"/>
    <xf numFmtId="10" fontId="16" fillId="2" borderId="23" xfId="0" applyNumberFormat="1" applyFont="1" applyFill="1" applyBorder="1"/>
    <xf numFmtId="10" fontId="16" fillId="2" borderId="49" xfId="2" applyNumberFormat="1" applyFont="1" applyFill="1" applyBorder="1"/>
    <xf numFmtId="0" fontId="14" fillId="0" borderId="19" xfId="0" applyFont="1" applyBorder="1" applyAlignment="1">
      <alignment horizontal="left" indent="1"/>
    </xf>
    <xf numFmtId="43" fontId="8" fillId="0" borderId="16" xfId="1" applyFont="1" applyBorder="1"/>
    <xf numFmtId="43" fontId="8" fillId="0" borderId="24" xfId="1" applyFont="1" applyBorder="1"/>
    <xf numFmtId="0" fontId="13" fillId="2" borderId="19" xfId="0" applyFont="1" applyFill="1" applyBorder="1" applyAlignment="1">
      <alignment horizontal="left"/>
    </xf>
    <xf numFmtId="43" fontId="11" fillId="2" borderId="19" xfId="1" applyFont="1" applyFill="1" applyBorder="1"/>
    <xf numFmtId="43" fontId="11" fillId="2" borderId="18" xfId="1" applyFont="1" applyFill="1" applyBorder="1"/>
    <xf numFmtId="167" fontId="11" fillId="2" borderId="18" xfId="1" applyNumberFormat="1" applyFont="1" applyFill="1" applyBorder="1"/>
    <xf numFmtId="0" fontId="13" fillId="2" borderId="15" xfId="0" applyFont="1" applyFill="1" applyBorder="1"/>
    <xf numFmtId="43" fontId="11" fillId="2" borderId="15" xfId="1" applyFont="1" applyFill="1" applyBorder="1"/>
    <xf numFmtId="43" fontId="11" fillId="2" borderId="23" xfId="1" applyFont="1" applyFill="1" applyBorder="1"/>
    <xf numFmtId="43" fontId="11" fillId="2" borderId="49" xfId="1" applyFont="1" applyFill="1" applyBorder="1"/>
    <xf numFmtId="43" fontId="11" fillId="2" borderId="15" xfId="1" applyFont="1" applyFill="1" applyBorder="1" applyAlignment="1">
      <alignment horizontal="right"/>
    </xf>
    <xf numFmtId="0" fontId="14" fillId="0" borderId="17" xfId="0" applyFont="1" applyBorder="1" applyAlignment="1">
      <alignment horizontal="left" indent="1"/>
    </xf>
    <xf numFmtId="43" fontId="8" fillId="0" borderId="17" xfId="1" applyFont="1" applyBorder="1" applyAlignment="1">
      <alignment horizontal="center"/>
    </xf>
    <xf numFmtId="43" fontId="8" fillId="0" borderId="30" xfId="1" applyFont="1" applyBorder="1" applyAlignment="1">
      <alignment horizontal="center"/>
    </xf>
    <xf numFmtId="43" fontId="8" fillId="0" borderId="30" xfId="1" applyFont="1" applyBorder="1"/>
    <xf numFmtId="0" fontId="14" fillId="0" borderId="15" xfId="0" applyFont="1" applyBorder="1"/>
    <xf numFmtId="43" fontId="8" fillId="0" borderId="15" xfId="1" applyFont="1" applyBorder="1"/>
    <xf numFmtId="43" fontId="8" fillId="0" borderId="23" xfId="1" applyFont="1" applyBorder="1"/>
    <xf numFmtId="43" fontId="8" fillId="0" borderId="49" xfId="1" applyFont="1" applyBorder="1"/>
    <xf numFmtId="0" fontId="14" fillId="0" borderId="15" xfId="0" applyFont="1" applyBorder="1" applyAlignment="1">
      <alignment horizontal="left" indent="1"/>
    </xf>
    <xf numFmtId="43" fontId="8" fillId="0" borderId="15" xfId="1" applyFont="1" applyBorder="1" applyAlignment="1">
      <alignment horizontal="right"/>
    </xf>
    <xf numFmtId="0" fontId="14" fillId="0" borderId="16" xfId="0" applyFont="1" applyBorder="1" applyAlignment="1">
      <alignment horizontal="left" indent="1"/>
    </xf>
    <xf numFmtId="43" fontId="12" fillId="2" borderId="18" xfId="1" applyFont="1" applyFill="1" applyBorder="1"/>
    <xf numFmtId="0" fontId="8" fillId="0" borderId="12" xfId="0" applyFont="1" applyBorder="1"/>
    <xf numFmtId="0" fontId="8" fillId="0" borderId="28" xfId="0" applyFont="1" applyBorder="1"/>
    <xf numFmtId="0" fontId="13" fillId="2" borderId="11" xfId="0" applyFont="1" applyFill="1" applyBorder="1" applyAlignment="1">
      <alignment horizontal="left"/>
    </xf>
    <xf numFmtId="0" fontId="11" fillId="2" borderId="10" xfId="0" applyFont="1" applyFill="1" applyBorder="1"/>
    <xf numFmtId="0" fontId="11" fillId="2" borderId="13" xfId="0" applyFont="1" applyFill="1" applyBorder="1"/>
    <xf numFmtId="2" fontId="11" fillId="2" borderId="13" xfId="0" applyNumberFormat="1" applyFont="1" applyFill="1" applyBorder="1"/>
    <xf numFmtId="43" fontId="11" fillId="2" borderId="13" xfId="1" applyFont="1" applyFill="1" applyBorder="1"/>
    <xf numFmtId="43" fontId="16" fillId="2" borderId="15" xfId="1" applyFont="1" applyFill="1" applyBorder="1"/>
    <xf numFmtId="10" fontId="16" fillId="2" borderId="23" xfId="2" applyNumberFormat="1" applyFont="1" applyFill="1" applyBorder="1"/>
    <xf numFmtId="0" fontId="14" fillId="0" borderId="35" xfId="0" applyFont="1" applyBorder="1" applyAlignment="1">
      <alignment horizontal="left" indent="1"/>
    </xf>
    <xf numFmtId="0" fontId="8" fillId="0" borderId="14" xfId="0" applyFont="1" applyBorder="1"/>
    <xf numFmtId="0" fontId="8" fillId="0" borderId="29" xfId="0" applyFont="1" applyBorder="1"/>
    <xf numFmtId="2" fontId="8" fillId="0" borderId="29" xfId="0" applyNumberFormat="1" applyFont="1" applyBorder="1"/>
    <xf numFmtId="0" fontId="14" fillId="0" borderId="25" xfId="0" applyFont="1" applyBorder="1" applyAlignment="1">
      <alignment horizontal="left" indent="1"/>
    </xf>
    <xf numFmtId="0" fontId="8" fillId="0" borderId="15" xfId="0" applyFont="1" applyBorder="1"/>
    <xf numFmtId="0" fontId="8" fillId="0" borderId="23" xfId="0" applyFont="1" applyBorder="1"/>
    <xf numFmtId="2" fontId="8" fillId="0" borderId="23" xfId="0" applyNumberFormat="1" applyFont="1" applyBorder="1"/>
    <xf numFmtId="10" fontId="11" fillId="2" borderId="15" xfId="2" applyNumberFormat="1" applyFont="1" applyFill="1" applyBorder="1"/>
    <xf numFmtId="10" fontId="11" fillId="2" borderId="23" xfId="2" applyNumberFormat="1" applyFont="1" applyFill="1" applyBorder="1"/>
    <xf numFmtId="10" fontId="11" fillId="2" borderId="49" xfId="2" applyNumberFormat="1" applyFont="1" applyFill="1" applyBorder="1"/>
    <xf numFmtId="10" fontId="11" fillId="2" borderId="15" xfId="2" applyNumberFormat="1" applyFont="1" applyFill="1" applyBorder="1" applyAlignment="1">
      <alignment horizontal="right"/>
    </xf>
    <xf numFmtId="0" fontId="14" fillId="0" borderId="25" xfId="0" applyFont="1" applyBorder="1" applyAlignment="1">
      <alignment horizontal="left" indent="2"/>
    </xf>
    <xf numFmtId="0" fontId="8" fillId="0" borderId="15" xfId="0" applyFont="1" applyBorder="1" applyAlignment="1">
      <alignment horizontal="right"/>
    </xf>
    <xf numFmtId="0" fontId="8" fillId="0" borderId="23" xfId="0" applyFont="1" applyBorder="1" applyAlignment="1">
      <alignment horizontal="right"/>
    </xf>
    <xf numFmtId="2" fontId="8" fillId="0" borderId="23" xfId="0" applyNumberFormat="1" applyFont="1" applyBorder="1" applyAlignment="1">
      <alignment horizontal="right"/>
    </xf>
    <xf numFmtId="43" fontId="8" fillId="0" borderId="23" xfId="1" applyFont="1" applyBorder="1" applyAlignment="1">
      <alignment horizontal="right"/>
    </xf>
    <xf numFmtId="43" fontId="8" fillId="0" borderId="49" xfId="1" applyFont="1" applyBorder="1" applyAlignment="1">
      <alignment horizontal="right"/>
    </xf>
    <xf numFmtId="167" fontId="8" fillId="0" borderId="15" xfId="1" applyNumberFormat="1" applyFont="1" applyBorder="1" applyAlignment="1">
      <alignment horizontal="right"/>
    </xf>
    <xf numFmtId="0" fontId="14" fillId="0" borderId="27" xfId="0" applyFont="1" applyBorder="1" applyAlignment="1">
      <alignment horizontal="left" indent="1"/>
    </xf>
    <xf numFmtId="0" fontId="8" fillId="0" borderId="16" xfId="0" applyFont="1" applyBorder="1"/>
    <xf numFmtId="0" fontId="8" fillId="0" borderId="24" xfId="0" applyFont="1" applyBorder="1"/>
    <xf numFmtId="2" fontId="8" fillId="0" borderId="24" xfId="0" applyNumberFormat="1" applyFont="1" applyBorder="1"/>
    <xf numFmtId="43" fontId="8" fillId="0" borderId="24" xfId="1" applyFont="1" applyBorder="1" applyAlignment="1">
      <alignment horizontal="center"/>
    </xf>
    <xf numFmtId="0" fontId="13" fillId="2" borderId="10" xfId="0" applyFont="1" applyFill="1" applyBorder="1" applyAlignment="1">
      <alignment horizontal="left"/>
    </xf>
    <xf numFmtId="0" fontId="14" fillId="0" borderId="26" xfId="0" applyFont="1" applyBorder="1" applyAlignment="1">
      <alignment horizontal="left" indent="1"/>
    </xf>
    <xf numFmtId="0" fontId="8" fillId="0" borderId="35" xfId="0" applyFont="1" applyBorder="1"/>
    <xf numFmtId="2" fontId="8" fillId="0" borderId="35" xfId="0" applyNumberFormat="1" applyFont="1" applyBorder="1"/>
    <xf numFmtId="2" fontId="8" fillId="0" borderId="14" xfId="0" applyNumberFormat="1" applyFont="1" applyBorder="1"/>
    <xf numFmtId="2" fontId="8" fillId="0" borderId="32" xfId="0" applyNumberFormat="1" applyFont="1" applyBorder="1"/>
    <xf numFmtId="10" fontId="8" fillId="2" borderId="15" xfId="2" applyNumberFormat="1" applyFont="1" applyFill="1" applyBorder="1"/>
    <xf numFmtId="10" fontId="8" fillId="2" borderId="23" xfId="2" applyNumberFormat="1" applyFont="1" applyFill="1" applyBorder="1"/>
    <xf numFmtId="10" fontId="8" fillId="2" borderId="49" xfId="2" applyNumberFormat="1" applyFont="1" applyFill="1" applyBorder="1"/>
    <xf numFmtId="10" fontId="8" fillId="2" borderId="15" xfId="2" applyNumberFormat="1" applyFont="1" applyFill="1" applyBorder="1" applyAlignment="1">
      <alignment horizontal="right"/>
    </xf>
    <xf numFmtId="0" fontId="8" fillId="0" borderId="25" xfId="0" applyFont="1" applyBorder="1"/>
    <xf numFmtId="2" fontId="8" fillId="0" borderId="25" xfId="0" applyNumberFormat="1" applyFont="1" applyBorder="1"/>
    <xf numFmtId="2" fontId="8" fillId="0" borderId="15" xfId="0" applyNumberFormat="1" applyFont="1" applyBorder="1"/>
    <xf numFmtId="2" fontId="8" fillId="0" borderId="2" xfId="0" applyNumberFormat="1" applyFont="1" applyBorder="1"/>
    <xf numFmtId="167" fontId="11" fillId="2" borderId="15" xfId="1" applyNumberFormat="1" applyFont="1" applyFill="1" applyBorder="1" applyAlignment="1">
      <alignment horizontal="right"/>
    </xf>
    <xf numFmtId="2" fontId="8" fillId="0" borderId="25" xfId="0" applyNumberFormat="1" applyFont="1" applyBorder="1" applyAlignment="1">
      <alignment horizontal="center"/>
    </xf>
    <xf numFmtId="2" fontId="8" fillId="0" borderId="15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0" fontId="8" fillId="0" borderId="25" xfId="0" applyFont="1" applyBorder="1" applyAlignment="1">
      <alignment horizontal="center"/>
    </xf>
    <xf numFmtId="2" fontId="8" fillId="0" borderId="15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8" fillId="0" borderId="27" xfId="0" applyFont="1" applyBorder="1"/>
    <xf numFmtId="2" fontId="8" fillId="0" borderId="27" xfId="0" applyNumberFormat="1" applyFont="1" applyBorder="1"/>
    <xf numFmtId="2" fontId="8" fillId="0" borderId="16" xfId="0" applyNumberFormat="1" applyFont="1" applyBorder="1"/>
    <xf numFmtId="2" fontId="8" fillId="0" borderId="37" xfId="0" applyNumberFormat="1" applyFont="1" applyBorder="1"/>
    <xf numFmtId="0" fontId="13" fillId="0" borderId="15" xfId="0" applyFont="1" applyBorder="1"/>
    <xf numFmtId="43" fontId="11" fillId="0" borderId="15" xfId="1" applyFont="1" applyBorder="1"/>
    <xf numFmtId="43" fontId="11" fillId="0" borderId="23" xfId="1" applyFont="1" applyBorder="1"/>
    <xf numFmtId="43" fontId="11" fillId="0" borderId="49" xfId="1" applyFont="1" applyBorder="1"/>
    <xf numFmtId="43" fontId="11" fillId="0" borderId="15" xfId="1" applyFont="1" applyBorder="1" applyAlignment="1">
      <alignment horizontal="right"/>
    </xf>
    <xf numFmtId="0" fontId="11" fillId="2" borderId="38" xfId="0" applyFont="1" applyFill="1" applyBorder="1"/>
    <xf numFmtId="0" fontId="11" fillId="2" borderId="43" xfId="0" applyFont="1" applyFill="1" applyBorder="1"/>
    <xf numFmtId="2" fontId="11" fillId="2" borderId="43" xfId="0" applyNumberFormat="1" applyFont="1" applyFill="1" applyBorder="1"/>
    <xf numFmtId="0" fontId="14" fillId="2" borderId="15" xfId="0" applyFont="1" applyFill="1" applyBorder="1"/>
    <xf numFmtId="0" fontId="8" fillId="0" borderId="31" xfId="0" applyFont="1" applyBorder="1"/>
    <xf numFmtId="0" fontId="8" fillId="0" borderId="8" xfId="0" applyFont="1" applyBorder="1"/>
    <xf numFmtId="2" fontId="8" fillId="0" borderId="8" xfId="0" applyNumberFormat="1" applyFont="1" applyBorder="1"/>
    <xf numFmtId="0" fontId="14" fillId="2" borderId="16" xfId="0" applyFont="1" applyFill="1" applyBorder="1"/>
    <xf numFmtId="43" fontId="16" fillId="2" borderId="16" xfId="1" applyFont="1" applyFill="1" applyBorder="1"/>
    <xf numFmtId="10" fontId="16" fillId="2" borderId="24" xfId="2" applyNumberFormat="1" applyFont="1" applyFill="1" applyBorder="1"/>
    <xf numFmtId="10" fontId="16" fillId="2" borderId="50" xfId="2" applyNumberFormat="1" applyFont="1" applyFill="1" applyBorder="1"/>
    <xf numFmtId="10" fontId="16" fillId="2" borderId="16" xfId="2" applyNumberFormat="1" applyFont="1" applyFill="1" applyBorder="1"/>
    <xf numFmtId="0" fontId="8" fillId="0" borderId="21" xfId="0" applyFont="1" applyBorder="1"/>
    <xf numFmtId="0" fontId="8" fillId="0" borderId="1" xfId="0" applyFont="1" applyBorder="1"/>
    <xf numFmtId="2" fontId="8" fillId="0" borderId="1" xfId="0" applyNumberFormat="1" applyFont="1" applyBorder="1"/>
    <xf numFmtId="0" fontId="8" fillId="0" borderId="48" xfId="0" applyFont="1" applyBorder="1"/>
    <xf numFmtId="0" fontId="8" fillId="0" borderId="34" xfId="0" applyFont="1" applyBorder="1"/>
    <xf numFmtId="0" fontId="8" fillId="0" borderId="21" xfId="0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8" fillId="0" borderId="22" xfId="0" applyFont="1" applyBorder="1"/>
    <xf numFmtId="0" fontId="8" fillId="0" borderId="36" xfId="0" applyFont="1" applyBorder="1"/>
    <xf numFmtId="2" fontId="8" fillId="0" borderId="36" xfId="0" applyNumberFormat="1" applyFont="1" applyBorder="1"/>
    <xf numFmtId="2" fontId="8" fillId="0" borderId="36" xfId="0" applyNumberFormat="1" applyFont="1" applyBorder="1" applyAlignment="1">
      <alignment horizontal="center"/>
    </xf>
    <xf numFmtId="0" fontId="8" fillId="0" borderId="37" xfId="0" applyFont="1" applyBorder="1" applyAlignment="1">
      <alignment horizontal="right"/>
    </xf>
    <xf numFmtId="0" fontId="11" fillId="2" borderId="20" xfId="0" applyFont="1" applyFill="1" applyBorder="1"/>
    <xf numFmtId="0" fontId="12" fillId="2" borderId="4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3" fillId="0" borderId="14" xfId="0" applyFont="1" applyBorder="1"/>
    <xf numFmtId="0" fontId="11" fillId="0" borderId="14" xfId="0" applyFont="1" applyBorder="1"/>
    <xf numFmtId="0" fontId="11" fillId="0" borderId="29" xfId="0" applyFont="1" applyBorder="1"/>
    <xf numFmtId="2" fontId="11" fillId="0" borderId="29" xfId="0" applyNumberFormat="1" applyFont="1" applyBorder="1"/>
    <xf numFmtId="0" fontId="11" fillId="2" borderId="39" xfId="0" applyFont="1" applyFill="1" applyBorder="1"/>
    <xf numFmtId="2" fontId="11" fillId="2" borderId="39" xfId="0" applyNumberFormat="1" applyFont="1" applyFill="1" applyBorder="1"/>
    <xf numFmtId="0" fontId="11" fillId="2" borderId="40" xfId="0" applyFont="1" applyFill="1" applyBorder="1"/>
    <xf numFmtId="2" fontId="11" fillId="2" borderId="40" xfId="0" applyNumberFormat="1" applyFont="1" applyFill="1" applyBorder="1"/>
    <xf numFmtId="0" fontId="13" fillId="2" borderId="20" xfId="0" applyFont="1" applyFill="1" applyBorder="1" applyAlignment="1">
      <alignment horizontal="left"/>
    </xf>
    <xf numFmtId="0" fontId="11" fillId="2" borderId="41" xfId="0" applyFont="1" applyFill="1" applyBorder="1"/>
    <xf numFmtId="0" fontId="11" fillId="2" borderId="42" xfId="0" applyFont="1" applyFill="1" applyBorder="1"/>
    <xf numFmtId="2" fontId="11" fillId="2" borderId="42" xfId="0" applyNumberFormat="1" applyFont="1" applyFill="1" applyBorder="1"/>
    <xf numFmtId="2" fontId="11" fillId="2" borderId="18" xfId="0" applyNumberFormat="1" applyFont="1" applyFill="1" applyBorder="1"/>
    <xf numFmtId="0" fontId="8" fillId="3" borderId="31" xfId="0" applyFont="1" applyFill="1" applyBorder="1"/>
    <xf numFmtId="0" fontId="8" fillId="3" borderId="8" xfId="0" applyFont="1" applyFill="1" applyBorder="1"/>
    <xf numFmtId="2" fontId="8" fillId="3" borderId="8" xfId="0" applyNumberFormat="1" applyFont="1" applyFill="1" applyBorder="1"/>
    <xf numFmtId="2" fontId="8" fillId="3" borderId="32" xfId="0" applyNumberFormat="1" applyFont="1" applyFill="1" applyBorder="1"/>
    <xf numFmtId="0" fontId="8" fillId="0" borderId="1" xfId="0" applyFont="1" applyBorder="1" applyAlignment="1">
      <alignment horizontal="center"/>
    </xf>
    <xf numFmtId="0" fontId="11" fillId="2" borderId="19" xfId="0" applyFont="1" applyFill="1" applyBorder="1"/>
    <xf numFmtId="0" fontId="11" fillId="2" borderId="18" xfId="0" applyFont="1" applyFill="1" applyBorder="1"/>
    <xf numFmtId="2" fontId="8" fillId="0" borderId="1" xfId="0" applyNumberFormat="1" applyFont="1" applyBorder="1" applyAlignment="1">
      <alignment horizontal="right"/>
    </xf>
    <xf numFmtId="0" fontId="13" fillId="2" borderId="16" xfId="0" applyFont="1" applyFill="1" applyBorder="1"/>
    <xf numFmtId="0" fontId="14" fillId="0" borderId="33" xfId="0" applyFont="1" applyBorder="1" applyAlignment="1">
      <alignment horizontal="left" indent="1"/>
    </xf>
    <xf numFmtId="0" fontId="8" fillId="0" borderId="44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2" fontId="8" fillId="0" borderId="45" xfId="0" applyNumberFormat="1" applyFont="1" applyBorder="1" applyAlignment="1">
      <alignment horizontal="center"/>
    </xf>
    <xf numFmtId="2" fontId="8" fillId="0" borderId="46" xfId="0" applyNumberFormat="1" applyFont="1" applyBorder="1" applyAlignment="1">
      <alignment horizontal="center"/>
    </xf>
    <xf numFmtId="2" fontId="11" fillId="2" borderId="38" xfId="0" applyNumberFormat="1" applyFont="1" applyFill="1" applyBorder="1"/>
    <xf numFmtId="0" fontId="11" fillId="2" borderId="11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0" xfId="0" applyFont="1" applyFill="1" applyBorder="1" applyAlignment="1">
      <alignment horizontal="center"/>
    </xf>
    <xf numFmtId="2" fontId="11" fillId="2" borderId="41" xfId="0" applyNumberFormat="1" applyFont="1" applyFill="1" applyBorder="1"/>
    <xf numFmtId="0" fontId="11" fillId="0" borderId="17" xfId="0" applyFont="1" applyBorder="1"/>
    <xf numFmtId="0" fontId="11" fillId="0" borderId="30" xfId="0" applyFont="1" applyBorder="1"/>
    <xf numFmtId="2" fontId="11" fillId="0" borderId="30" xfId="0" applyNumberFormat="1" applyFont="1" applyBorder="1"/>
    <xf numFmtId="2" fontId="11" fillId="2" borderId="16" xfId="0" applyNumberFormat="1" applyFont="1" applyFill="1" applyBorder="1"/>
    <xf numFmtId="164" fontId="13" fillId="0" borderId="17" xfId="0" applyNumberFormat="1" applyFont="1" applyBorder="1" applyAlignment="1">
      <alignment horizontal="left" indent="1"/>
    </xf>
    <xf numFmtId="43" fontId="8" fillId="0" borderId="17" xfId="1" applyFont="1" applyBorder="1"/>
    <xf numFmtId="164" fontId="13" fillId="0" borderId="15" xfId="0" applyNumberFormat="1" applyFont="1" applyBorder="1" applyAlignment="1">
      <alignment horizontal="left" indent="1"/>
    </xf>
    <xf numFmtId="43" fontId="8" fillId="2" borderId="15" xfId="1" applyFont="1" applyFill="1" applyBorder="1"/>
    <xf numFmtId="43" fontId="8" fillId="2" borderId="23" xfId="1" applyFont="1" applyFill="1" applyBorder="1"/>
    <xf numFmtId="164" fontId="14" fillId="0" borderId="15" xfId="0" applyNumberFormat="1" applyFont="1" applyBorder="1" applyAlignment="1">
      <alignment horizontal="left" indent="1"/>
    </xf>
    <xf numFmtId="2" fontId="8" fillId="2" borderId="15" xfId="0" applyNumberFormat="1" applyFont="1" applyFill="1" applyBorder="1"/>
    <xf numFmtId="2" fontId="8" fillId="2" borderId="23" xfId="0" applyNumberFormat="1" applyFont="1" applyFill="1" applyBorder="1"/>
    <xf numFmtId="0" fontId="14" fillId="0" borderId="17" xfId="0" applyFont="1" applyBorder="1"/>
    <xf numFmtId="3" fontId="8" fillId="0" borderId="17" xfId="0" applyNumberFormat="1" applyFont="1" applyBorder="1"/>
    <xf numFmtId="3" fontId="8" fillId="0" borderId="30" xfId="0" applyNumberFormat="1" applyFont="1" applyBorder="1"/>
    <xf numFmtId="3" fontId="8" fillId="0" borderId="3" xfId="0" applyNumberFormat="1" applyFont="1" applyBorder="1"/>
    <xf numFmtId="0" fontId="8" fillId="2" borderId="15" xfId="0" applyFont="1" applyFill="1" applyBorder="1"/>
    <xf numFmtId="0" fontId="8" fillId="2" borderId="23" xfId="0" applyFont="1" applyFill="1" applyBorder="1"/>
    <xf numFmtId="4" fontId="8" fillId="2" borderId="15" xfId="0" applyNumberFormat="1" applyFont="1" applyFill="1" applyBorder="1"/>
    <xf numFmtId="4" fontId="8" fillId="2" borderId="23" xfId="0" applyNumberFormat="1" applyFont="1" applyFill="1" applyBorder="1"/>
    <xf numFmtId="4" fontId="8" fillId="2" borderId="49" xfId="0" applyNumberFormat="1" applyFont="1" applyFill="1" applyBorder="1"/>
    <xf numFmtId="164" fontId="8" fillId="2" borderId="15" xfId="0" applyNumberFormat="1" applyFont="1" applyFill="1" applyBorder="1"/>
    <xf numFmtId="164" fontId="8" fillId="2" borderId="23" xfId="0" applyNumberFormat="1" applyFont="1" applyFill="1" applyBorder="1"/>
    <xf numFmtId="4" fontId="8" fillId="0" borderId="15" xfId="0" applyNumberFormat="1" applyFont="1" applyBorder="1"/>
    <xf numFmtId="4" fontId="8" fillId="0" borderId="23" xfId="0" applyNumberFormat="1" applyFont="1" applyBorder="1"/>
    <xf numFmtId="4" fontId="8" fillId="0" borderId="49" xfId="0" applyNumberFormat="1" applyFont="1" applyBorder="1"/>
    <xf numFmtId="4" fontId="8" fillId="2" borderId="16" xfId="0" applyNumberFormat="1" applyFont="1" applyFill="1" applyBorder="1"/>
    <xf numFmtId="4" fontId="8" fillId="2" borderId="24" xfId="0" applyNumberFormat="1" applyFont="1" applyFill="1" applyBorder="1"/>
    <xf numFmtId="4" fontId="8" fillId="2" borderId="50" xfId="0" applyNumberFormat="1" applyFont="1" applyFill="1" applyBorder="1"/>
    <xf numFmtId="165" fontId="14" fillId="0" borderId="15" xfId="0" applyNumberFormat="1" applyFont="1" applyBorder="1" applyAlignment="1">
      <alignment horizontal="left" indent="1"/>
    </xf>
    <xf numFmtId="10" fontId="8" fillId="2" borderId="15" xfId="0" applyNumberFormat="1" applyFont="1" applyFill="1" applyBorder="1"/>
    <xf numFmtId="10" fontId="8" fillId="2" borderId="23" xfId="0" applyNumberFormat="1" applyFont="1" applyFill="1" applyBorder="1"/>
    <xf numFmtId="1" fontId="8" fillId="2" borderId="15" xfId="0" applyNumberFormat="1" applyFont="1" applyFill="1" applyBorder="1"/>
    <xf numFmtId="1" fontId="8" fillId="2" borderId="23" xfId="0" applyNumberFormat="1" applyFont="1" applyFill="1" applyBorder="1"/>
    <xf numFmtId="0" fontId="17" fillId="0" borderId="15" xfId="0" applyFont="1" applyBorder="1" applyAlignment="1">
      <alignment horizontal="left" indent="1"/>
    </xf>
    <xf numFmtId="0" fontId="17" fillId="0" borderId="19" xfId="0" applyFont="1" applyBorder="1" applyAlignment="1">
      <alignment horizontal="left" indent="1"/>
    </xf>
    <xf numFmtId="2" fontId="8" fillId="2" borderId="16" xfId="0" applyNumberFormat="1" applyFont="1" applyFill="1" applyBorder="1"/>
    <xf numFmtId="0" fontId="8" fillId="2" borderId="15" xfId="0" applyFont="1" applyFill="1" applyBorder="1" applyAlignment="1">
      <alignment horizontal="right"/>
    </xf>
    <xf numFmtId="0" fontId="8" fillId="2" borderId="23" xfId="0" applyFont="1" applyFill="1" applyBorder="1" applyAlignment="1">
      <alignment horizontal="right"/>
    </xf>
    <xf numFmtId="0" fontId="0" fillId="0" borderId="0" xfId="0" applyAlignment="1">
      <alignment horizontal="center"/>
    </xf>
    <xf numFmtId="0" fontId="10" fillId="2" borderId="11" xfId="0" applyFont="1" applyFill="1" applyBorder="1" applyAlignment="1">
      <alignment horizontal="left"/>
    </xf>
    <xf numFmtId="0" fontId="10" fillId="2" borderId="12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3" fontId="11" fillId="2" borderId="15" xfId="1" applyNumberFormat="1" applyFont="1" applyFill="1" applyBorder="1" applyAlignment="1">
      <alignment horizontal="right"/>
    </xf>
    <xf numFmtId="168" fontId="11" fillId="0" borderId="29" xfId="0" applyNumberFormat="1" applyFont="1" applyBorder="1"/>
    <xf numFmtId="2" fontId="8" fillId="3" borderId="15" xfId="0" applyNumberFormat="1" applyFont="1" applyFill="1" applyBorder="1"/>
    <xf numFmtId="168" fontId="11" fillId="2" borderId="13" xfId="0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72"/>
  <sheetViews>
    <sheetView showGridLines="0" tabSelected="1" topLeftCell="C1" zoomScale="55" zoomScaleNormal="55" workbookViewId="0">
      <selection activeCell="V70" sqref="V70"/>
    </sheetView>
  </sheetViews>
  <sheetFormatPr defaultRowHeight="14.5" x14ac:dyDescent="0.35"/>
  <cols>
    <col min="1" max="1" width="9.1796875" style="252"/>
    <col min="2" max="2" width="60" style="39" bestFit="1" customWidth="1"/>
    <col min="3" max="4" width="13.26953125" style="39" bestFit="1" customWidth="1"/>
    <col min="5" max="5" width="12.81640625" style="39" bestFit="1" customWidth="1"/>
    <col min="6" max="7" width="13.26953125" style="39" bestFit="1" customWidth="1"/>
    <col min="8" max="8" width="12.81640625" style="39" bestFit="1" customWidth="1"/>
    <col min="9" max="9" width="13.26953125" style="39" bestFit="1" customWidth="1"/>
    <col min="10" max="10" width="12.81640625" style="39" bestFit="1" customWidth="1"/>
    <col min="11" max="11" width="4.453125" style="39" customWidth="1"/>
    <col min="12" max="12" width="48.453125" style="39" bestFit="1" customWidth="1"/>
    <col min="13" max="14" width="11.453125" style="39" bestFit="1" customWidth="1"/>
    <col min="15" max="15" width="12.453125" style="39" bestFit="1" customWidth="1"/>
    <col min="16" max="17" width="12.81640625" style="39" bestFit="1" customWidth="1"/>
    <col min="18" max="18" width="13.26953125" style="39" bestFit="1" customWidth="1"/>
    <col min="19" max="19" width="14.26953125" style="39" bestFit="1" customWidth="1"/>
    <col min="20" max="20" width="13.26953125" style="39" bestFit="1" customWidth="1"/>
    <col min="21" max="21" width="9.26953125" bestFit="1" customWidth="1"/>
    <col min="22" max="22" width="10.26953125" bestFit="1" customWidth="1"/>
  </cols>
  <sheetData>
    <row r="1" spans="2:23" ht="15" thickBot="1" x14ac:dyDescent="0.4"/>
    <row r="2" spans="2:23" ht="19" thickBot="1" x14ac:dyDescent="0.5">
      <c r="B2" s="262" t="s">
        <v>103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40"/>
    </row>
    <row r="3" spans="2:23" ht="15" thickBot="1" x14ac:dyDescent="0.4">
      <c r="B3" s="256" t="s">
        <v>26</v>
      </c>
      <c r="C3" s="257"/>
      <c r="D3" s="257"/>
      <c r="E3" s="257"/>
      <c r="F3" s="257"/>
      <c r="G3" s="257"/>
      <c r="H3" s="257"/>
      <c r="I3" s="257"/>
      <c r="J3" s="258"/>
      <c r="L3" s="259" t="s">
        <v>35</v>
      </c>
      <c r="M3" s="260"/>
      <c r="N3" s="260"/>
      <c r="O3" s="260"/>
      <c r="P3" s="260"/>
      <c r="Q3" s="260"/>
      <c r="R3" s="260"/>
      <c r="S3" s="261"/>
      <c r="T3" s="41"/>
    </row>
    <row r="4" spans="2:23" ht="15" thickBot="1" x14ac:dyDescent="0.4">
      <c r="B4" s="42" t="s">
        <v>0</v>
      </c>
      <c r="C4" s="43" t="s">
        <v>22</v>
      </c>
      <c r="D4" s="44" t="s">
        <v>23</v>
      </c>
      <c r="E4" s="44" t="s">
        <v>24</v>
      </c>
      <c r="F4" s="44" t="s">
        <v>25</v>
      </c>
      <c r="G4" s="45" t="s">
        <v>107</v>
      </c>
      <c r="H4" s="43" t="s">
        <v>161</v>
      </c>
      <c r="I4" s="43" t="s">
        <v>163</v>
      </c>
      <c r="J4" s="43" t="s">
        <v>164</v>
      </c>
      <c r="L4" s="46" t="s">
        <v>0</v>
      </c>
      <c r="M4" s="47" t="s">
        <v>22</v>
      </c>
      <c r="N4" s="48" t="s">
        <v>23</v>
      </c>
      <c r="O4" s="48" t="s">
        <v>24</v>
      </c>
      <c r="P4" s="48" t="s">
        <v>25</v>
      </c>
      <c r="Q4" s="48" t="s">
        <v>107</v>
      </c>
      <c r="R4" s="48" t="s">
        <v>161</v>
      </c>
      <c r="S4" s="48" t="s">
        <v>163</v>
      </c>
      <c r="T4" s="48" t="s">
        <v>164</v>
      </c>
      <c r="U4" s="38"/>
    </row>
    <row r="5" spans="2:23" x14ac:dyDescent="0.35">
      <c r="B5" s="49" t="s">
        <v>1</v>
      </c>
      <c r="C5" s="50">
        <v>2479.4</v>
      </c>
      <c r="D5" s="50">
        <v>3007.88</v>
      </c>
      <c r="E5" s="51">
        <v>2876.9090000000001</v>
      </c>
      <c r="F5" s="51">
        <v>3168.8449999999998</v>
      </c>
      <c r="G5" s="52">
        <v>3572.2849999999999</v>
      </c>
      <c r="H5" s="53">
        <v>4105.5389999999998</v>
      </c>
      <c r="I5" s="53">
        <v>4207.1620000000003</v>
      </c>
      <c r="J5" s="53">
        <v>4867.7650000000003</v>
      </c>
      <c r="L5" s="54" t="s">
        <v>27</v>
      </c>
      <c r="M5" s="55">
        <v>62.4</v>
      </c>
      <c r="N5" s="56">
        <v>62.4</v>
      </c>
      <c r="O5" s="56">
        <v>62.4</v>
      </c>
      <c r="P5" s="56">
        <v>62.4</v>
      </c>
      <c r="Q5" s="56">
        <v>62.4</v>
      </c>
      <c r="R5" s="56">
        <v>62.4</v>
      </c>
      <c r="S5" s="56">
        <v>62.4</v>
      </c>
      <c r="T5" s="56">
        <v>62.4</v>
      </c>
    </row>
    <row r="6" spans="2:23" ht="15" thickBot="1" x14ac:dyDescent="0.4">
      <c r="B6" s="57" t="s">
        <v>2</v>
      </c>
      <c r="C6" s="58" t="s">
        <v>159</v>
      </c>
      <c r="D6" s="59">
        <f t="shared" ref="D6:J6" si="0">D5/C5-1</f>
        <v>0.21314834234088886</v>
      </c>
      <c r="E6" s="60">
        <f t="shared" si="0"/>
        <v>-4.3542628030373565E-2</v>
      </c>
      <c r="F6" s="60">
        <f t="shared" si="0"/>
        <v>0.10147557673878449</v>
      </c>
      <c r="G6" s="61">
        <f t="shared" si="0"/>
        <v>0.12731452627061279</v>
      </c>
      <c r="H6" s="59">
        <f t="shared" si="0"/>
        <v>0.14927532377735808</v>
      </c>
      <c r="I6" s="59">
        <f t="shared" si="0"/>
        <v>2.4752657324653482E-2</v>
      </c>
      <c r="J6" s="59">
        <f t="shared" si="0"/>
        <v>0.15701867434626959</v>
      </c>
      <c r="L6" s="62" t="s">
        <v>28</v>
      </c>
      <c r="M6" s="63">
        <v>727.74</v>
      </c>
      <c r="N6" s="64">
        <v>869.74</v>
      </c>
      <c r="O6" s="64">
        <v>1039.615</v>
      </c>
      <c r="P6" s="64">
        <v>1352.5119999999999</v>
      </c>
      <c r="Q6" s="64">
        <v>1617.153</v>
      </c>
      <c r="R6" s="64">
        <v>1969.8889999999999</v>
      </c>
      <c r="S6" s="64">
        <v>2312.7289999999998</v>
      </c>
      <c r="T6" s="64">
        <v>2923.99</v>
      </c>
    </row>
    <row r="7" spans="2:23" ht="15" thickBot="1" x14ac:dyDescent="0.4">
      <c r="B7" s="57" t="s">
        <v>3</v>
      </c>
      <c r="C7" s="58" t="s">
        <v>159</v>
      </c>
      <c r="D7" s="58" t="s">
        <v>159</v>
      </c>
      <c r="E7" s="58" t="s">
        <v>159</v>
      </c>
      <c r="F7" s="60">
        <f>+((F5/C5)^(1/3)-1)</f>
        <v>8.5220860404775278E-2</v>
      </c>
      <c r="G7" s="61">
        <f>+((G5/D5)^(1/3)-1)</f>
        <v>5.8998141644728053E-2</v>
      </c>
      <c r="H7" s="59">
        <f>+((H5/E5)^(1/3)-1)</f>
        <v>0.12585212632138298</v>
      </c>
      <c r="I7" s="59">
        <f>+((I5/F5)^(1/3)-1)</f>
        <v>9.9080272670956315E-2</v>
      </c>
      <c r="J7" s="59">
        <f>+((J5/G5)^(1/3)-1)</f>
        <v>0.10865010188442481</v>
      </c>
      <c r="L7" s="65" t="s">
        <v>29</v>
      </c>
      <c r="M7" s="66">
        <f>M5+M6</f>
        <v>790.14</v>
      </c>
      <c r="N7" s="67">
        <f>N5+N6</f>
        <v>932.14</v>
      </c>
      <c r="O7" s="67">
        <f>O5+O6</f>
        <v>1102.0150000000001</v>
      </c>
      <c r="P7" s="67">
        <f>P5+P6+P8</f>
        <v>1467.8320000000001</v>
      </c>
      <c r="Q7" s="67">
        <f>Q5+Q6+Q8</f>
        <v>1721.798</v>
      </c>
      <c r="R7" s="67">
        <f>R5+R6</f>
        <v>2032.289</v>
      </c>
      <c r="S7" s="68">
        <f>S5+S6</f>
        <v>2375.1289999999999</v>
      </c>
      <c r="T7" s="68">
        <f>T5+T6</f>
        <v>2986.39</v>
      </c>
    </row>
    <row r="8" spans="2:23" x14ac:dyDescent="0.35">
      <c r="B8" s="69" t="s">
        <v>4</v>
      </c>
      <c r="C8" s="70">
        <f t="shared" ref="C8:I8" si="1">SUM(C9:C14)</f>
        <v>2256.17</v>
      </c>
      <c r="D8" s="70">
        <f t="shared" si="1"/>
        <v>2686.86</v>
      </c>
      <c r="E8" s="71">
        <f t="shared" si="1"/>
        <v>2561.7730000000001</v>
      </c>
      <c r="F8" s="71">
        <f t="shared" si="1"/>
        <v>2752.72</v>
      </c>
      <c r="G8" s="72">
        <f>SUM(G9:G14)</f>
        <v>3075.4490000000001</v>
      </c>
      <c r="H8" s="73">
        <f t="shared" si="1"/>
        <v>3520.7079999999996</v>
      </c>
      <c r="I8" s="73">
        <f t="shared" si="1"/>
        <v>3630.297</v>
      </c>
      <c r="J8" s="73">
        <f>SUM(J9:J14)</f>
        <v>4259.0390000000007</v>
      </c>
      <c r="L8" s="74" t="s">
        <v>30</v>
      </c>
      <c r="M8" s="75" t="s">
        <v>104</v>
      </c>
      <c r="N8" s="76" t="s">
        <v>104</v>
      </c>
      <c r="O8" s="76" t="s">
        <v>104</v>
      </c>
      <c r="P8" s="77">
        <v>52.92</v>
      </c>
      <c r="Q8" s="77">
        <v>42.244999999999997</v>
      </c>
      <c r="R8" s="76" t="s">
        <v>104</v>
      </c>
      <c r="S8" s="76" t="s">
        <v>104</v>
      </c>
      <c r="T8" s="76" t="s">
        <v>104</v>
      </c>
    </row>
    <row r="9" spans="2:23" x14ac:dyDescent="0.35">
      <c r="B9" s="78" t="s">
        <v>93</v>
      </c>
      <c r="C9" s="79">
        <v>1492.79</v>
      </c>
      <c r="D9" s="79">
        <v>1722.99</v>
      </c>
      <c r="E9" s="80">
        <v>1601.6210000000001</v>
      </c>
      <c r="F9" s="80">
        <v>1636.23</v>
      </c>
      <c r="G9" s="81">
        <v>1949.1089999999999</v>
      </c>
      <c r="H9" s="79">
        <v>2116.0549999999998</v>
      </c>
      <c r="I9" s="79">
        <v>2259.1019999999999</v>
      </c>
      <c r="J9" s="79">
        <v>2614.701</v>
      </c>
      <c r="L9" s="82" t="s">
        <v>31</v>
      </c>
      <c r="M9" s="79">
        <v>35.520000000000003</v>
      </c>
      <c r="N9" s="80">
        <v>35.520000000000003</v>
      </c>
      <c r="O9" s="80">
        <v>35.512999999999998</v>
      </c>
      <c r="P9" s="80">
        <v>35.512999999999998</v>
      </c>
      <c r="Q9" s="80">
        <v>59.661999999999999</v>
      </c>
      <c r="R9" s="80">
        <v>39.64</v>
      </c>
      <c r="S9" s="80">
        <v>37.139000000000003</v>
      </c>
      <c r="T9" s="80">
        <v>25.067</v>
      </c>
    </row>
    <row r="10" spans="2:23" ht="15" thickBot="1" x14ac:dyDescent="0.4">
      <c r="B10" s="78" t="s">
        <v>94</v>
      </c>
      <c r="C10" s="79">
        <v>157.16</v>
      </c>
      <c r="D10" s="79">
        <v>200.37</v>
      </c>
      <c r="E10" s="80">
        <v>185.89099999999999</v>
      </c>
      <c r="F10" s="80">
        <v>250.80799999999999</v>
      </c>
      <c r="G10" s="81">
        <v>332.798</v>
      </c>
      <c r="H10" s="79">
        <v>380.02699999999999</v>
      </c>
      <c r="I10" s="83">
        <v>352.49799999999999</v>
      </c>
      <c r="J10" s="83">
        <v>395.82400000000001</v>
      </c>
      <c r="L10" s="84" t="s">
        <v>32</v>
      </c>
      <c r="M10" s="63">
        <v>470.89</v>
      </c>
      <c r="N10" s="64">
        <v>452.94</v>
      </c>
      <c r="O10" s="64">
        <v>323.548</v>
      </c>
      <c r="P10" s="64">
        <v>532.98699999999997</v>
      </c>
      <c r="Q10" s="64">
        <v>474.11500000000001</v>
      </c>
      <c r="R10" s="64">
        <v>867.76400000000001</v>
      </c>
      <c r="S10" s="64">
        <v>889.779</v>
      </c>
      <c r="T10" s="64">
        <v>1132.915</v>
      </c>
    </row>
    <row r="11" spans="2:23" ht="15" thickBot="1" x14ac:dyDescent="0.4">
      <c r="B11" s="78" t="s">
        <v>95</v>
      </c>
      <c r="C11" s="79">
        <v>10.18</v>
      </c>
      <c r="D11" s="79">
        <v>-34.770000000000003</v>
      </c>
      <c r="E11" s="80">
        <v>-29.553000000000001</v>
      </c>
      <c r="F11" s="80">
        <v>122.41200000000001</v>
      </c>
      <c r="G11" s="81">
        <v>-128.47499999999999</v>
      </c>
      <c r="H11" s="79">
        <v>11.324999999999999</v>
      </c>
      <c r="I11" s="83">
        <v>-71.122</v>
      </c>
      <c r="J11" s="83">
        <v>-65.561999999999998</v>
      </c>
      <c r="L11" s="65" t="s">
        <v>33</v>
      </c>
      <c r="M11" s="66">
        <f t="shared" ref="M11:Q11" si="2">M9+M10</f>
        <v>506.40999999999997</v>
      </c>
      <c r="N11" s="67">
        <f t="shared" si="2"/>
        <v>488.46</v>
      </c>
      <c r="O11" s="67">
        <f t="shared" si="2"/>
        <v>359.06099999999998</v>
      </c>
      <c r="P11" s="67">
        <f t="shared" si="2"/>
        <v>568.5</v>
      </c>
      <c r="Q11" s="67">
        <f t="shared" si="2"/>
        <v>533.77700000000004</v>
      </c>
      <c r="R11" s="67">
        <f>R9+R10</f>
        <v>907.404</v>
      </c>
      <c r="S11" s="67">
        <f>S9+S10</f>
        <v>926.91800000000001</v>
      </c>
      <c r="T11" s="67">
        <f>T9+T10</f>
        <v>1157.982</v>
      </c>
    </row>
    <row r="12" spans="2:23" ht="15" thickBot="1" x14ac:dyDescent="0.4">
      <c r="B12" s="78" t="s">
        <v>96</v>
      </c>
      <c r="C12" s="79">
        <v>398.25</v>
      </c>
      <c r="D12" s="79">
        <v>583.6</v>
      </c>
      <c r="E12" s="80">
        <v>660.18499999999995</v>
      </c>
      <c r="F12" s="80">
        <v>582.03399999999999</v>
      </c>
      <c r="G12" s="81">
        <v>730.54600000000005</v>
      </c>
      <c r="H12" s="79">
        <v>773.94500000000005</v>
      </c>
      <c r="I12" s="83">
        <v>833.78499999999997</v>
      </c>
      <c r="J12" s="83">
        <v>1023.3339999999999</v>
      </c>
      <c r="L12" s="65" t="s">
        <v>34</v>
      </c>
      <c r="M12" s="66">
        <f t="shared" ref="M12:S12" si="3">M7+M43</f>
        <v>829.08</v>
      </c>
      <c r="N12" s="67">
        <f t="shared" si="3"/>
        <v>974.09</v>
      </c>
      <c r="O12" s="67">
        <f t="shared" si="3"/>
        <v>1145.9050000000002</v>
      </c>
      <c r="P12" s="67">
        <f t="shared" si="3"/>
        <v>1509.5550000000001</v>
      </c>
      <c r="Q12" s="85">
        <f t="shared" si="3"/>
        <v>1844.8009999999999</v>
      </c>
      <c r="R12" s="85">
        <f>R7+R43</f>
        <v>2144.471</v>
      </c>
      <c r="S12" s="85">
        <f t="shared" si="3"/>
        <v>2493.6329999999998</v>
      </c>
      <c r="T12" s="85">
        <f>T7+T43</f>
        <v>3036.701</v>
      </c>
    </row>
    <row r="13" spans="2:23" ht="15" thickBot="1" x14ac:dyDescent="0.4">
      <c r="B13" s="78" t="s">
        <v>5</v>
      </c>
      <c r="C13" s="79">
        <v>115.5</v>
      </c>
      <c r="D13" s="79">
        <v>124.73</v>
      </c>
      <c r="E13" s="80">
        <v>106.79900000000001</v>
      </c>
      <c r="F13" s="80">
        <v>124.703</v>
      </c>
      <c r="G13" s="81">
        <v>147.018</v>
      </c>
      <c r="H13" s="79">
        <v>187.245</v>
      </c>
      <c r="I13" s="83">
        <v>191.83500000000001</v>
      </c>
      <c r="J13" s="83">
        <v>198.95</v>
      </c>
      <c r="L13" s="65" t="s">
        <v>34</v>
      </c>
      <c r="M13" s="66">
        <f>M48-M35</f>
        <v>829.07999999999993</v>
      </c>
      <c r="N13" s="67">
        <f t="shared" ref="N13:O13" si="4">N48-N35</f>
        <v>974.09000000000015</v>
      </c>
      <c r="O13" s="67">
        <f t="shared" si="4"/>
        <v>1145.9049999999997</v>
      </c>
      <c r="P13" s="67">
        <f>P48-P35</f>
        <v>1509.5569999999998</v>
      </c>
      <c r="Q13" s="67">
        <f>Q48-Q35</f>
        <v>1844.8030000000001</v>
      </c>
      <c r="R13" s="67">
        <f>R48-R35</f>
        <v>2144.4709999999995</v>
      </c>
      <c r="S13" s="67">
        <f>S48-S35</f>
        <v>2493.6319999999996</v>
      </c>
      <c r="T13" s="67">
        <f>T48-T35</f>
        <v>3036.6990000000005</v>
      </c>
    </row>
    <row r="14" spans="2:23" ht="15" thickBot="1" x14ac:dyDescent="0.4">
      <c r="B14" s="78" t="s">
        <v>6</v>
      </c>
      <c r="C14" s="79">
        <v>82.29</v>
      </c>
      <c r="D14" s="79">
        <v>89.94</v>
      </c>
      <c r="E14" s="80">
        <v>36.83</v>
      </c>
      <c r="F14" s="80">
        <v>36.533000000000001</v>
      </c>
      <c r="G14" s="81">
        <v>44.453000000000003</v>
      </c>
      <c r="H14" s="79">
        <v>52.110999999999997</v>
      </c>
      <c r="I14" s="83">
        <v>64.198999999999998</v>
      </c>
      <c r="J14" s="83">
        <v>91.792000000000002</v>
      </c>
      <c r="L14" s="86"/>
      <c r="M14" s="86"/>
      <c r="N14" s="86"/>
      <c r="O14" s="86"/>
      <c r="P14" s="86"/>
      <c r="Q14" s="86"/>
      <c r="R14" s="86"/>
      <c r="S14" s="86"/>
      <c r="T14" s="87"/>
    </row>
    <row r="15" spans="2:23" ht="15" thickBot="1" x14ac:dyDescent="0.4">
      <c r="B15" s="69" t="s">
        <v>7</v>
      </c>
      <c r="C15" s="70">
        <f t="shared" ref="C15:H15" si="5">C5-C8</f>
        <v>223.23000000000002</v>
      </c>
      <c r="D15" s="70">
        <f t="shared" si="5"/>
        <v>321.02</v>
      </c>
      <c r="E15" s="71">
        <f t="shared" si="5"/>
        <v>315.13599999999997</v>
      </c>
      <c r="F15" s="71">
        <f t="shared" si="5"/>
        <v>416.125</v>
      </c>
      <c r="G15" s="72">
        <f>G5-G8</f>
        <v>496.83599999999979</v>
      </c>
      <c r="H15" s="73">
        <f t="shared" si="5"/>
        <v>584.83100000000013</v>
      </c>
      <c r="I15" s="73">
        <f>I5-I8</f>
        <v>576.86500000000024</v>
      </c>
      <c r="J15" s="73">
        <f>J5-J8</f>
        <v>608.72599999999966</v>
      </c>
      <c r="L15" s="88" t="s">
        <v>36</v>
      </c>
      <c r="M15" s="89">
        <f t="shared" ref="M15:S15" si="6">SUM(M16:M22)</f>
        <v>465.78000000000003</v>
      </c>
      <c r="N15" s="90">
        <f t="shared" si="6"/>
        <v>495.21000000000004</v>
      </c>
      <c r="O15" s="91">
        <f t="shared" si="6"/>
        <v>483.78300000000002</v>
      </c>
      <c r="P15" s="91">
        <f t="shared" si="6"/>
        <v>695.13099999999986</v>
      </c>
      <c r="Q15" s="91">
        <f t="shared" si="6"/>
        <v>814.58600000000013</v>
      </c>
      <c r="R15" s="92">
        <f t="shared" si="6"/>
        <v>1183.808</v>
      </c>
      <c r="S15" s="92">
        <f t="shared" si="6"/>
        <v>1372.6849999999999</v>
      </c>
      <c r="T15" s="92">
        <f>SUM(T16:T22)</f>
        <v>2067.8810000000003</v>
      </c>
      <c r="V15" s="35"/>
    </row>
    <row r="16" spans="2:23" x14ac:dyDescent="0.35">
      <c r="B16" s="57" t="s">
        <v>2</v>
      </c>
      <c r="C16" s="93" t="s">
        <v>159</v>
      </c>
      <c r="D16" s="59">
        <f t="shared" ref="D16:J16" si="7">D15/C15-1</f>
        <v>0.43806835998745663</v>
      </c>
      <c r="E16" s="94">
        <f t="shared" si="7"/>
        <v>-1.8329076070026873E-2</v>
      </c>
      <c r="F16" s="94">
        <f t="shared" si="7"/>
        <v>0.32046164195775795</v>
      </c>
      <c r="G16" s="61">
        <f t="shared" si="7"/>
        <v>0.19395854610994245</v>
      </c>
      <c r="H16" s="59">
        <f t="shared" si="7"/>
        <v>0.17711075686947075</v>
      </c>
      <c r="I16" s="59">
        <f t="shared" si="7"/>
        <v>-1.3621028981021688E-2</v>
      </c>
      <c r="J16" s="59">
        <f t="shared" si="7"/>
        <v>5.5231293283522831E-2</v>
      </c>
      <c r="L16" s="95" t="s">
        <v>37</v>
      </c>
      <c r="M16" s="96">
        <v>426.39</v>
      </c>
      <c r="N16" s="97">
        <v>452.41</v>
      </c>
      <c r="O16" s="98">
        <v>422.238</v>
      </c>
      <c r="P16" s="98">
        <v>474.47699999999998</v>
      </c>
      <c r="Q16" s="98">
        <v>629.18600000000004</v>
      </c>
      <c r="R16" s="98">
        <v>1069.5889999999999</v>
      </c>
      <c r="S16" s="98">
        <v>1234.8879999999999</v>
      </c>
      <c r="T16" s="98">
        <v>1284.925</v>
      </c>
      <c r="W16" s="36"/>
    </row>
    <row r="17" spans="2:25" x14ac:dyDescent="0.35">
      <c r="B17" s="57" t="s">
        <v>3</v>
      </c>
      <c r="C17" s="93" t="s">
        <v>159</v>
      </c>
      <c r="D17" s="93" t="s">
        <v>159</v>
      </c>
      <c r="E17" s="94">
        <f>+((E15/C15)^(1/2)-1)</f>
        <v>0.18815398649474213</v>
      </c>
      <c r="F17" s="94">
        <f>+((F15/C15)^(1/3)-1)</f>
        <v>0.23071383570129789</v>
      </c>
      <c r="G17" s="61">
        <f>+((G15/D15)^(1/3)-1)</f>
        <v>0.15671665479517327</v>
      </c>
      <c r="H17" s="59">
        <f>+((H15/E15)^(1/3)-1)</f>
        <v>0.22888371472486568</v>
      </c>
      <c r="I17" s="59">
        <f>+((I15/F15)^(1/3)-1)</f>
        <v>0.11502206223918421</v>
      </c>
      <c r="J17" s="59">
        <f>+((J15/G15)^(1/3)-1)</f>
        <v>7.0047192101253319E-2</v>
      </c>
      <c r="L17" s="99" t="s">
        <v>97</v>
      </c>
      <c r="M17" s="100">
        <v>12.6</v>
      </c>
      <c r="N17" s="101">
        <v>9.31</v>
      </c>
      <c r="O17" s="102">
        <v>3.0489999999999999</v>
      </c>
      <c r="P17" s="102">
        <v>44.578000000000003</v>
      </c>
      <c r="Q17" s="102">
        <v>0.51700000000000002</v>
      </c>
      <c r="R17" s="102">
        <v>0.70799999999999996</v>
      </c>
      <c r="S17" s="102">
        <v>0.42899999999999999</v>
      </c>
      <c r="T17" s="102">
        <v>0.47799999999999998</v>
      </c>
    </row>
    <row r="18" spans="2:25" x14ac:dyDescent="0.35">
      <c r="B18" s="69" t="s">
        <v>8</v>
      </c>
      <c r="C18" s="103">
        <f t="shared" ref="C18:H18" si="8">C15/C5</f>
        <v>9.0033879164313949E-2</v>
      </c>
      <c r="D18" s="103">
        <f t="shared" si="8"/>
        <v>0.10672633216750667</v>
      </c>
      <c r="E18" s="104">
        <f t="shared" si="8"/>
        <v>0.1095397873203497</v>
      </c>
      <c r="F18" s="104">
        <f t="shared" si="8"/>
        <v>0.13131756207703438</v>
      </c>
      <c r="G18" s="105">
        <f t="shared" si="8"/>
        <v>0.13908072844131972</v>
      </c>
      <c r="H18" s="106">
        <f t="shared" si="8"/>
        <v>0.14244926183870135</v>
      </c>
      <c r="I18" s="106">
        <f t="shared" ref="I18" si="9">I15/I5</f>
        <v>0.13711499580952677</v>
      </c>
      <c r="J18" s="106">
        <f>J15/J5</f>
        <v>0.12505246247507831</v>
      </c>
      <c r="L18" s="99" t="s">
        <v>98</v>
      </c>
      <c r="M18" s="100">
        <v>1.02</v>
      </c>
      <c r="N18" s="101">
        <v>4.57</v>
      </c>
      <c r="O18" s="102">
        <v>30.427</v>
      </c>
      <c r="P18" s="102">
        <v>145.596</v>
      </c>
      <c r="Q18" s="102">
        <v>147.38800000000001</v>
      </c>
      <c r="R18" s="102">
        <v>82.552999999999997</v>
      </c>
      <c r="S18" s="102">
        <v>102.124</v>
      </c>
      <c r="T18" s="102">
        <v>742.67600000000004</v>
      </c>
    </row>
    <row r="19" spans="2:25" x14ac:dyDescent="0.35">
      <c r="B19" s="78" t="s">
        <v>9</v>
      </c>
      <c r="C19" s="79">
        <v>8.25</v>
      </c>
      <c r="D19" s="79">
        <v>1.87</v>
      </c>
      <c r="E19" s="80">
        <v>4.5860000000000003</v>
      </c>
      <c r="F19" s="80">
        <v>32.212000000000003</v>
      </c>
      <c r="G19" s="81">
        <v>31.381</v>
      </c>
      <c r="H19" s="79">
        <v>31.469000000000001</v>
      </c>
      <c r="I19" s="83">
        <v>41.344000000000001</v>
      </c>
      <c r="J19" s="83">
        <v>289.06200000000001</v>
      </c>
      <c r="L19" s="99" t="s">
        <v>38</v>
      </c>
      <c r="M19" s="100"/>
      <c r="N19" s="101"/>
      <c r="O19" s="102"/>
      <c r="P19" s="102"/>
      <c r="Q19" s="102"/>
      <c r="R19" s="102"/>
      <c r="S19" s="102"/>
      <c r="T19" s="102"/>
    </row>
    <row r="20" spans="2:25" x14ac:dyDescent="0.35">
      <c r="B20" s="78" t="s">
        <v>10</v>
      </c>
      <c r="C20" s="79">
        <v>53.77</v>
      </c>
      <c r="D20" s="79">
        <v>56.52</v>
      </c>
      <c r="E20" s="80">
        <v>56.33</v>
      </c>
      <c r="F20" s="80">
        <v>57.808</v>
      </c>
      <c r="G20" s="81">
        <v>82.884</v>
      </c>
      <c r="H20" s="79">
        <v>82.680999999999997</v>
      </c>
      <c r="I20" s="83">
        <v>78.725999999999999</v>
      </c>
      <c r="J20" s="83">
        <v>96.039000000000001</v>
      </c>
      <c r="L20" s="99" t="s">
        <v>155</v>
      </c>
      <c r="M20" s="100">
        <v>12.35</v>
      </c>
      <c r="N20" s="101">
        <v>12.26</v>
      </c>
      <c r="O20" s="102">
        <v>7.8570000000000002</v>
      </c>
      <c r="P20" s="102">
        <v>10.111000000000001</v>
      </c>
      <c r="Q20" s="102">
        <v>9.4649999999999999</v>
      </c>
      <c r="R20" s="102">
        <v>12.712999999999999</v>
      </c>
      <c r="S20" s="102">
        <v>12.302</v>
      </c>
      <c r="T20" s="102">
        <v>15.217000000000001</v>
      </c>
    </row>
    <row r="21" spans="2:25" x14ac:dyDescent="0.35">
      <c r="B21" s="78" t="s">
        <v>149</v>
      </c>
      <c r="C21" s="79">
        <v>42.3</v>
      </c>
      <c r="D21" s="79">
        <v>39.47</v>
      </c>
      <c r="E21" s="80">
        <v>25.667999999999999</v>
      </c>
      <c r="F21" s="80">
        <v>15.98</v>
      </c>
      <c r="G21" s="81">
        <v>20.431999999999999</v>
      </c>
      <c r="H21" s="79">
        <v>24.579000000000001</v>
      </c>
      <c r="I21" s="83">
        <v>42.466000000000001</v>
      </c>
      <c r="J21" s="83">
        <v>60.517000000000003</v>
      </c>
      <c r="L21" s="107" t="s">
        <v>101</v>
      </c>
      <c r="M21" s="108" t="s">
        <v>104</v>
      </c>
      <c r="N21" s="109" t="s">
        <v>104</v>
      </c>
      <c r="O21" s="102">
        <v>6.0000000000000001E-3</v>
      </c>
      <c r="P21" s="102">
        <v>6.0000000000000001E-3</v>
      </c>
      <c r="Q21" s="102">
        <v>6.0000000000000001E-3</v>
      </c>
      <c r="R21" s="110">
        <v>6.0000000000000001E-3</v>
      </c>
      <c r="S21" s="110">
        <v>6.0000000000000001E-3</v>
      </c>
      <c r="T21" s="110">
        <v>6.0000000000000001E-3</v>
      </c>
    </row>
    <row r="22" spans="2:25" ht="15" thickBot="1" x14ac:dyDescent="0.4">
      <c r="B22" s="78" t="s">
        <v>11</v>
      </c>
      <c r="C22" s="79"/>
      <c r="D22" s="79"/>
      <c r="E22" s="80">
        <v>15.298999999999999</v>
      </c>
      <c r="F22" s="111" t="s">
        <v>104</v>
      </c>
      <c r="G22" s="112" t="s">
        <v>104</v>
      </c>
      <c r="H22" s="83" t="s">
        <v>104</v>
      </c>
      <c r="I22" s="113" t="s">
        <v>104</v>
      </c>
      <c r="J22" s="113" t="s">
        <v>104</v>
      </c>
      <c r="L22" s="114" t="s">
        <v>156</v>
      </c>
      <c r="M22" s="115">
        <v>13.42</v>
      </c>
      <c r="N22" s="116">
        <v>16.66</v>
      </c>
      <c r="O22" s="117">
        <v>20.206</v>
      </c>
      <c r="P22" s="117">
        <v>20.363</v>
      </c>
      <c r="Q22" s="117">
        <v>28.024000000000001</v>
      </c>
      <c r="R22" s="117">
        <v>18.239000000000001</v>
      </c>
      <c r="S22" s="118">
        <v>22.936</v>
      </c>
      <c r="T22" s="117">
        <v>24.579000000000001</v>
      </c>
    </row>
    <row r="23" spans="2:25" ht="15" thickBot="1" x14ac:dyDescent="0.4">
      <c r="B23" s="78" t="s">
        <v>12</v>
      </c>
      <c r="C23" s="79"/>
      <c r="D23" s="79"/>
      <c r="E23" s="111" t="s">
        <v>104</v>
      </c>
      <c r="F23" s="111" t="s">
        <v>104</v>
      </c>
      <c r="G23" s="112" t="s">
        <v>104</v>
      </c>
      <c r="H23" s="83" t="s">
        <v>104</v>
      </c>
      <c r="I23" s="113" t="s">
        <v>104</v>
      </c>
      <c r="J23" s="113" t="s">
        <v>104</v>
      </c>
      <c r="L23" s="86"/>
      <c r="M23" s="86"/>
      <c r="N23" s="86"/>
      <c r="O23" s="86"/>
      <c r="P23" s="86"/>
      <c r="Q23" s="86"/>
      <c r="R23" s="86"/>
      <c r="S23" s="86"/>
    </row>
    <row r="24" spans="2:25" ht="15" thickBot="1" x14ac:dyDescent="0.4">
      <c r="B24" s="69" t="s">
        <v>13</v>
      </c>
      <c r="C24" s="70">
        <f>C15+C19-C20-C21</f>
        <v>135.41000000000003</v>
      </c>
      <c r="D24" s="70">
        <f>D15+D19-D20-D21</f>
        <v>226.9</v>
      </c>
      <c r="E24" s="71">
        <f>E15+E19-E20-E21+E22</f>
        <v>253.023</v>
      </c>
      <c r="F24" s="71">
        <f>F15+F19-F20-F21</f>
        <v>374.54899999999998</v>
      </c>
      <c r="G24" s="72">
        <f>G15+G19-G20-G21</f>
        <v>424.90099999999973</v>
      </c>
      <c r="H24" s="73">
        <f>H15+H19-H20-H21</f>
        <v>509.04000000000013</v>
      </c>
      <c r="I24" s="73">
        <f>I15+I19-I20-I21</f>
        <v>497.01700000000028</v>
      </c>
      <c r="J24" s="268">
        <f>J15+J19-J20-J21</f>
        <v>741.23199999999963</v>
      </c>
      <c r="L24" s="119" t="s">
        <v>39</v>
      </c>
      <c r="M24" s="89">
        <f>SUM(M25:M33)</f>
        <v>1262.1299999999999</v>
      </c>
      <c r="N24" s="89">
        <f>SUM(N25:N33)</f>
        <v>1491.8500000000001</v>
      </c>
      <c r="O24" s="91">
        <f>SUM(O25:O33)</f>
        <v>1484.9209999999998</v>
      </c>
      <c r="P24" s="91">
        <f>SUM(P25:P33)</f>
        <v>1830.2669999999998</v>
      </c>
      <c r="Q24" s="91">
        <f>SUM(Q25:Q34)</f>
        <v>1933.7940000000001</v>
      </c>
      <c r="R24" s="91">
        <f>SUM(R25:R34)</f>
        <v>2358.4949999999994</v>
      </c>
      <c r="S24" s="91">
        <f>SUM(S25:S34)</f>
        <v>2504.5529999999999</v>
      </c>
      <c r="T24" s="91">
        <f>SUM(T25:T34)</f>
        <v>2859.8009999999999</v>
      </c>
    </row>
    <row r="25" spans="2:25" x14ac:dyDescent="0.35">
      <c r="B25" s="78" t="s">
        <v>14</v>
      </c>
      <c r="C25" s="79">
        <v>50.96</v>
      </c>
      <c r="D25" s="79">
        <v>76.989999999999995</v>
      </c>
      <c r="E25" s="80">
        <f>65.305-1.124</f>
        <v>64.181000000000012</v>
      </c>
      <c r="F25" s="80">
        <v>91.427999999999997</v>
      </c>
      <c r="G25" s="81">
        <v>109.33799999999999</v>
      </c>
      <c r="H25" s="83">
        <v>139.66900000000001</v>
      </c>
      <c r="I25" s="83">
        <f>118.191+9.468+6.199</f>
        <v>133.858</v>
      </c>
      <c r="J25" s="83">
        <v>166.88300000000001</v>
      </c>
      <c r="L25" s="120" t="s">
        <v>40</v>
      </c>
      <c r="M25" s="121">
        <v>649.08000000000004</v>
      </c>
      <c r="N25" s="121">
        <v>677.59</v>
      </c>
      <c r="O25" s="122">
        <v>757.34799999999996</v>
      </c>
      <c r="P25" s="122">
        <v>572.11699999999996</v>
      </c>
      <c r="Q25" s="122">
        <v>715.19100000000003</v>
      </c>
      <c r="R25" s="123">
        <v>857.30499999999995</v>
      </c>
      <c r="S25" s="124">
        <v>1068.1969999999999</v>
      </c>
      <c r="T25" s="123">
        <v>1432.0609999999999</v>
      </c>
    </row>
    <row r="26" spans="2:25" x14ac:dyDescent="0.35">
      <c r="B26" s="57" t="s">
        <v>15</v>
      </c>
      <c r="C26" s="125">
        <f t="shared" ref="C26:H26" si="10">C25/C24</f>
        <v>0.37633852743519675</v>
      </c>
      <c r="D26" s="125">
        <f t="shared" si="10"/>
        <v>0.33931247245482588</v>
      </c>
      <c r="E26" s="126">
        <f t="shared" si="10"/>
        <v>0.25365678218976145</v>
      </c>
      <c r="F26" s="126">
        <f t="shared" si="10"/>
        <v>0.24410157282491743</v>
      </c>
      <c r="G26" s="127">
        <f>G25/G24</f>
        <v>0.25732582413315119</v>
      </c>
      <c r="H26" s="128">
        <f t="shared" si="10"/>
        <v>0.27437725915448685</v>
      </c>
      <c r="I26" s="128">
        <f t="shared" ref="I26" si="11">I25/I24</f>
        <v>0.26932277970371221</v>
      </c>
      <c r="J26" s="128">
        <f>J25/J24</f>
        <v>0.225142735337924</v>
      </c>
      <c r="L26" s="99" t="s">
        <v>38</v>
      </c>
      <c r="M26" s="129"/>
      <c r="N26" s="129"/>
      <c r="O26" s="130"/>
      <c r="P26" s="130"/>
      <c r="Q26" s="130"/>
      <c r="R26" s="131"/>
      <c r="S26" s="132"/>
      <c r="T26" s="131"/>
    </row>
    <row r="27" spans="2:25" x14ac:dyDescent="0.35">
      <c r="B27" s="69" t="s">
        <v>16</v>
      </c>
      <c r="C27" s="70">
        <f t="shared" ref="C27:H27" si="12">C24-C25</f>
        <v>84.450000000000017</v>
      </c>
      <c r="D27" s="70">
        <f t="shared" si="12"/>
        <v>149.91000000000003</v>
      </c>
      <c r="E27" s="71">
        <f t="shared" si="12"/>
        <v>188.84199999999998</v>
      </c>
      <c r="F27" s="71">
        <f>F24-F25</f>
        <v>283.12099999999998</v>
      </c>
      <c r="G27" s="72">
        <f>G24-G25</f>
        <v>315.56299999999976</v>
      </c>
      <c r="H27" s="73">
        <f t="shared" si="12"/>
        <v>369.37100000000009</v>
      </c>
      <c r="I27" s="133">
        <f t="shared" ref="I27:J27" si="13">I24-I25</f>
        <v>363.15900000000028</v>
      </c>
      <c r="J27" s="133">
        <f t="shared" si="13"/>
        <v>574.34899999999959</v>
      </c>
      <c r="L27" s="99" t="s">
        <v>157</v>
      </c>
      <c r="M27" s="129">
        <v>2.5</v>
      </c>
      <c r="N27" s="129">
        <v>54.49</v>
      </c>
      <c r="O27" s="130">
        <v>212.51900000000001</v>
      </c>
      <c r="P27" s="130">
        <v>187.858</v>
      </c>
      <c r="Q27" s="134" t="s">
        <v>104</v>
      </c>
      <c r="R27" s="135">
        <v>269.863</v>
      </c>
      <c r="S27" s="136">
        <v>145.35</v>
      </c>
      <c r="T27" s="135">
        <v>127.17100000000001</v>
      </c>
    </row>
    <row r="28" spans="2:25" x14ac:dyDescent="0.35">
      <c r="B28" s="69" t="s">
        <v>17</v>
      </c>
      <c r="C28" s="103">
        <f t="shared" ref="C28:H28" si="14">C27/C5</f>
        <v>3.4060659837057361E-2</v>
      </c>
      <c r="D28" s="103">
        <f t="shared" si="14"/>
        <v>4.9839089325372031E-2</v>
      </c>
      <c r="E28" s="104">
        <f t="shared" si="14"/>
        <v>6.5640588562238145E-2</v>
      </c>
      <c r="F28" s="104">
        <f t="shared" si="14"/>
        <v>8.9345171505706339E-2</v>
      </c>
      <c r="G28" s="105">
        <f t="shared" si="14"/>
        <v>8.833645691763109E-2</v>
      </c>
      <c r="H28" s="106">
        <f t="shared" si="14"/>
        <v>8.9968941958656373E-2</v>
      </c>
      <c r="I28" s="106">
        <f t="shared" ref="I28" si="15">I27/I5</f>
        <v>8.6319233725727765E-2</v>
      </c>
      <c r="J28" s="106">
        <f>J27/J5</f>
        <v>0.11799028917788749</v>
      </c>
      <c r="L28" s="107" t="s">
        <v>41</v>
      </c>
      <c r="M28" s="129">
        <v>342.53</v>
      </c>
      <c r="N28" s="129">
        <v>359.15</v>
      </c>
      <c r="O28" s="130">
        <v>222.05600000000001</v>
      </c>
      <c r="P28" s="130">
        <v>482.28899999999999</v>
      </c>
      <c r="Q28" s="130">
        <v>694.07299999999998</v>
      </c>
      <c r="R28" s="131">
        <v>588.04100000000005</v>
      </c>
      <c r="S28" s="132">
        <v>665.06100000000004</v>
      </c>
      <c r="T28" s="131">
        <v>840.66899999999998</v>
      </c>
    </row>
    <row r="29" spans="2:25" x14ac:dyDescent="0.35">
      <c r="B29" s="57" t="s">
        <v>3</v>
      </c>
      <c r="C29" s="93" t="s">
        <v>159</v>
      </c>
      <c r="D29" s="93" t="s">
        <v>159</v>
      </c>
      <c r="E29" s="94">
        <f>+((E27/C27)^(1/2)-1)</f>
        <v>0.4953727721372676</v>
      </c>
      <c r="F29" s="94">
        <f>+((F27/C27)^(1/3)-1)</f>
        <v>0.4966634167035322</v>
      </c>
      <c r="G29" s="61">
        <f>+((G27/D27)^(1/3)-1)</f>
        <v>0.28159800885223119</v>
      </c>
      <c r="H29" s="59">
        <f t="shared" ref="H29:J29" si="16">+((H27/E27)^(1/3)-1)</f>
        <v>0.25060857245335377</v>
      </c>
      <c r="I29" s="59">
        <f t="shared" si="16"/>
        <v>8.6529634563909497E-2</v>
      </c>
      <c r="J29" s="59">
        <f>+((J27/G27)^(1/3)-1)</f>
        <v>0.22094639724794596</v>
      </c>
      <c r="L29" s="107" t="s">
        <v>42</v>
      </c>
      <c r="M29" s="129">
        <v>19.170000000000002</v>
      </c>
      <c r="N29" s="129">
        <v>29.41</v>
      </c>
      <c r="O29" s="130">
        <v>52.472999999999999</v>
      </c>
      <c r="P29" s="130">
        <v>40.173999999999999</v>
      </c>
      <c r="Q29" s="130">
        <v>38.484999999999999</v>
      </c>
      <c r="R29" s="131">
        <v>41.683999999999997</v>
      </c>
      <c r="S29" s="132">
        <v>2.4449999999999998</v>
      </c>
      <c r="T29" s="131">
        <v>41.881999999999998</v>
      </c>
    </row>
    <row r="30" spans="2:25" x14ac:dyDescent="0.35">
      <c r="B30" s="78" t="s">
        <v>18</v>
      </c>
      <c r="C30" s="83" t="s">
        <v>104</v>
      </c>
      <c r="D30" s="83" t="s">
        <v>104</v>
      </c>
      <c r="E30" s="111" t="s">
        <v>104</v>
      </c>
      <c r="F30" s="80">
        <v>0.439</v>
      </c>
      <c r="G30" s="112" t="s">
        <v>104</v>
      </c>
      <c r="H30" s="83" t="s">
        <v>104</v>
      </c>
      <c r="I30" s="83" t="s">
        <v>104</v>
      </c>
      <c r="J30" s="83"/>
      <c r="L30" s="107" t="s">
        <v>43</v>
      </c>
      <c r="M30" s="129">
        <v>0.91</v>
      </c>
      <c r="N30" s="129">
        <v>0.74</v>
      </c>
      <c r="O30" s="130">
        <v>0.97099999999999997</v>
      </c>
      <c r="P30" s="130">
        <v>266.92500000000001</v>
      </c>
      <c r="Q30" s="130">
        <v>247.41200000000001</v>
      </c>
      <c r="R30" s="131">
        <v>358.64499999999998</v>
      </c>
      <c r="S30" s="132">
        <v>322.20600000000002</v>
      </c>
      <c r="T30" s="131">
        <v>20.527000000000001</v>
      </c>
    </row>
    <row r="31" spans="2:25" x14ac:dyDescent="0.35">
      <c r="B31" s="78" t="s">
        <v>19</v>
      </c>
      <c r="C31" s="79">
        <v>0.31</v>
      </c>
      <c r="D31" s="79">
        <v>7.58</v>
      </c>
      <c r="E31" s="80">
        <v>0.35099999999999998</v>
      </c>
      <c r="F31" s="80">
        <v>0.26300000000000001</v>
      </c>
      <c r="G31" s="112">
        <v>-10.676</v>
      </c>
      <c r="H31" s="79">
        <v>0.79</v>
      </c>
      <c r="I31" s="79">
        <v>-1.599</v>
      </c>
      <c r="J31" s="79">
        <v>5.4420000000000002</v>
      </c>
      <c r="L31" s="107" t="s">
        <v>44</v>
      </c>
      <c r="M31" s="129">
        <v>2.36</v>
      </c>
      <c r="N31" s="129">
        <v>2.95</v>
      </c>
      <c r="O31" s="130">
        <v>2.774</v>
      </c>
      <c r="P31" s="130">
        <v>0.55200000000000005</v>
      </c>
      <c r="Q31" s="130">
        <v>1.1639999999999999</v>
      </c>
      <c r="R31" s="131">
        <v>0.499</v>
      </c>
      <c r="S31" s="132">
        <v>1.804</v>
      </c>
      <c r="T31" s="131">
        <v>2.3519999999999999</v>
      </c>
    </row>
    <row r="32" spans="2:25" x14ac:dyDescent="0.35">
      <c r="B32" s="69" t="s">
        <v>20</v>
      </c>
      <c r="C32" s="70">
        <f>C27+C31</f>
        <v>84.760000000000019</v>
      </c>
      <c r="D32" s="70">
        <f>D27+D31</f>
        <v>157.49000000000004</v>
      </c>
      <c r="E32" s="71">
        <f>E27+E31</f>
        <v>189.19299999999998</v>
      </c>
      <c r="F32" s="71">
        <f>F27-F30+F31</f>
        <v>282.94499999999994</v>
      </c>
      <c r="G32" s="72">
        <f>G27-G31</f>
        <v>326.23899999999975</v>
      </c>
      <c r="H32" s="73">
        <f>H27+H31</f>
        <v>370.16100000000012</v>
      </c>
      <c r="I32" s="73">
        <f>I27+I31</f>
        <v>361.56000000000029</v>
      </c>
      <c r="J32" s="133">
        <f>J27+J31</f>
        <v>579.7909999999996</v>
      </c>
      <c r="L32" s="99" t="s">
        <v>158</v>
      </c>
      <c r="M32" s="137" t="s">
        <v>104</v>
      </c>
      <c r="N32" s="137" t="s">
        <v>104</v>
      </c>
      <c r="O32" s="134" t="s">
        <v>104</v>
      </c>
      <c r="P32" s="134" t="s">
        <v>104</v>
      </c>
      <c r="Q32" s="134" t="s">
        <v>104</v>
      </c>
      <c r="R32" s="138" t="s">
        <v>104</v>
      </c>
      <c r="S32" s="139" t="s">
        <v>104</v>
      </c>
      <c r="T32" s="138" t="s">
        <v>104</v>
      </c>
      <c r="U32" s="34"/>
      <c r="V32" s="34"/>
      <c r="W32" s="34"/>
      <c r="X32" s="34"/>
      <c r="Y32" s="34"/>
    </row>
    <row r="33" spans="2:21" ht="15" thickBot="1" x14ac:dyDescent="0.4">
      <c r="B33" s="57" t="s">
        <v>2</v>
      </c>
      <c r="C33" s="93" t="s">
        <v>159</v>
      </c>
      <c r="D33" s="59">
        <f t="shared" ref="D33:J33" si="17">D32/C32-1</f>
        <v>0.8580698442661634</v>
      </c>
      <c r="E33" s="94">
        <f t="shared" si="17"/>
        <v>0.20130166994729781</v>
      </c>
      <c r="F33" s="94">
        <f t="shared" si="17"/>
        <v>0.49553630419730088</v>
      </c>
      <c r="G33" s="61">
        <f t="shared" si="17"/>
        <v>0.15301206948346779</v>
      </c>
      <c r="H33" s="59">
        <f t="shared" si="17"/>
        <v>0.1346313592182431</v>
      </c>
      <c r="I33" s="59">
        <f t="shared" si="17"/>
        <v>-2.3235835217648049E-2</v>
      </c>
      <c r="J33" s="59">
        <f t="shared" si="17"/>
        <v>0.60358170151565194</v>
      </c>
      <c r="L33" s="114" t="s">
        <v>45</v>
      </c>
      <c r="M33" s="140">
        <v>245.58</v>
      </c>
      <c r="N33" s="140">
        <v>367.52</v>
      </c>
      <c r="O33" s="141">
        <v>236.78</v>
      </c>
      <c r="P33" s="141">
        <v>280.35199999999998</v>
      </c>
      <c r="Q33" s="141">
        <v>237.46899999999999</v>
      </c>
      <c r="R33" s="142">
        <v>242.458</v>
      </c>
      <c r="S33" s="143">
        <v>299.49</v>
      </c>
      <c r="T33" s="142">
        <v>395.13900000000001</v>
      </c>
    </row>
    <row r="34" spans="2:21" ht="15" thickBot="1" x14ac:dyDescent="0.4">
      <c r="B34" s="57" t="s">
        <v>3</v>
      </c>
      <c r="C34" s="93" t="s">
        <v>159</v>
      </c>
      <c r="D34" s="93" t="s">
        <v>159</v>
      </c>
      <c r="E34" s="94">
        <f>+((E32/C32)^(1/2)-1)</f>
        <v>0.4940222243312371</v>
      </c>
      <c r="F34" s="94">
        <f>+((F32/C32)^(1/3)-1)</f>
        <v>0.49452674722620538</v>
      </c>
      <c r="G34" s="61">
        <f>+((G32/D32)^(1/3)-1)</f>
        <v>0.27475766320285055</v>
      </c>
      <c r="H34" s="59">
        <f>+((H32/E32)^(1/3)-1)</f>
        <v>0.25072509945115473</v>
      </c>
      <c r="I34" s="59">
        <f>+((I32/F32)^(1/3)-1)</f>
        <v>8.5157520697867195E-2</v>
      </c>
      <c r="J34" s="59">
        <f>+((J32/G32)^(1/3)-1)</f>
        <v>0.21128181572047677</v>
      </c>
      <c r="L34" s="86"/>
      <c r="M34" s="86"/>
      <c r="N34" s="86"/>
      <c r="O34" s="86"/>
      <c r="P34" s="86"/>
      <c r="Q34" s="86"/>
      <c r="R34" s="86"/>
      <c r="S34" s="86"/>
    </row>
    <row r="35" spans="2:21" ht="15" thickBot="1" x14ac:dyDescent="0.4">
      <c r="B35" s="144" t="s">
        <v>21</v>
      </c>
      <c r="C35" s="145">
        <v>13.53</v>
      </c>
      <c r="D35" s="145">
        <v>24.02</v>
      </c>
      <c r="E35" s="146">
        <v>30.26</v>
      </c>
      <c r="F35" s="146">
        <v>45.3</v>
      </c>
      <c r="G35" s="147">
        <v>52.28</v>
      </c>
      <c r="H35" s="148">
        <v>59.19</v>
      </c>
      <c r="I35" s="148">
        <v>58.2</v>
      </c>
      <c r="J35" s="148">
        <v>92.04</v>
      </c>
      <c r="L35" s="88" t="s">
        <v>46</v>
      </c>
      <c r="M35" s="149">
        <f>M36+M37+M38+M40+M10</f>
        <v>898.82999999999993</v>
      </c>
      <c r="N35" s="150">
        <f>N36+N37+N38+N40+N10</f>
        <v>1012.97</v>
      </c>
      <c r="O35" s="151">
        <f>O36+O37+O38+O40+O10</f>
        <v>822.79899999999998</v>
      </c>
      <c r="P35" s="151">
        <f>P36+P37+P38+P40+P10</f>
        <v>1015.8409999999999</v>
      </c>
      <c r="Q35" s="151">
        <f>SUM(Q36:Q38)+Q10</f>
        <v>903.577</v>
      </c>
      <c r="R35" s="91">
        <f>SUM(R36:R38)+R10+R40</f>
        <v>1397.8320000000001</v>
      </c>
      <c r="S35" s="91">
        <f>SUM(S36:S38)+S10+S40</f>
        <v>1383.606</v>
      </c>
      <c r="T35" s="271">
        <f>SUM(T36:T38)+T10+T40</f>
        <v>1890.9829999999999</v>
      </c>
    </row>
    <row r="36" spans="2:21" x14ac:dyDescent="0.35">
      <c r="B36" s="152" t="s">
        <v>2</v>
      </c>
      <c r="C36" s="93" t="s">
        <v>159</v>
      </c>
      <c r="D36" s="59">
        <f t="shared" ref="D36:J36" si="18">D35/C35-1</f>
        <v>0.77531411677753148</v>
      </c>
      <c r="E36" s="94">
        <f t="shared" si="18"/>
        <v>0.25978351373855135</v>
      </c>
      <c r="F36" s="94">
        <f t="shared" si="18"/>
        <v>0.49702577660277569</v>
      </c>
      <c r="G36" s="61">
        <f t="shared" si="18"/>
        <v>0.15408388520971306</v>
      </c>
      <c r="H36" s="59">
        <f t="shared" si="18"/>
        <v>0.13217291507268558</v>
      </c>
      <c r="I36" s="59">
        <f t="shared" si="18"/>
        <v>-1.6725798276735815E-2</v>
      </c>
      <c r="J36" s="59">
        <f>J35/I35-1</f>
        <v>0.5814432989690721</v>
      </c>
      <c r="L36" s="120" t="s">
        <v>47</v>
      </c>
      <c r="M36" s="153">
        <v>236.74</v>
      </c>
      <c r="N36" s="154">
        <v>384.05</v>
      </c>
      <c r="O36" s="155">
        <v>343.29199999999997</v>
      </c>
      <c r="P36" s="155">
        <v>363.34300000000002</v>
      </c>
      <c r="Q36" s="155">
        <v>354.42700000000002</v>
      </c>
      <c r="R36" s="124">
        <v>412.74099999999999</v>
      </c>
      <c r="S36" s="124">
        <v>394.48</v>
      </c>
      <c r="T36" s="124">
        <v>574.173</v>
      </c>
    </row>
    <row r="37" spans="2:21" ht="15" thickBot="1" x14ac:dyDescent="0.4">
      <c r="B37" s="156" t="s">
        <v>3</v>
      </c>
      <c r="C37" s="157" t="s">
        <v>159</v>
      </c>
      <c r="D37" s="157" t="s">
        <v>159</v>
      </c>
      <c r="E37" s="158">
        <f>+((E35/C35)^(1/2)-1)</f>
        <v>0.49549705985122272</v>
      </c>
      <c r="F37" s="158">
        <f>+((F35/C35)^(1/3)-1)</f>
        <v>0.4960064585697932</v>
      </c>
      <c r="G37" s="159">
        <f>+((G35/D35)^(1/3)-1)</f>
        <v>0.295947849280914</v>
      </c>
      <c r="H37" s="160">
        <f>+((H35/E35)^(1/3)-1)</f>
        <v>0.25062317462028161</v>
      </c>
      <c r="I37" s="160">
        <f>+((I35/F35)^(1/3)-1)</f>
        <v>8.7113596649447178E-2</v>
      </c>
      <c r="J37" s="160">
        <f>+((J35/G35)^(1/3)-1)</f>
        <v>0.20748110550072063</v>
      </c>
      <c r="L37" s="99" t="s">
        <v>48</v>
      </c>
      <c r="M37" s="161">
        <v>16.22</v>
      </c>
      <c r="N37" s="162">
        <v>43.86</v>
      </c>
      <c r="O37" s="163">
        <v>40.415999999999997</v>
      </c>
      <c r="P37" s="163">
        <v>36.621000000000002</v>
      </c>
      <c r="Q37" s="163">
        <v>9.6769999999999996</v>
      </c>
      <c r="R37" s="132">
        <v>50.673999999999999</v>
      </c>
      <c r="S37" s="132">
        <v>10.227</v>
      </c>
      <c r="T37" s="132">
        <v>10.227</v>
      </c>
    </row>
    <row r="38" spans="2:21" x14ac:dyDescent="0.35">
      <c r="B38" s="164"/>
      <c r="C38" s="164"/>
      <c r="D38" s="164"/>
      <c r="E38" s="164"/>
      <c r="F38" s="164"/>
      <c r="G38" s="164"/>
      <c r="L38" s="99" t="s">
        <v>49</v>
      </c>
      <c r="M38" s="161">
        <v>170.83</v>
      </c>
      <c r="N38" s="162">
        <v>127.77</v>
      </c>
      <c r="O38" s="163">
        <v>114.28400000000001</v>
      </c>
      <c r="P38" s="163">
        <v>81.421999999999997</v>
      </c>
      <c r="Q38" s="163">
        <v>65.358000000000004</v>
      </c>
      <c r="R38" s="132">
        <v>66.125</v>
      </c>
      <c r="S38" s="132">
        <v>87.274000000000001</v>
      </c>
      <c r="T38" s="132">
        <v>168.61500000000001</v>
      </c>
    </row>
    <row r="39" spans="2:21" ht="15" thickBot="1" x14ac:dyDescent="0.4">
      <c r="B39" s="165"/>
      <c r="C39" s="165"/>
      <c r="D39" s="165"/>
      <c r="E39" s="165"/>
      <c r="F39" s="165"/>
      <c r="G39" s="165"/>
      <c r="H39" s="165"/>
      <c r="I39" s="165"/>
      <c r="L39" s="120" t="s">
        <v>50</v>
      </c>
      <c r="M39" s="166" t="s">
        <v>104</v>
      </c>
      <c r="N39" s="167" t="s">
        <v>104</v>
      </c>
      <c r="O39" s="167" t="s">
        <v>104</v>
      </c>
      <c r="P39" s="167" t="s">
        <v>104</v>
      </c>
      <c r="Q39" s="167" t="s">
        <v>104</v>
      </c>
      <c r="R39" s="168" t="s">
        <v>104</v>
      </c>
      <c r="S39" s="168" t="s">
        <v>104</v>
      </c>
      <c r="T39" s="168" t="s">
        <v>104</v>
      </c>
      <c r="U39" s="34"/>
    </row>
    <row r="40" spans="2:21" ht="15" thickBot="1" x14ac:dyDescent="0.4">
      <c r="B40" s="169" t="s">
        <v>83</v>
      </c>
      <c r="C40" s="170"/>
      <c r="D40" s="170"/>
      <c r="E40" s="170"/>
      <c r="F40" s="170"/>
      <c r="G40" s="170"/>
      <c r="H40" s="170"/>
      <c r="I40" s="171"/>
      <c r="J40" s="41"/>
      <c r="L40" s="114" t="s">
        <v>99</v>
      </c>
      <c r="M40" s="172">
        <v>4.1500000000000004</v>
      </c>
      <c r="N40" s="173">
        <v>4.3499999999999996</v>
      </c>
      <c r="O40" s="174">
        <v>1.2589999999999999</v>
      </c>
      <c r="P40" s="174">
        <v>1.468</v>
      </c>
      <c r="Q40" s="175" t="s">
        <v>104</v>
      </c>
      <c r="R40" s="176">
        <v>0.52800000000000002</v>
      </c>
      <c r="S40" s="176">
        <v>1.8460000000000001</v>
      </c>
      <c r="T40" s="176">
        <v>5.0529999999999999</v>
      </c>
    </row>
    <row r="41" spans="2:21" ht="15" thickBot="1" x14ac:dyDescent="0.4">
      <c r="B41" s="177" t="s">
        <v>0</v>
      </c>
      <c r="C41" s="178" t="s">
        <v>22</v>
      </c>
      <c r="D41" s="179" t="s">
        <v>23</v>
      </c>
      <c r="E41" s="179" t="s">
        <v>24</v>
      </c>
      <c r="F41" s="179" t="s">
        <v>25</v>
      </c>
      <c r="G41" s="179" t="s">
        <v>107</v>
      </c>
      <c r="H41" s="179" t="s">
        <v>161</v>
      </c>
      <c r="I41" s="179" t="s">
        <v>163</v>
      </c>
      <c r="J41" s="179" t="s">
        <v>164</v>
      </c>
      <c r="L41" s="86"/>
      <c r="M41" s="86"/>
      <c r="N41" s="86"/>
      <c r="O41" s="86"/>
      <c r="P41" s="86"/>
      <c r="Q41" s="86"/>
      <c r="R41" s="86"/>
      <c r="S41" s="86"/>
    </row>
    <row r="42" spans="2:21" ht="15" thickBot="1" x14ac:dyDescent="0.4">
      <c r="B42" s="180" t="s">
        <v>77</v>
      </c>
      <c r="C42" s="181">
        <v>16.989999999999998</v>
      </c>
      <c r="D42" s="182">
        <v>20.079999999999998</v>
      </c>
      <c r="E42" s="182">
        <v>30.15</v>
      </c>
      <c r="F42" s="183">
        <v>53.444000000000003</v>
      </c>
      <c r="G42" s="183">
        <f>F47</f>
        <v>307.09900000000005</v>
      </c>
      <c r="H42" s="183">
        <f>G47</f>
        <v>285.89800000000002</v>
      </c>
      <c r="I42" s="183">
        <f>H47</f>
        <v>400.32900000000001</v>
      </c>
      <c r="J42" s="269">
        <f>I47</f>
        <v>324.65199999999999</v>
      </c>
      <c r="L42" s="88" t="s">
        <v>51</v>
      </c>
      <c r="M42" s="149">
        <f>M24-M35</f>
        <v>363.29999999999995</v>
      </c>
      <c r="N42" s="184">
        <f t="shared" ref="N42:Q42" si="19">N24-N35</f>
        <v>478.88000000000011</v>
      </c>
      <c r="O42" s="184">
        <f t="shared" si="19"/>
        <v>662.12199999999984</v>
      </c>
      <c r="P42" s="184">
        <f t="shared" si="19"/>
        <v>814.42599999999993</v>
      </c>
      <c r="Q42" s="185">
        <f t="shared" si="19"/>
        <v>1030.2170000000001</v>
      </c>
      <c r="R42" s="186">
        <f t="shared" ref="R42:S42" si="20">R24-R35</f>
        <v>960.66299999999933</v>
      </c>
      <c r="S42" s="187">
        <f t="shared" si="20"/>
        <v>1120.9469999999999</v>
      </c>
      <c r="T42" s="187">
        <f>T24-T35</f>
        <v>968.81799999999998</v>
      </c>
    </row>
    <row r="43" spans="2:21" ht="15" thickBot="1" x14ac:dyDescent="0.4">
      <c r="B43" s="78" t="s">
        <v>78</v>
      </c>
      <c r="C43" s="100">
        <v>55.73</v>
      </c>
      <c r="D43" s="101">
        <v>213.53</v>
      </c>
      <c r="E43" s="101">
        <v>376.83</v>
      </c>
      <c r="F43" s="102">
        <v>188.232</v>
      </c>
      <c r="G43" s="102">
        <v>12.46</v>
      </c>
      <c r="H43" s="102">
        <v>534.52499999999998</v>
      </c>
      <c r="I43" s="102">
        <v>63.747</v>
      </c>
      <c r="J43" s="102">
        <v>17.003</v>
      </c>
      <c r="L43" s="188" t="s">
        <v>160</v>
      </c>
      <c r="M43" s="189">
        <f>M44+M9</f>
        <v>38.940000000000005</v>
      </c>
      <c r="N43" s="190">
        <f>N44+N9</f>
        <v>41.95</v>
      </c>
      <c r="O43" s="191">
        <f>O44+O9</f>
        <v>43.89</v>
      </c>
      <c r="P43" s="191">
        <f>P44+P9</f>
        <v>41.722999999999999</v>
      </c>
      <c r="Q43" s="191">
        <f>Q44+Q9+Q46</f>
        <v>123.003</v>
      </c>
      <c r="R43" s="192">
        <f>R44+R9+R46</f>
        <v>112.18199999999999</v>
      </c>
      <c r="S43" s="192">
        <f>S44+S9+S46</f>
        <v>118.504</v>
      </c>
      <c r="T43" s="192">
        <f>T44+T9+T46</f>
        <v>50.311</v>
      </c>
    </row>
    <row r="44" spans="2:21" x14ac:dyDescent="0.35">
      <c r="B44" s="78" t="s">
        <v>79</v>
      </c>
      <c r="C44" s="100">
        <v>15.8</v>
      </c>
      <c r="D44" s="101">
        <v>-136.85</v>
      </c>
      <c r="E44" s="101">
        <v>-213.49</v>
      </c>
      <c r="F44" s="102">
        <v>-115.556</v>
      </c>
      <c r="G44" s="102">
        <v>-19.59</v>
      </c>
      <c r="H44" s="102">
        <v>-750.41899999999998</v>
      </c>
      <c r="I44" s="102">
        <v>-97.753</v>
      </c>
      <c r="J44" s="102">
        <v>-431.072</v>
      </c>
      <c r="L44" s="120" t="s">
        <v>52</v>
      </c>
      <c r="M44" s="193">
        <v>3.42</v>
      </c>
      <c r="N44" s="194">
        <v>6.43</v>
      </c>
      <c r="O44" s="195">
        <v>8.3770000000000007</v>
      </c>
      <c r="P44" s="195">
        <v>6.21</v>
      </c>
      <c r="Q44" s="195">
        <v>3.5369999999999999</v>
      </c>
      <c r="R44" s="196">
        <v>9.2479999999999993</v>
      </c>
      <c r="S44" s="196">
        <v>18.231000000000002</v>
      </c>
      <c r="T44" s="196">
        <v>25.244</v>
      </c>
    </row>
    <row r="45" spans="2:21" ht="15" thickBot="1" x14ac:dyDescent="0.4">
      <c r="B45" s="78" t="s">
        <v>80</v>
      </c>
      <c r="C45" s="115">
        <v>-68.44</v>
      </c>
      <c r="D45" s="116">
        <v>-66.61</v>
      </c>
      <c r="E45" s="116">
        <v>180.98</v>
      </c>
      <c r="F45" s="117">
        <v>180.97900000000001</v>
      </c>
      <c r="G45" s="117">
        <v>-14.071</v>
      </c>
      <c r="H45" s="117">
        <v>330.32799999999997</v>
      </c>
      <c r="I45" s="117">
        <v>-41.671999999999997</v>
      </c>
      <c r="J45" s="117">
        <v>151.82499999999999</v>
      </c>
      <c r="L45" s="99" t="s">
        <v>102</v>
      </c>
      <c r="M45" s="166" t="s">
        <v>104</v>
      </c>
      <c r="N45" s="197" t="s">
        <v>104</v>
      </c>
      <c r="O45" s="167" t="s">
        <v>104</v>
      </c>
      <c r="P45" s="197" t="s">
        <v>104</v>
      </c>
      <c r="Q45" s="197" t="s">
        <v>104</v>
      </c>
      <c r="R45" s="139" t="s">
        <v>104</v>
      </c>
      <c r="S45" s="139" t="s">
        <v>104</v>
      </c>
      <c r="T45" s="139" t="s">
        <v>104</v>
      </c>
    </row>
    <row r="46" spans="2:21" ht="15" thickBot="1" x14ac:dyDescent="0.4">
      <c r="B46" s="69" t="s">
        <v>81</v>
      </c>
      <c r="C46" s="198">
        <f t="shared" ref="C46:G46" si="21">C43+C44+C45</f>
        <v>3.0900000000000034</v>
      </c>
      <c r="D46" s="199">
        <f t="shared" si="21"/>
        <v>10.070000000000007</v>
      </c>
      <c r="E46" s="199">
        <f t="shared" si="21"/>
        <v>344.31999999999994</v>
      </c>
      <c r="F46" s="192">
        <f t="shared" si="21"/>
        <v>253.65500000000003</v>
      </c>
      <c r="G46" s="192">
        <f t="shared" si="21"/>
        <v>-21.201000000000001</v>
      </c>
      <c r="H46" s="192">
        <f>H43+H44+H45</f>
        <v>114.43399999999997</v>
      </c>
      <c r="I46" s="192">
        <f>I43+I44+I45</f>
        <v>-75.677999999999997</v>
      </c>
      <c r="J46" s="192">
        <f>J43+J44+J45</f>
        <v>-262.24400000000003</v>
      </c>
      <c r="L46" s="99" t="s">
        <v>100</v>
      </c>
      <c r="M46" s="166" t="s">
        <v>104</v>
      </c>
      <c r="N46" s="197" t="s">
        <v>104</v>
      </c>
      <c r="O46" s="167" t="s">
        <v>104</v>
      </c>
      <c r="P46" s="197" t="s">
        <v>104</v>
      </c>
      <c r="Q46" s="200">
        <v>59.804000000000002</v>
      </c>
      <c r="R46" s="132">
        <v>63.293999999999997</v>
      </c>
      <c r="S46" s="132">
        <v>63.134</v>
      </c>
      <c r="T46" s="132">
        <v>0</v>
      </c>
    </row>
    <row r="47" spans="2:21" ht="15" thickBot="1" x14ac:dyDescent="0.4">
      <c r="B47" s="201" t="s">
        <v>82</v>
      </c>
      <c r="C47" s="198">
        <v>20.079999999999998</v>
      </c>
      <c r="D47" s="199">
        <v>30.15</v>
      </c>
      <c r="E47" s="199">
        <v>53.44</v>
      </c>
      <c r="F47" s="192">
        <f>F42+F46</f>
        <v>307.09900000000005</v>
      </c>
      <c r="G47" s="192">
        <f>G46+G42</f>
        <v>285.89800000000002</v>
      </c>
      <c r="H47" s="192">
        <v>400.32900000000001</v>
      </c>
      <c r="I47" s="192">
        <f>324.652</f>
        <v>324.65199999999999</v>
      </c>
      <c r="J47" s="192">
        <f>J46+J42</f>
        <v>62.407999999999959</v>
      </c>
      <c r="L47" s="202" t="s">
        <v>53</v>
      </c>
      <c r="M47" s="203" t="s">
        <v>104</v>
      </c>
      <c r="N47" s="204" t="s">
        <v>104</v>
      </c>
      <c r="O47" s="205" t="s">
        <v>104</v>
      </c>
      <c r="P47" s="204" t="s">
        <v>104</v>
      </c>
      <c r="Q47" s="204" t="s">
        <v>104</v>
      </c>
      <c r="R47" s="206" t="s">
        <v>104</v>
      </c>
      <c r="S47" s="206" t="s">
        <v>104</v>
      </c>
      <c r="T47" s="206" t="s">
        <v>104</v>
      </c>
    </row>
    <row r="48" spans="2:21" ht="15" thickBot="1" x14ac:dyDescent="0.4">
      <c r="B48" s="86"/>
      <c r="C48" s="86"/>
      <c r="D48" s="86"/>
      <c r="E48" s="86"/>
      <c r="F48" s="86"/>
      <c r="G48" s="86"/>
      <c r="H48" s="86"/>
      <c r="I48" s="86"/>
      <c r="L48" s="88" t="s">
        <v>54</v>
      </c>
      <c r="M48" s="207">
        <f t="shared" ref="M48:S48" si="22">M15+M24</f>
        <v>1727.9099999999999</v>
      </c>
      <c r="N48" s="185">
        <f t="shared" si="22"/>
        <v>1987.0600000000002</v>
      </c>
      <c r="O48" s="185">
        <f t="shared" si="22"/>
        <v>1968.7039999999997</v>
      </c>
      <c r="P48" s="185">
        <f t="shared" si="22"/>
        <v>2525.3979999999997</v>
      </c>
      <c r="Q48" s="185">
        <f t="shared" si="22"/>
        <v>2748.38</v>
      </c>
      <c r="R48" s="187">
        <f t="shared" si="22"/>
        <v>3542.3029999999994</v>
      </c>
      <c r="S48" s="187">
        <f t="shared" si="22"/>
        <v>3877.2379999999998</v>
      </c>
      <c r="T48" s="187">
        <f t="shared" ref="T48" si="23">T15+T24</f>
        <v>4927.6820000000007</v>
      </c>
    </row>
    <row r="49" spans="2:23" ht="15" thickBot="1" x14ac:dyDescent="0.4">
      <c r="B49" s="208" t="s">
        <v>84</v>
      </c>
      <c r="C49" s="209"/>
      <c r="D49" s="209"/>
      <c r="E49" s="209"/>
      <c r="F49" s="209"/>
      <c r="G49" s="209"/>
      <c r="H49" s="209"/>
      <c r="I49" s="210"/>
      <c r="J49" s="211"/>
      <c r="L49" s="188" t="s">
        <v>55</v>
      </c>
      <c r="M49" s="212">
        <f t="shared" ref="M49:S49" si="24">M43+M35+M7</f>
        <v>1727.9099999999999</v>
      </c>
      <c r="N49" s="191">
        <f t="shared" si="24"/>
        <v>1987.06</v>
      </c>
      <c r="O49" s="191">
        <f t="shared" si="24"/>
        <v>1968.7040000000002</v>
      </c>
      <c r="P49" s="191">
        <f t="shared" si="24"/>
        <v>2525.3959999999997</v>
      </c>
      <c r="Q49" s="191">
        <f t="shared" si="24"/>
        <v>2748.3779999999997</v>
      </c>
      <c r="R49" s="192">
        <f t="shared" si="24"/>
        <v>3542.3029999999999</v>
      </c>
      <c r="S49" s="192">
        <f t="shared" si="24"/>
        <v>3877.2389999999996</v>
      </c>
      <c r="T49" s="192">
        <f>T43+T35+T7</f>
        <v>4927.6839999999993</v>
      </c>
    </row>
    <row r="50" spans="2:23" ht="15" thickBot="1" x14ac:dyDescent="0.4">
      <c r="B50" s="198" t="s">
        <v>105</v>
      </c>
      <c r="C50" s="47" t="s">
        <v>22</v>
      </c>
      <c r="D50" s="48" t="s">
        <v>23</v>
      </c>
      <c r="E50" s="48" t="s">
        <v>24</v>
      </c>
      <c r="F50" s="48" t="s">
        <v>25</v>
      </c>
      <c r="G50" s="48" t="s">
        <v>107</v>
      </c>
      <c r="H50" s="48" t="s">
        <v>161</v>
      </c>
      <c r="I50" s="48" t="s">
        <v>163</v>
      </c>
      <c r="J50" s="48" t="s">
        <v>164</v>
      </c>
      <c r="L50" s="164"/>
      <c r="M50" s="164"/>
      <c r="N50" s="164"/>
      <c r="O50" s="164"/>
      <c r="P50" s="164"/>
      <c r="Q50" s="164"/>
      <c r="R50" s="164"/>
      <c r="S50" s="164"/>
    </row>
    <row r="51" spans="2:23" ht="15" thickBot="1" x14ac:dyDescent="0.4">
      <c r="B51" s="49" t="s">
        <v>85</v>
      </c>
      <c r="C51" s="213">
        <f t="shared" ref="C51:H51" si="25">C43</f>
        <v>55.73</v>
      </c>
      <c r="D51" s="214">
        <f t="shared" si="25"/>
        <v>213.53</v>
      </c>
      <c r="E51" s="214">
        <f t="shared" si="25"/>
        <v>376.83</v>
      </c>
      <c r="F51" s="214">
        <f t="shared" si="25"/>
        <v>188.232</v>
      </c>
      <c r="G51" s="215">
        <f t="shared" si="25"/>
        <v>12.46</v>
      </c>
      <c r="H51" s="215">
        <f t="shared" si="25"/>
        <v>534.52499999999998</v>
      </c>
      <c r="I51" s="215">
        <f t="shared" ref="I51:J51" si="26">I43</f>
        <v>63.747</v>
      </c>
      <c r="J51" s="215">
        <f t="shared" si="26"/>
        <v>17.003</v>
      </c>
      <c r="L51" s="253" t="s">
        <v>76</v>
      </c>
      <c r="M51" s="254"/>
      <c r="N51" s="254"/>
      <c r="O51" s="254"/>
      <c r="P51" s="254"/>
      <c r="Q51" s="254"/>
      <c r="R51" s="254"/>
      <c r="S51" s="254"/>
      <c r="T51" s="255"/>
    </row>
    <row r="52" spans="2:23" ht="15" thickBot="1" x14ac:dyDescent="0.4">
      <c r="B52" s="78" t="s">
        <v>86</v>
      </c>
      <c r="C52" s="131">
        <v>51.131999999999998</v>
      </c>
      <c r="D52" s="131">
        <v>51.131999999999998</v>
      </c>
      <c r="E52" s="131">
        <v>51.131999999999998</v>
      </c>
      <c r="F52" s="131">
        <v>51.131999999999998</v>
      </c>
      <c r="G52" s="131">
        <v>51.131999999999998</v>
      </c>
      <c r="H52" s="131">
        <v>458.44</v>
      </c>
      <c r="I52" s="131">
        <v>263.31700000000001</v>
      </c>
      <c r="J52" s="270">
        <v>786.67700000000002</v>
      </c>
      <c r="L52" s="46" t="s">
        <v>56</v>
      </c>
      <c r="M52" s="47" t="s">
        <v>22</v>
      </c>
      <c r="N52" s="48" t="s">
        <v>23</v>
      </c>
      <c r="O52" s="48" t="s">
        <v>24</v>
      </c>
      <c r="P52" s="48" t="s">
        <v>25</v>
      </c>
      <c r="Q52" s="48" t="s">
        <v>107</v>
      </c>
      <c r="R52" s="43" t="s">
        <v>161</v>
      </c>
      <c r="S52" s="44" t="s">
        <v>163</v>
      </c>
      <c r="T52" s="44" t="s">
        <v>164</v>
      </c>
    </row>
    <row r="53" spans="2:23" ht="15" thickBot="1" x14ac:dyDescent="0.4">
      <c r="B53" s="201" t="s">
        <v>87</v>
      </c>
      <c r="C53" s="216">
        <f>C51-C52</f>
        <v>4.597999999999999</v>
      </c>
      <c r="D53" s="216">
        <f t="shared" ref="D53:I53" si="27">D51-D52</f>
        <v>162.398</v>
      </c>
      <c r="E53" s="216">
        <f t="shared" si="27"/>
        <v>325.69799999999998</v>
      </c>
      <c r="F53" s="216">
        <f t="shared" si="27"/>
        <v>137.1</v>
      </c>
      <c r="G53" s="216">
        <f t="shared" si="27"/>
        <v>-38.671999999999997</v>
      </c>
      <c r="H53" s="216">
        <f t="shared" si="27"/>
        <v>76.08499999999998</v>
      </c>
      <c r="I53" s="216">
        <f t="shared" si="27"/>
        <v>-199.57</v>
      </c>
      <c r="J53" s="216">
        <f>J51-J52</f>
        <v>-769.67399999999998</v>
      </c>
      <c r="L53" s="217" t="s">
        <v>57</v>
      </c>
      <c r="M53" s="218">
        <v>296.7</v>
      </c>
      <c r="N53" s="77">
        <v>231</v>
      </c>
      <c r="O53" s="77">
        <v>139.4</v>
      </c>
      <c r="P53" s="77">
        <v>390</v>
      </c>
      <c r="Q53" s="77">
        <v>758.1</v>
      </c>
      <c r="R53" s="218">
        <v>735.3</v>
      </c>
      <c r="S53" s="77">
        <v>999.9</v>
      </c>
      <c r="T53" s="77">
        <v>1218.3</v>
      </c>
    </row>
    <row r="54" spans="2:23" ht="15" thickBot="1" x14ac:dyDescent="0.4">
      <c r="B54" s="86"/>
      <c r="C54" s="86"/>
      <c r="D54" s="86"/>
      <c r="E54" s="86"/>
      <c r="F54" s="86"/>
      <c r="G54" s="86"/>
      <c r="H54" s="86"/>
      <c r="I54" s="86"/>
      <c r="L54" s="219" t="s">
        <v>58</v>
      </c>
      <c r="M54" s="220">
        <f t="shared" ref="M54:S54" si="28">C35</f>
        <v>13.53</v>
      </c>
      <c r="N54" s="221">
        <f t="shared" si="28"/>
        <v>24.02</v>
      </c>
      <c r="O54" s="221">
        <f t="shared" si="28"/>
        <v>30.26</v>
      </c>
      <c r="P54" s="221">
        <f t="shared" si="28"/>
        <v>45.3</v>
      </c>
      <c r="Q54" s="221">
        <f t="shared" si="28"/>
        <v>52.28</v>
      </c>
      <c r="R54" s="220">
        <f t="shared" si="28"/>
        <v>59.19</v>
      </c>
      <c r="S54" s="221">
        <f t="shared" si="28"/>
        <v>58.2</v>
      </c>
      <c r="T54" s="221">
        <f>J35</f>
        <v>92.04</v>
      </c>
    </row>
    <row r="55" spans="2:23" ht="15" thickBot="1" x14ac:dyDescent="0.4">
      <c r="B55" s="89" t="s">
        <v>106</v>
      </c>
      <c r="C55" s="43" t="s">
        <v>22</v>
      </c>
      <c r="D55" s="44" t="s">
        <v>23</v>
      </c>
      <c r="E55" s="44" t="s">
        <v>24</v>
      </c>
      <c r="F55" s="44" t="s">
        <v>25</v>
      </c>
      <c r="G55" s="44" t="s">
        <v>107</v>
      </c>
      <c r="H55" s="44" t="s">
        <v>161</v>
      </c>
      <c r="I55" s="45" t="s">
        <v>163</v>
      </c>
      <c r="J55" s="43" t="s">
        <v>164</v>
      </c>
      <c r="L55" s="222" t="s">
        <v>59</v>
      </c>
      <c r="M55" s="223">
        <f t="shared" ref="M55:S55" si="29">M7*1000000/C56</f>
        <v>126.625</v>
      </c>
      <c r="N55" s="224">
        <f t="shared" si="29"/>
        <v>149.38141025641025</v>
      </c>
      <c r="O55" s="224">
        <f t="shared" si="29"/>
        <v>176.60496794871796</v>
      </c>
      <c r="P55" s="224">
        <f t="shared" si="29"/>
        <v>235.22948717948717</v>
      </c>
      <c r="Q55" s="224">
        <f t="shared" si="29"/>
        <v>275.92916666666667</v>
      </c>
      <c r="R55" s="223">
        <f t="shared" si="29"/>
        <v>325.68733974358975</v>
      </c>
      <c r="S55" s="224">
        <f t="shared" si="29"/>
        <v>380.62964743589743</v>
      </c>
      <c r="T55" s="224">
        <f>T7*1000000/J56</f>
        <v>478.58814102564105</v>
      </c>
    </row>
    <row r="56" spans="2:23" x14ac:dyDescent="0.35">
      <c r="B56" s="225" t="s">
        <v>88</v>
      </c>
      <c r="C56" s="226">
        <v>6240000</v>
      </c>
      <c r="D56" s="227">
        <v>6240000</v>
      </c>
      <c r="E56" s="227">
        <v>6240000</v>
      </c>
      <c r="F56" s="227">
        <v>6240000</v>
      </c>
      <c r="G56" s="227">
        <v>6240000</v>
      </c>
      <c r="H56" s="227">
        <v>6240000</v>
      </c>
      <c r="I56" s="228">
        <v>6240000</v>
      </c>
      <c r="J56" s="226">
        <v>6240000</v>
      </c>
      <c r="L56" s="222" t="s">
        <v>60</v>
      </c>
      <c r="M56" s="229">
        <v>2</v>
      </c>
      <c r="N56" s="230">
        <v>2</v>
      </c>
      <c r="O56" s="230">
        <v>2</v>
      </c>
      <c r="P56" s="230">
        <v>3</v>
      </c>
      <c r="Q56" s="230">
        <v>3</v>
      </c>
      <c r="R56" s="250">
        <v>3</v>
      </c>
      <c r="S56" s="251">
        <v>3</v>
      </c>
      <c r="T56" s="251">
        <v>3</v>
      </c>
    </row>
    <row r="57" spans="2:23" x14ac:dyDescent="0.35">
      <c r="B57" s="152" t="s">
        <v>162</v>
      </c>
      <c r="C57" s="231">
        <f t="shared" ref="C57:J57" si="30">C56*M53/1000000</f>
        <v>1851.4079999999999</v>
      </c>
      <c r="D57" s="232">
        <f t="shared" si="30"/>
        <v>1441.44</v>
      </c>
      <c r="E57" s="232">
        <f t="shared" si="30"/>
        <v>869.85599999999999</v>
      </c>
      <c r="F57" s="232">
        <f t="shared" si="30"/>
        <v>2433.6</v>
      </c>
      <c r="G57" s="232">
        <f t="shared" si="30"/>
        <v>4730.5439999999999</v>
      </c>
      <c r="H57" s="232">
        <f t="shared" si="30"/>
        <v>4588.2719999999999</v>
      </c>
      <c r="I57" s="233">
        <f t="shared" si="30"/>
        <v>6239.3760000000002</v>
      </c>
      <c r="J57" s="231">
        <f>J56*T53/1000000</f>
        <v>7602.192</v>
      </c>
      <c r="L57" s="222" t="s">
        <v>61</v>
      </c>
      <c r="M57" s="234">
        <f>M53/M54</f>
        <v>21.929046563192905</v>
      </c>
      <c r="N57" s="235">
        <f>N53/N54</f>
        <v>9.6169858451290597</v>
      </c>
      <c r="O57" s="235">
        <f t="shared" ref="O57:Q57" si="31">O53/O54</f>
        <v>4.606741573033708</v>
      </c>
      <c r="P57" s="235">
        <f t="shared" si="31"/>
        <v>8.6092715231788084</v>
      </c>
      <c r="Q57" s="235">
        <f t="shared" si="31"/>
        <v>14.500765110941087</v>
      </c>
      <c r="R57" s="234">
        <f t="shared" ref="R57" si="32">R53/R54</f>
        <v>12.422706538266599</v>
      </c>
      <c r="S57" s="235">
        <f>S53/S54</f>
        <v>17.180412371134018</v>
      </c>
      <c r="T57" s="235">
        <f>T53/T54</f>
        <v>13.236636245110819</v>
      </c>
    </row>
    <row r="58" spans="2:23" x14ac:dyDescent="0.35">
      <c r="B58" s="78" t="s">
        <v>90</v>
      </c>
      <c r="C58" s="236">
        <f t="shared" ref="C58:G58" si="33">M11</f>
        <v>506.40999999999997</v>
      </c>
      <c r="D58" s="237">
        <f t="shared" si="33"/>
        <v>488.46</v>
      </c>
      <c r="E58" s="237">
        <f t="shared" si="33"/>
        <v>359.06099999999998</v>
      </c>
      <c r="F58" s="237">
        <f t="shared" si="33"/>
        <v>568.5</v>
      </c>
      <c r="G58" s="237">
        <f t="shared" si="33"/>
        <v>533.77700000000004</v>
      </c>
      <c r="H58" s="237">
        <f>R11</f>
        <v>907.404</v>
      </c>
      <c r="I58" s="238">
        <f>S11</f>
        <v>926.91800000000001</v>
      </c>
      <c r="J58" s="236">
        <f>T11</f>
        <v>1157.982</v>
      </c>
      <c r="L58" s="222" t="s">
        <v>62</v>
      </c>
      <c r="M58" s="234">
        <f>M53/M55</f>
        <v>2.3431391905231984</v>
      </c>
      <c r="N58" s="235">
        <f>N53/N55</f>
        <v>1.5463771536464481</v>
      </c>
      <c r="O58" s="235">
        <f t="shared" ref="O58:Q58" si="34">O53/O55</f>
        <v>0.78933226861703332</v>
      </c>
      <c r="P58" s="235">
        <f t="shared" si="34"/>
        <v>1.6579554063407802</v>
      </c>
      <c r="Q58" s="235">
        <f t="shared" si="34"/>
        <v>2.7474442414266949</v>
      </c>
      <c r="R58" s="234">
        <f t="shared" ref="R58" si="35">R53/R55</f>
        <v>2.2576867758473327</v>
      </c>
      <c r="S58" s="235">
        <f>S53/S55</f>
        <v>2.626962998641337</v>
      </c>
      <c r="T58" s="235">
        <f>T53/T55</f>
        <v>2.545612595809656</v>
      </c>
      <c r="W58" s="37"/>
    </row>
    <row r="59" spans="2:23" x14ac:dyDescent="0.35">
      <c r="B59" s="78" t="s">
        <v>91</v>
      </c>
      <c r="C59" s="236">
        <f t="shared" ref="C59:G59" si="36">M29+M30</f>
        <v>20.080000000000002</v>
      </c>
      <c r="D59" s="237">
        <f t="shared" si="36"/>
        <v>30.15</v>
      </c>
      <c r="E59" s="237">
        <f t="shared" si="36"/>
        <v>53.443999999999996</v>
      </c>
      <c r="F59" s="237">
        <f t="shared" si="36"/>
        <v>307.09899999999999</v>
      </c>
      <c r="G59" s="237">
        <f t="shared" si="36"/>
        <v>285.89699999999999</v>
      </c>
      <c r="H59" s="237">
        <f>R29+R30</f>
        <v>400.32899999999995</v>
      </c>
      <c r="I59" s="238">
        <f>S29+S30</f>
        <v>324.65100000000001</v>
      </c>
      <c r="J59" s="236">
        <f>T29+T30</f>
        <v>62.408999999999999</v>
      </c>
      <c r="L59" s="222" t="s">
        <v>63</v>
      </c>
      <c r="M59" s="234">
        <f t="shared" ref="M59:T59" si="37">C60/C15</f>
        <v>10.472328988039241</v>
      </c>
      <c r="N59" s="235">
        <f t="shared" si="37"/>
        <v>5.9178555853217869</v>
      </c>
      <c r="O59" s="235">
        <f t="shared" si="37"/>
        <v>3.7300498832250204</v>
      </c>
      <c r="P59" s="235">
        <f t="shared" si="37"/>
        <v>6.4764217482727542</v>
      </c>
      <c r="Q59" s="235">
        <f t="shared" si="37"/>
        <v>10.020256181114094</v>
      </c>
      <c r="R59" s="234">
        <f t="shared" si="37"/>
        <v>8.71251181965388</v>
      </c>
      <c r="S59" s="235">
        <f t="shared" si="37"/>
        <v>11.860041777538934</v>
      </c>
      <c r="T59" s="235">
        <f t="shared" si="37"/>
        <v>14.288472974704554</v>
      </c>
      <c r="W59" s="37"/>
    </row>
    <row r="60" spans="2:23" ht="15" thickBot="1" x14ac:dyDescent="0.4">
      <c r="B60" s="156" t="s">
        <v>92</v>
      </c>
      <c r="C60" s="239">
        <f>C57+C58-C59</f>
        <v>2337.7379999999998</v>
      </c>
      <c r="D60" s="240">
        <f>D57+D58-D59</f>
        <v>1899.75</v>
      </c>
      <c r="E60" s="240">
        <f t="shared" ref="E60:H60" si="38">E57+E58-E59</f>
        <v>1175.473</v>
      </c>
      <c r="F60" s="240">
        <f t="shared" si="38"/>
        <v>2695.0009999999997</v>
      </c>
      <c r="G60" s="240">
        <f t="shared" si="38"/>
        <v>4978.424</v>
      </c>
      <c r="H60" s="240">
        <f t="shared" si="38"/>
        <v>5095.3469999999998</v>
      </c>
      <c r="I60" s="241">
        <f>I57+I58-I59</f>
        <v>6841.643</v>
      </c>
      <c r="J60" s="239">
        <f>J57+J58-J59</f>
        <v>8697.7649999999994</v>
      </c>
      <c r="L60" s="242" t="s">
        <v>64</v>
      </c>
      <c r="M60" s="243">
        <f>C27/M7</f>
        <v>0.10687979345432458</v>
      </c>
      <c r="N60" s="244">
        <f>D27/N7</f>
        <v>0.16082348145128417</v>
      </c>
      <c r="O60" s="244">
        <v>0.21</v>
      </c>
      <c r="P60" s="244">
        <f>F27/P7</f>
        <v>0.19288379051553581</v>
      </c>
      <c r="Q60" s="244">
        <f>G27/Q7</f>
        <v>0.18327527387068621</v>
      </c>
      <c r="R60" s="243">
        <f>H27/R7</f>
        <v>0.18175121746956269</v>
      </c>
      <c r="S60" s="244">
        <f>I27/S7</f>
        <v>0.15290074770675627</v>
      </c>
      <c r="T60" s="244">
        <f>J27/T7</f>
        <v>0.19232216823656642</v>
      </c>
      <c r="W60" s="37"/>
    </row>
    <row r="61" spans="2:23" x14ac:dyDescent="0.35">
      <c r="B61" s="164"/>
      <c r="C61" s="164"/>
      <c r="D61" s="164"/>
      <c r="E61" s="164"/>
      <c r="F61" s="164"/>
      <c r="G61" s="164"/>
      <c r="H61" s="164"/>
      <c r="I61" s="164"/>
      <c r="L61" s="242" t="s">
        <v>65</v>
      </c>
      <c r="M61" s="243">
        <f t="shared" ref="M61:T61" si="39">(C15-C20)/M12</f>
        <v>0.20439523327061321</v>
      </c>
      <c r="N61" s="244">
        <f t="shared" si="39"/>
        <v>0.27153548440082537</v>
      </c>
      <c r="O61" s="244">
        <f t="shared" si="39"/>
        <v>0.22585292847138283</v>
      </c>
      <c r="P61" s="244">
        <f t="shared" si="39"/>
        <v>0.23736597871558174</v>
      </c>
      <c r="Q61" s="244">
        <f t="shared" si="39"/>
        <v>0.22438842997157948</v>
      </c>
      <c r="R61" s="243">
        <f t="shared" si="39"/>
        <v>0.23416031272980617</v>
      </c>
      <c r="S61" s="244">
        <f t="shared" si="39"/>
        <v>0.19976435987172142</v>
      </c>
      <c r="T61" s="244">
        <f t="shared" si="39"/>
        <v>0.16883025362062307</v>
      </c>
      <c r="W61" s="37"/>
    </row>
    <row r="62" spans="2:23" x14ac:dyDescent="0.35">
      <c r="L62" s="222" t="s">
        <v>66</v>
      </c>
      <c r="M62" s="223">
        <f t="shared" ref="M62:T62" si="40">M11/M7</f>
        <v>0.6409117371605032</v>
      </c>
      <c r="N62" s="224">
        <f t="shared" si="40"/>
        <v>0.52401999699615931</v>
      </c>
      <c r="O62" s="224">
        <f t="shared" si="40"/>
        <v>0.32582224379885932</v>
      </c>
      <c r="P62" s="224">
        <f t="shared" si="40"/>
        <v>0.38730590421792138</v>
      </c>
      <c r="Q62" s="224">
        <f t="shared" si="40"/>
        <v>0.31001139506492636</v>
      </c>
      <c r="R62" s="223">
        <f t="shared" si="40"/>
        <v>0.44649358432781949</v>
      </c>
      <c r="S62" s="224">
        <f t="shared" si="40"/>
        <v>0.39026006587431672</v>
      </c>
      <c r="T62" s="224">
        <f>T11/T7</f>
        <v>0.38775310659357953</v>
      </c>
    </row>
    <row r="63" spans="2:23" x14ac:dyDescent="0.35">
      <c r="L63" s="222" t="s">
        <v>67</v>
      </c>
      <c r="M63" s="223">
        <f t="shared" ref="M63:T63" si="41">(M11-SUM(M29:M30))/M7</f>
        <v>0.61549851924975318</v>
      </c>
      <c r="N63" s="224">
        <f t="shared" si="41"/>
        <v>0.49167507026841462</v>
      </c>
      <c r="O63" s="224">
        <f t="shared" si="41"/>
        <v>0.2773256262392072</v>
      </c>
      <c r="P63" s="224">
        <f t="shared" si="41"/>
        <v>0.17808645676071921</v>
      </c>
      <c r="Q63" s="224">
        <f t="shared" si="41"/>
        <v>0.14396578460423351</v>
      </c>
      <c r="R63" s="223">
        <f t="shared" si="41"/>
        <v>0.2495092971521275</v>
      </c>
      <c r="S63" s="224">
        <f t="shared" si="41"/>
        <v>0.25357233228174136</v>
      </c>
      <c r="T63" s="224">
        <f t="shared" si="41"/>
        <v>0.36685530021196155</v>
      </c>
    </row>
    <row r="64" spans="2:23" x14ac:dyDescent="0.35">
      <c r="L64" s="222" t="s">
        <v>68</v>
      </c>
      <c r="M64" s="243">
        <f>M56/M53</f>
        <v>6.740815638692282E-3</v>
      </c>
      <c r="N64" s="244">
        <f>N56/N53</f>
        <v>8.658008658008658E-3</v>
      </c>
      <c r="O64" s="244">
        <f t="shared" ref="O64:Q64" si="42">O56/O53</f>
        <v>1.4347202295552367E-2</v>
      </c>
      <c r="P64" s="244">
        <f t="shared" si="42"/>
        <v>7.6923076923076927E-3</v>
      </c>
      <c r="Q64" s="244">
        <f t="shared" si="42"/>
        <v>3.9572615749901069E-3</v>
      </c>
      <c r="R64" s="243">
        <f>3/R53</f>
        <v>4.0799673602611181E-3</v>
      </c>
      <c r="S64" s="244">
        <f>3/S53</f>
        <v>3.0003000300030005E-3</v>
      </c>
      <c r="T64" s="244">
        <f>T56/T53</f>
        <v>2.4624476729869491E-3</v>
      </c>
    </row>
    <row r="65" spans="12:20" x14ac:dyDescent="0.35">
      <c r="L65" s="222" t="s">
        <v>69</v>
      </c>
      <c r="M65" s="245">
        <v>49.27</v>
      </c>
      <c r="N65" s="246">
        <f t="shared" ref="N65:T65" si="43">AVERAGE(M28:N28)/D5*365</f>
        <v>42.573706397861613</v>
      </c>
      <c r="O65" s="246">
        <f t="shared" si="43"/>
        <v>36.869464762354319</v>
      </c>
      <c r="P65" s="246">
        <f t="shared" si="43"/>
        <v>40.564610291762463</v>
      </c>
      <c r="Q65" s="246">
        <f t="shared" si="43"/>
        <v>60.097686774711427</v>
      </c>
      <c r="R65" s="245">
        <f t="shared" si="43"/>
        <v>56.992712771696972</v>
      </c>
      <c r="S65" s="246">
        <f t="shared" si="43"/>
        <v>54.357572872164184</v>
      </c>
      <c r="T65" s="246">
        <f>AVERAGE(S28:T28)/J5*365</f>
        <v>56.452134603868508</v>
      </c>
    </row>
    <row r="66" spans="12:20" x14ac:dyDescent="0.35">
      <c r="L66" s="222" t="s">
        <v>70</v>
      </c>
      <c r="M66" s="245">
        <v>39.11</v>
      </c>
      <c r="N66" s="246">
        <f>AVERAGE(M36:N36)/(SUM(D9:D11))*365</f>
        <v>59.988761456959942</v>
      </c>
      <c r="O66" s="246">
        <f t="shared" ref="O66:T66" si="44">AVERAGE(N36:O36)/(SUM(E9:E11))*365</f>
        <v>75.507969753560801</v>
      </c>
      <c r="P66" s="246">
        <f t="shared" si="44"/>
        <v>64.177206449525983</v>
      </c>
      <c r="Q66" s="246">
        <f t="shared" si="44"/>
        <v>60.82988689682329</v>
      </c>
      <c r="R66" s="246">
        <f t="shared" si="44"/>
        <v>55.837827684137444</v>
      </c>
      <c r="S66" s="246">
        <f t="shared" si="44"/>
        <v>57.988233907162346</v>
      </c>
      <c r="T66" s="246">
        <f t="shared" si="44"/>
        <v>60.027637868455393</v>
      </c>
    </row>
    <row r="67" spans="12:20" x14ac:dyDescent="0.35">
      <c r="L67" s="222" t="s">
        <v>71</v>
      </c>
      <c r="M67" s="245">
        <v>87.72</v>
      </c>
      <c r="N67" s="246">
        <f>AVERAGE(M25:N25)/SUM(D9:D11)*365</f>
        <v>128.20001959133532</v>
      </c>
      <c r="O67" s="246">
        <f t="shared" ref="O67:T67" si="45">AVERAGE(N25:O25)/SUM(E9:E11)*365</f>
        <v>148.9660367505727</v>
      </c>
      <c r="P67" s="246">
        <f t="shared" si="45"/>
        <v>120.74316977282339</v>
      </c>
      <c r="Q67" s="246">
        <f t="shared" si="45"/>
        <v>109.09734321771013</v>
      </c>
      <c r="R67" s="246">
        <f t="shared" si="45"/>
        <v>114.4531063365461</v>
      </c>
      <c r="S67" s="246">
        <f t="shared" si="45"/>
        <v>138.32204608738985</v>
      </c>
      <c r="T67" s="246">
        <f t="shared" si="45"/>
        <v>154.94153407020733</v>
      </c>
    </row>
    <row r="68" spans="12:20" x14ac:dyDescent="0.35">
      <c r="L68" s="222" t="s">
        <v>72</v>
      </c>
      <c r="M68" s="245">
        <f t="shared" ref="M68:Q68" si="46">M67+M65-M66</f>
        <v>97.88000000000001</v>
      </c>
      <c r="N68" s="246">
        <f>N67+N65-N66</f>
        <v>110.78496453223698</v>
      </c>
      <c r="O68" s="246">
        <f t="shared" si="46"/>
        <v>110.32753175936621</v>
      </c>
      <c r="P68" s="246">
        <f t="shared" si="46"/>
        <v>97.130573615059888</v>
      </c>
      <c r="Q68" s="246">
        <f t="shared" si="46"/>
        <v>108.36514309559826</v>
      </c>
      <c r="R68" s="245">
        <f t="shared" ref="R68:T68" si="47">R67+R65-R66</f>
        <v>115.60799142410565</v>
      </c>
      <c r="S68" s="246">
        <f t="shared" si="47"/>
        <v>134.69138505239169</v>
      </c>
      <c r="T68" s="246">
        <f t="shared" si="47"/>
        <v>151.36603080562043</v>
      </c>
    </row>
    <row r="69" spans="12:20" x14ac:dyDescent="0.35">
      <c r="L69" s="222" t="s">
        <v>73</v>
      </c>
      <c r="M69" s="246">
        <f t="shared" ref="M69:T69" si="48">M42/C5*365</f>
        <v>53.482495765104453</v>
      </c>
      <c r="N69" s="246">
        <f t="shared" si="48"/>
        <v>58.111094857507624</v>
      </c>
      <c r="O69" s="246">
        <f t="shared" si="48"/>
        <v>84.004926815550974</v>
      </c>
      <c r="P69" s="246">
        <f t="shared" si="48"/>
        <v>93.80878206412747</v>
      </c>
      <c r="Q69" s="246">
        <f t="shared" si="48"/>
        <v>105.26293534810354</v>
      </c>
      <c r="R69" s="245">
        <f t="shared" si="48"/>
        <v>85.407054956730363</v>
      </c>
      <c r="S69" s="246">
        <f t="shared" si="48"/>
        <v>97.249798082412795</v>
      </c>
      <c r="T69" s="246">
        <f>T42/J5*365</f>
        <v>72.644955128277545</v>
      </c>
    </row>
    <row r="70" spans="12:20" x14ac:dyDescent="0.35">
      <c r="L70" s="247" t="s">
        <v>74</v>
      </c>
      <c r="M70" s="243">
        <f t="shared" ref="M70:T70" si="49">C21/M11</f>
        <v>8.3529156217294287E-2</v>
      </c>
      <c r="N70" s="244">
        <f t="shared" si="49"/>
        <v>8.080497891331942E-2</v>
      </c>
      <c r="O70" s="244">
        <f t="shared" si="49"/>
        <v>7.1486460517850736E-2</v>
      </c>
      <c r="P70" s="244">
        <f t="shared" si="49"/>
        <v>2.8109058927000882E-2</v>
      </c>
      <c r="Q70" s="244">
        <f t="shared" si="49"/>
        <v>3.8278157357847932E-2</v>
      </c>
      <c r="R70" s="243">
        <f t="shared" si="49"/>
        <v>2.708716293955063E-2</v>
      </c>
      <c r="S70" s="244">
        <f>I21/S11</f>
        <v>4.58141928412222E-2</v>
      </c>
      <c r="T70" s="244">
        <f t="shared" si="49"/>
        <v>5.2260743258530792E-2</v>
      </c>
    </row>
    <row r="71" spans="12:20" x14ac:dyDescent="0.35">
      <c r="L71" s="82" t="s">
        <v>75</v>
      </c>
      <c r="M71" s="234">
        <f t="shared" ref="M71:T71" si="50">(C15-C20)/C21</f>
        <v>4.0061465721040195</v>
      </c>
      <c r="N71" s="234">
        <f t="shared" si="50"/>
        <v>6.7012921205979223</v>
      </c>
      <c r="O71" s="234">
        <f t="shared" si="50"/>
        <v>10.082826866136823</v>
      </c>
      <c r="P71" s="234">
        <f t="shared" si="50"/>
        <v>22.422841051314144</v>
      </c>
      <c r="Q71" s="234">
        <f t="shared" si="50"/>
        <v>20.259984338292863</v>
      </c>
      <c r="R71" s="234">
        <f t="shared" si="50"/>
        <v>20.430041905691855</v>
      </c>
      <c r="S71" s="235">
        <f t="shared" si="50"/>
        <v>11.730301888569684</v>
      </c>
      <c r="T71" s="235">
        <f>(J15-J20)/J21</f>
        <v>8.4717847877455856</v>
      </c>
    </row>
    <row r="72" spans="12:20" ht="15" thickBot="1" x14ac:dyDescent="0.4">
      <c r="L72" s="248" t="s">
        <v>165</v>
      </c>
      <c r="M72" s="249">
        <f>C5/(M16+M18)</f>
        <v>5.8009873423644747</v>
      </c>
      <c r="N72" s="249">
        <f t="shared" ref="N72:T72" si="51">D5/(N16+N18)</f>
        <v>6.5820823668431876</v>
      </c>
      <c r="O72" s="249">
        <f t="shared" si="51"/>
        <v>6.3554924723581454</v>
      </c>
      <c r="P72" s="249">
        <f t="shared" si="51"/>
        <v>5.1104386096475736</v>
      </c>
      <c r="Q72" s="249">
        <f t="shared" si="51"/>
        <v>4.6000574317450749</v>
      </c>
      <c r="R72" s="249">
        <f t="shared" si="51"/>
        <v>3.5633966993651827</v>
      </c>
      <c r="S72" s="249">
        <f t="shared" si="51"/>
        <v>3.1466897828890095</v>
      </c>
      <c r="T72" s="249">
        <f t="shared" si="51"/>
        <v>2.4007509366980981</v>
      </c>
    </row>
  </sheetData>
  <mergeCells count="5">
    <mergeCell ref="A1:A1048576"/>
    <mergeCell ref="L51:T51"/>
    <mergeCell ref="B3:J3"/>
    <mergeCell ref="L3:S3"/>
    <mergeCell ref="B2:S2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44" orientation="landscape" r:id="rId1"/>
  <ignoredErrors>
    <ignoredError sqref="R70 P65:Q65 R64:R65 O63:Q63 N63 N64:Q64 M63 M65:O65 R63 M64 M68 M67 S63:S65 S68 R68 O68:Q68" formulaRange="1"/>
    <ignoredError sqref="E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"/>
  <sheetViews>
    <sheetView workbookViewId="0">
      <selection activeCell="H13" sqref="H13"/>
    </sheetView>
  </sheetViews>
  <sheetFormatPr defaultRowHeight="14.5" x14ac:dyDescent="0.35"/>
  <sheetData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9"/>
  <sheetViews>
    <sheetView workbookViewId="0">
      <selection activeCell="D26" sqref="D26"/>
    </sheetView>
  </sheetViews>
  <sheetFormatPr defaultRowHeight="14.5" x14ac:dyDescent="0.35"/>
  <cols>
    <col min="1" max="1" width="45" customWidth="1"/>
    <col min="2" max="10" width="15.1796875" customWidth="1"/>
  </cols>
  <sheetData>
    <row r="1" spans="1:11" x14ac:dyDescent="0.35">
      <c r="B1" s="1" t="s">
        <v>25</v>
      </c>
      <c r="C1" s="1" t="s">
        <v>107</v>
      </c>
      <c r="D1" s="1" t="s">
        <v>25</v>
      </c>
      <c r="E1" s="1" t="s">
        <v>107</v>
      </c>
      <c r="F1" s="1" t="s">
        <v>25</v>
      </c>
      <c r="G1" s="1" t="s">
        <v>107</v>
      </c>
      <c r="H1" s="1" t="s">
        <v>25</v>
      </c>
      <c r="I1" s="1" t="s">
        <v>107</v>
      </c>
      <c r="J1" s="1" t="s">
        <v>25</v>
      </c>
      <c r="K1" s="1" t="s">
        <v>107</v>
      </c>
    </row>
    <row r="2" spans="1:11" x14ac:dyDescent="0.35">
      <c r="A2" s="2" t="s">
        <v>108</v>
      </c>
      <c r="B2" s="264" t="s">
        <v>151</v>
      </c>
      <c r="C2" s="265"/>
      <c r="D2" s="264" t="s">
        <v>152</v>
      </c>
      <c r="E2" s="265"/>
      <c r="F2" s="264" t="s">
        <v>153</v>
      </c>
      <c r="G2" s="265"/>
      <c r="H2" s="266" t="s">
        <v>154</v>
      </c>
      <c r="I2" s="267"/>
      <c r="J2" s="264" t="s">
        <v>109</v>
      </c>
      <c r="K2" s="265"/>
    </row>
    <row r="3" spans="1:1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 x14ac:dyDescent="0.35">
      <c r="A4" s="5" t="s">
        <v>110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 x14ac:dyDescent="0.35">
      <c r="A5" s="3" t="s">
        <v>111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 x14ac:dyDescent="0.35">
      <c r="A6" s="3" t="s">
        <v>112</v>
      </c>
      <c r="B6" s="6"/>
      <c r="C6" s="9" t="s">
        <v>104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 x14ac:dyDescent="0.35">
      <c r="A7" s="3" t="s">
        <v>113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 x14ac:dyDescent="0.35">
      <c r="A8" s="3" t="s">
        <v>114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 x14ac:dyDescent="0.35">
      <c r="A9" s="3" t="s">
        <v>115</v>
      </c>
      <c r="B9" s="6"/>
      <c r="C9" s="9" t="s">
        <v>104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 x14ac:dyDescent="0.35">
      <c r="A10" s="3" t="s">
        <v>113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 x14ac:dyDescent="0.35">
      <c r="A11" s="3" t="s">
        <v>116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 x14ac:dyDescent="0.35">
      <c r="A12" s="3" t="s">
        <v>16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 x14ac:dyDescent="0.35">
      <c r="A13" s="3" t="s">
        <v>117</v>
      </c>
      <c r="B13" s="6"/>
      <c r="C13" s="9" t="s">
        <v>104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 x14ac:dyDescent="0.35">
      <c r="A14" s="3" t="s">
        <v>113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 x14ac:dyDescent="0.35">
      <c r="A15" s="3" t="s">
        <v>118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 x14ac:dyDescent="0.35">
      <c r="A16" s="3" t="s">
        <v>21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 x14ac:dyDescent="0.35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 x14ac:dyDescent="0.35">
      <c r="A18" s="5" t="s">
        <v>119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 x14ac:dyDescent="0.35">
      <c r="A19" s="3" t="s">
        <v>120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 x14ac:dyDescent="0.35">
      <c r="A20" s="3" t="s">
        <v>90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 x14ac:dyDescent="0.35">
      <c r="A21" s="3" t="s">
        <v>121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 x14ac:dyDescent="0.35">
      <c r="A22" s="3" t="s">
        <v>122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 x14ac:dyDescent="0.35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 x14ac:dyDescent="0.35">
      <c r="A24" s="5" t="s">
        <v>123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 x14ac:dyDescent="0.35">
      <c r="A25" s="3" t="s">
        <v>124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 x14ac:dyDescent="0.35">
      <c r="A26" s="3" t="s">
        <v>87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 x14ac:dyDescent="0.35">
      <c r="A27" s="3" t="s">
        <v>125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 x14ac:dyDescent="0.35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 x14ac:dyDescent="0.35">
      <c r="A29" s="3" t="s">
        <v>126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 x14ac:dyDescent="0.35">
      <c r="A30" s="3" t="s">
        <v>89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 x14ac:dyDescent="0.35">
      <c r="A31" s="3" t="s">
        <v>127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 x14ac:dyDescent="0.35">
      <c r="A32" s="3" t="s">
        <v>128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 x14ac:dyDescent="0.35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 x14ac:dyDescent="0.35">
      <c r="A34" s="3" t="s">
        <v>129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 x14ac:dyDescent="0.35">
      <c r="A35" s="3" t="s">
        <v>68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 x14ac:dyDescent="0.35">
      <c r="A36" s="3" t="s">
        <v>130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 x14ac:dyDescent="0.35">
      <c r="A37" s="3" t="s">
        <v>131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 x14ac:dyDescent="0.35">
      <c r="A38" s="3" t="s">
        <v>132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 x14ac:dyDescent="0.35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 x14ac:dyDescent="0.35">
      <c r="A40" s="5" t="s">
        <v>133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 x14ac:dyDescent="0.35">
      <c r="A41" s="3" t="s">
        <v>134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 x14ac:dyDescent="0.35">
      <c r="A42" s="3" t="s">
        <v>135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 x14ac:dyDescent="0.35">
      <c r="A43" s="3" t="s">
        <v>136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 x14ac:dyDescent="0.35">
      <c r="A44" s="3" t="s">
        <v>137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 x14ac:dyDescent="0.35">
      <c r="A45" s="3" t="s">
        <v>138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 x14ac:dyDescent="0.35">
      <c r="A46" s="3" t="s">
        <v>139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 x14ac:dyDescent="0.35">
      <c r="A47" s="3" t="s">
        <v>10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 x14ac:dyDescent="0.35">
      <c r="A48" s="3" t="s">
        <v>140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 x14ac:dyDescent="0.35">
      <c r="A49" s="3" t="s">
        <v>141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 x14ac:dyDescent="0.35">
      <c r="A50" s="3" t="s">
        <v>142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 x14ac:dyDescent="0.35">
      <c r="A51" s="3" t="s">
        <v>143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 x14ac:dyDescent="0.35">
      <c r="A52" s="3" t="s">
        <v>144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 x14ac:dyDescent="0.35">
      <c r="A53" s="3" t="s">
        <v>145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 x14ac:dyDescent="0.35">
      <c r="A54" s="3" t="s">
        <v>146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 x14ac:dyDescent="0.35">
      <c r="A55" s="3" t="s">
        <v>147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 x14ac:dyDescent="0.35">
      <c r="A56" s="3" t="s">
        <v>148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 x14ac:dyDescent="0.35">
      <c r="A57" s="3" t="s">
        <v>139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 x14ac:dyDescent="0.35">
      <c r="A58" s="3" t="s">
        <v>149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 x14ac:dyDescent="0.35">
      <c r="A59" s="28" t="s">
        <v>150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Mallcom Consolidated</vt:lpstr>
      <vt:lpstr>Sheet1</vt:lpstr>
      <vt:lpstr>peer sheet</vt:lpstr>
      <vt:lpstr>'Mallcom Consolidated'!Print_Area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Dell</cp:lastModifiedBy>
  <cp:lastPrinted>2024-03-06T13:13:44Z</cp:lastPrinted>
  <dcterms:created xsi:type="dcterms:W3CDTF">2022-02-14T05:39:32Z</dcterms:created>
  <dcterms:modified xsi:type="dcterms:W3CDTF">2025-06-05T07:21:28Z</dcterms:modified>
</cp:coreProperties>
</file>