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Desktop\Harshit\TVS Electronics\Summary Sheet\Q4-FY25\"/>
    </mc:Choice>
  </mc:AlternateContent>
  <bookViews>
    <workbookView xWindow="0" yWindow="0" windowWidth="20490" windowHeight="7020" tabRatio="769" firstSheet="1" activeTab="1"/>
  </bookViews>
  <sheets>
    <sheet name="Peer Analysis" sheetId="10" state="hidden" r:id="rId1"/>
    <sheet name="Consol" sheetId="1" r:id="rId2"/>
  </sheets>
  <externalReferences>
    <externalReference r:id="rId3"/>
  </externalReferences>
  <definedNames>
    <definedName name="_xlnm.Print_Area" localSheetId="0">'Peer Analysis'!$A$1:$G$51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2" i="1" l="1"/>
  <c r="W68" i="1"/>
  <c r="W69" i="1"/>
  <c r="W70" i="1"/>
  <c r="W71" i="1"/>
  <c r="W72" i="1"/>
  <c r="W73" i="1"/>
  <c r="W74" i="1"/>
  <c r="W75" i="1"/>
  <c r="W76" i="1"/>
  <c r="W77" i="1"/>
  <c r="W78" i="1"/>
  <c r="W79" i="1"/>
  <c r="W80" i="1" s="1"/>
  <c r="W81" i="1"/>
  <c r="W83" i="1"/>
  <c r="W65" i="1"/>
  <c r="W66" i="1"/>
  <c r="V83" i="1"/>
  <c r="V82" i="1"/>
  <c r="V81" i="1"/>
  <c r="V80" i="1"/>
  <c r="V79" i="1"/>
  <c r="V78" i="1"/>
  <c r="V77" i="1"/>
  <c r="V76" i="1"/>
  <c r="V75" i="1"/>
  <c r="V74" i="1"/>
  <c r="V73" i="1"/>
  <c r="V72" i="1"/>
  <c r="V71" i="1"/>
  <c r="V70" i="1"/>
  <c r="V69" i="1"/>
  <c r="V68" i="1"/>
  <c r="V66" i="1"/>
  <c r="V65" i="1"/>
  <c r="W58" i="1"/>
  <c r="V58" i="1"/>
  <c r="V51" i="1"/>
  <c r="W52" i="1"/>
  <c r="V52" i="1"/>
  <c r="W12" i="1"/>
  <c r="V12" i="1"/>
  <c r="J55" i="1"/>
  <c r="K64" i="1"/>
  <c r="J64" i="1"/>
  <c r="I64" i="1"/>
  <c r="I62" i="1"/>
  <c r="J62" i="1"/>
  <c r="K61" i="1"/>
  <c r="J61" i="1"/>
  <c r="I61" i="1"/>
  <c r="K51" i="1"/>
  <c r="J51" i="1"/>
  <c r="K49" i="1"/>
  <c r="K42" i="1"/>
  <c r="J42" i="1"/>
  <c r="K41" i="1"/>
  <c r="J41" i="1"/>
  <c r="K37" i="1"/>
  <c r="J37" i="1"/>
  <c r="K36" i="1"/>
  <c r="J36" i="1"/>
  <c r="K32" i="1"/>
  <c r="J32" i="1"/>
  <c r="K31" i="1"/>
  <c r="J31" i="1"/>
  <c r="K30" i="1"/>
  <c r="J30" i="1"/>
  <c r="K29" i="1"/>
  <c r="J29" i="1"/>
  <c r="K23" i="1"/>
  <c r="J23" i="1"/>
  <c r="K21" i="1"/>
  <c r="J21" i="1"/>
  <c r="K16" i="1"/>
  <c r="J16" i="1"/>
  <c r="K15" i="1"/>
  <c r="J15" i="1"/>
  <c r="K14" i="1"/>
  <c r="J14" i="1"/>
  <c r="K13" i="1"/>
  <c r="J13" i="1"/>
  <c r="K6" i="1"/>
  <c r="J6" i="1"/>
  <c r="J5" i="1"/>
  <c r="K5" i="1"/>
  <c r="S65" i="1" l="1"/>
  <c r="T65" i="1"/>
  <c r="U65" i="1"/>
  <c r="W46" i="1"/>
  <c r="K55" i="1"/>
  <c r="K34" i="1"/>
  <c r="K59" i="1" l="1"/>
  <c r="V46" i="1"/>
  <c r="W51" i="1"/>
  <c r="W40" i="1"/>
  <c r="W29" i="1"/>
  <c r="W10" i="1"/>
  <c r="K62" i="1" s="1"/>
  <c r="W6" i="1"/>
  <c r="K63" i="1"/>
  <c r="J63" i="1"/>
  <c r="J59" i="1"/>
  <c r="J56" i="1"/>
  <c r="K54" i="1"/>
  <c r="K56" i="1" s="1"/>
  <c r="J54" i="1"/>
  <c r="I49" i="1"/>
  <c r="J49" i="1"/>
  <c r="W61" i="1" l="1"/>
  <c r="W60" i="1"/>
  <c r="W13" i="1" s="1"/>
  <c r="D5" i="1"/>
  <c r="K28" i="1"/>
  <c r="K25" i="1" l="1"/>
  <c r="K35" i="1" l="1"/>
  <c r="U68" i="1"/>
  <c r="V40" i="1"/>
  <c r="V29" i="1"/>
  <c r="U46" i="1"/>
  <c r="V61" i="1" l="1"/>
  <c r="U29" i="1"/>
  <c r="I54" i="1" l="1"/>
  <c r="F6" i="1"/>
  <c r="G6" i="1"/>
  <c r="H6" i="1"/>
  <c r="I6" i="1"/>
  <c r="I5" i="1"/>
  <c r="T71" i="1" l="1"/>
  <c r="U79" i="1" l="1"/>
  <c r="U77" i="1"/>
  <c r="U76" i="1"/>
  <c r="U71" i="1"/>
  <c r="I63" i="1"/>
  <c r="U58" i="1"/>
  <c r="U40" i="1"/>
  <c r="U10" i="1"/>
  <c r="U6" i="1"/>
  <c r="J28" i="1"/>
  <c r="I28" i="1"/>
  <c r="U51" i="1" l="1"/>
  <c r="U60" i="1" s="1"/>
  <c r="U13" i="1" s="1"/>
  <c r="U82" i="1"/>
  <c r="U74" i="1"/>
  <c r="U75" i="1"/>
  <c r="U61" i="1"/>
  <c r="U12" i="1"/>
  <c r="J25" i="1" l="1"/>
  <c r="U52" i="1"/>
  <c r="J35" i="1" l="1"/>
  <c r="T46" i="1"/>
  <c r="U78" i="1" s="1"/>
  <c r="U80" i="1" s="1"/>
  <c r="I56" i="1"/>
  <c r="I42" i="1"/>
  <c r="I41" i="1"/>
  <c r="C55" i="1"/>
  <c r="D55" i="1"/>
  <c r="E55" i="1"/>
  <c r="F55" i="1"/>
  <c r="G55" i="1"/>
  <c r="H55" i="1"/>
  <c r="R40" i="1"/>
  <c r="F5" i="1"/>
  <c r="T79" i="1"/>
  <c r="T77" i="1"/>
  <c r="T76" i="1"/>
  <c r="S71" i="1"/>
  <c r="R71" i="1"/>
  <c r="F42" i="1"/>
  <c r="F41" i="1"/>
  <c r="R46" i="1"/>
  <c r="R51" i="1" s="1"/>
  <c r="S46" i="1"/>
  <c r="S51" i="1" s="1"/>
  <c r="R21" i="1"/>
  <c r="R29" i="1" s="1"/>
  <c r="R9" i="1"/>
  <c r="R10" i="1" s="1"/>
  <c r="F62" i="1" s="1"/>
  <c r="F49" i="1"/>
  <c r="F50" i="1" s="1"/>
  <c r="G45" i="1" s="1"/>
  <c r="V10" i="1"/>
  <c r="V6" i="1"/>
  <c r="I59" i="1"/>
  <c r="I13" i="1"/>
  <c r="I51" i="1" s="1"/>
  <c r="H5" i="1"/>
  <c r="P58" i="1"/>
  <c r="Q58" i="1"/>
  <c r="R58" i="1"/>
  <c r="S58" i="1"/>
  <c r="T58" i="1"/>
  <c r="O58" i="1"/>
  <c r="P51" i="1"/>
  <c r="Q51" i="1"/>
  <c r="O51" i="1"/>
  <c r="O8" i="1"/>
  <c r="H42" i="1"/>
  <c r="C12" i="1"/>
  <c r="C13" i="1" s="1"/>
  <c r="D12" i="1"/>
  <c r="P78" i="1" s="1"/>
  <c r="Q21" i="1"/>
  <c r="Q71" i="1" s="1"/>
  <c r="E19" i="1"/>
  <c r="Q9" i="1"/>
  <c r="Q8" i="1"/>
  <c r="E49" i="1"/>
  <c r="E50" i="1" s="1"/>
  <c r="S40" i="1"/>
  <c r="T29" i="1"/>
  <c r="G59" i="1"/>
  <c r="G61" i="1" s="1"/>
  <c r="H59" i="1"/>
  <c r="H49" i="1"/>
  <c r="E5" i="1"/>
  <c r="G5" i="1"/>
  <c r="E13" i="1"/>
  <c r="F13" i="1"/>
  <c r="G13" i="1"/>
  <c r="G51" i="1" s="1"/>
  <c r="H13" i="1"/>
  <c r="C28" i="1"/>
  <c r="D28" i="1"/>
  <c r="E28" i="1"/>
  <c r="F28" i="1"/>
  <c r="G28" i="1"/>
  <c r="H28" i="1"/>
  <c r="D41" i="1"/>
  <c r="E41" i="1"/>
  <c r="G41" i="1"/>
  <c r="H41" i="1"/>
  <c r="G42" i="1"/>
  <c r="C49" i="1"/>
  <c r="C50" i="1" s="1"/>
  <c r="D49" i="1"/>
  <c r="D50" i="1" s="1"/>
  <c r="G49" i="1"/>
  <c r="C54" i="1"/>
  <c r="D54" i="1"/>
  <c r="E54" i="1"/>
  <c r="F54" i="1"/>
  <c r="G54" i="1"/>
  <c r="H54" i="1"/>
  <c r="C61" i="1"/>
  <c r="D61" i="1"/>
  <c r="E61" i="1"/>
  <c r="F61" i="1"/>
  <c r="C63" i="1"/>
  <c r="D63" i="1"/>
  <c r="E63" i="1"/>
  <c r="F63" i="1"/>
  <c r="G63" i="1"/>
  <c r="H63" i="1"/>
  <c r="T68" i="1"/>
  <c r="T40" i="1"/>
  <c r="T10" i="1"/>
  <c r="T6" i="1"/>
  <c r="C6" i="10"/>
  <c r="D6" i="10"/>
  <c r="E6" i="10"/>
  <c r="F6" i="10"/>
  <c r="B7" i="10"/>
  <c r="C7" i="10"/>
  <c r="D7" i="10"/>
  <c r="E7" i="10"/>
  <c r="F7" i="10"/>
  <c r="B8" i="10"/>
  <c r="C8" i="10"/>
  <c r="D8" i="10"/>
  <c r="E8" i="10"/>
  <c r="F8" i="10"/>
  <c r="B9" i="10"/>
  <c r="C9" i="10"/>
  <c r="D9" i="10"/>
  <c r="E9" i="10"/>
  <c r="F9" i="10"/>
  <c r="B11" i="10"/>
  <c r="C11" i="10"/>
  <c r="C13" i="10" s="1"/>
  <c r="D11" i="10"/>
  <c r="E11" i="10"/>
  <c r="F11" i="10"/>
  <c r="B12" i="10"/>
  <c r="C12" i="10"/>
  <c r="D12" i="10"/>
  <c r="E12" i="10"/>
  <c r="F12" i="10"/>
  <c r="B14" i="10"/>
  <c r="C14" i="10"/>
  <c r="D14" i="10"/>
  <c r="E14" i="10"/>
  <c r="F14" i="10"/>
  <c r="B18" i="10"/>
  <c r="B38" i="10" s="1"/>
  <c r="C18" i="10"/>
  <c r="C38" i="10" s="1"/>
  <c r="D18" i="10"/>
  <c r="D38" i="10" s="1"/>
  <c r="E18" i="10"/>
  <c r="E38" i="10" s="1"/>
  <c r="F18" i="10"/>
  <c r="F38" i="10" s="1"/>
  <c r="B20" i="10"/>
  <c r="C20" i="10"/>
  <c r="D20" i="10"/>
  <c r="E20" i="10"/>
  <c r="F20" i="10"/>
  <c r="F19" i="10" s="1"/>
  <c r="B21" i="10"/>
  <c r="C21" i="10"/>
  <c r="C19" i="10" s="1"/>
  <c r="D21" i="10"/>
  <c r="E21" i="10"/>
  <c r="F21" i="10"/>
  <c r="B27" i="10"/>
  <c r="C27" i="10"/>
  <c r="D27" i="10"/>
  <c r="E27" i="10"/>
  <c r="F27" i="10"/>
  <c r="B28" i="10"/>
  <c r="C28" i="10"/>
  <c r="D28" i="10"/>
  <c r="E28" i="10"/>
  <c r="F28" i="10"/>
  <c r="B29" i="10"/>
  <c r="C29" i="10"/>
  <c r="D29" i="10"/>
  <c r="E29" i="10"/>
  <c r="F29" i="10"/>
  <c r="B31" i="10"/>
  <c r="C31" i="10"/>
  <c r="D31" i="10"/>
  <c r="E31" i="10"/>
  <c r="F31" i="10"/>
  <c r="B32" i="10"/>
  <c r="C32" i="10"/>
  <c r="D32" i="10"/>
  <c r="E32" i="10"/>
  <c r="F32" i="10"/>
  <c r="B33" i="10"/>
  <c r="C33" i="10"/>
  <c r="D33" i="10"/>
  <c r="E33" i="10"/>
  <c r="F33" i="10"/>
  <c r="B34" i="10"/>
  <c r="C34" i="10"/>
  <c r="D34" i="10"/>
  <c r="E34" i="10"/>
  <c r="F34" i="10"/>
  <c r="C37" i="10"/>
  <c r="D37" i="10"/>
  <c r="E37" i="10"/>
  <c r="F37" i="10"/>
  <c r="B39" i="10"/>
  <c r="C39" i="10"/>
  <c r="D39" i="10"/>
  <c r="E39" i="10"/>
  <c r="F39" i="10"/>
  <c r="B40" i="10"/>
  <c r="C40" i="10"/>
  <c r="D40" i="10"/>
  <c r="E40" i="10"/>
  <c r="F40" i="10"/>
  <c r="B41" i="10"/>
  <c r="C41" i="10"/>
  <c r="D41" i="10"/>
  <c r="E41" i="10"/>
  <c r="F41" i="10"/>
  <c r="B42" i="10"/>
  <c r="C42" i="10"/>
  <c r="D42" i="10"/>
  <c r="E42" i="10"/>
  <c r="F42" i="10"/>
  <c r="B43" i="10"/>
  <c r="C43" i="10"/>
  <c r="D43" i="10"/>
  <c r="E43" i="10"/>
  <c r="F43" i="10"/>
  <c r="B44" i="10"/>
  <c r="C44" i="10"/>
  <c r="D44" i="10"/>
  <c r="E44" i="10"/>
  <c r="F44" i="10"/>
  <c r="B45" i="10"/>
  <c r="C45" i="10"/>
  <c r="D45" i="10"/>
  <c r="E45" i="10"/>
  <c r="F45" i="10"/>
  <c r="B46" i="10"/>
  <c r="C46" i="10"/>
  <c r="D46" i="10"/>
  <c r="E46" i="10"/>
  <c r="F46" i="10"/>
  <c r="B47" i="10"/>
  <c r="C47" i="10"/>
  <c r="D47" i="10"/>
  <c r="E47" i="10"/>
  <c r="F47" i="10"/>
  <c r="B48" i="10"/>
  <c r="C48" i="10"/>
  <c r="D48" i="10"/>
  <c r="E48" i="10"/>
  <c r="F48" i="10"/>
  <c r="B49" i="10"/>
  <c r="C49" i="10"/>
  <c r="D49" i="10"/>
  <c r="E49" i="10"/>
  <c r="F49" i="10"/>
  <c r="B50" i="10"/>
  <c r="C50" i="10"/>
  <c r="D50" i="10"/>
  <c r="E50" i="10"/>
  <c r="F50" i="10"/>
  <c r="B51" i="10"/>
  <c r="C51" i="10"/>
  <c r="D51" i="10"/>
  <c r="E51" i="10"/>
  <c r="F51" i="10"/>
  <c r="C10" i="10"/>
  <c r="D13" i="10"/>
  <c r="B37" i="10"/>
  <c r="B6" i="10"/>
  <c r="B10" i="10" s="1"/>
  <c r="S79" i="1"/>
  <c r="S77" i="1"/>
  <c r="S76" i="1"/>
  <c r="P71" i="1"/>
  <c r="O71" i="1"/>
  <c r="Q79" i="1"/>
  <c r="Q78" i="1"/>
  <c r="R79" i="1"/>
  <c r="O76" i="1"/>
  <c r="R76" i="1"/>
  <c r="O77" i="1"/>
  <c r="P77" i="1"/>
  <c r="Q77" i="1"/>
  <c r="R77" i="1"/>
  <c r="R65" i="1"/>
  <c r="R68" i="1" s="1"/>
  <c r="Q65" i="1"/>
  <c r="Q68" i="1" s="1"/>
  <c r="P65" i="1"/>
  <c r="P68" i="1" s="1"/>
  <c r="O65" i="1"/>
  <c r="O68" i="1" s="1"/>
  <c r="S68" i="1"/>
  <c r="P76" i="1"/>
  <c r="Q76" i="1"/>
  <c r="O10" i="1"/>
  <c r="C62" i="1" s="1"/>
  <c r="P10" i="1"/>
  <c r="P82" i="1" s="1"/>
  <c r="P40" i="1"/>
  <c r="O40" i="1"/>
  <c r="P29" i="1"/>
  <c r="O29" i="1"/>
  <c r="P6" i="1"/>
  <c r="P66" i="1" s="1"/>
  <c r="P69" i="1" s="1"/>
  <c r="O6" i="1"/>
  <c r="S29" i="1"/>
  <c r="S10" i="1"/>
  <c r="S6" i="1"/>
  <c r="Q40" i="1"/>
  <c r="R6" i="1"/>
  <c r="R66" i="1" s="1"/>
  <c r="R69" i="1" s="1"/>
  <c r="Q6" i="1"/>
  <c r="Q66" i="1" s="1"/>
  <c r="Q69" i="1" s="1"/>
  <c r="T78" i="1" l="1"/>
  <c r="R78" i="1"/>
  <c r="D19" i="10"/>
  <c r="E19" i="10"/>
  <c r="D10" i="10"/>
  <c r="F16" i="1"/>
  <c r="F51" i="1"/>
  <c r="C51" i="1"/>
  <c r="C14" i="1"/>
  <c r="E14" i="1"/>
  <c r="E51" i="1"/>
  <c r="H51" i="1"/>
  <c r="V60" i="1"/>
  <c r="V13" i="1" s="1"/>
  <c r="H56" i="1"/>
  <c r="D56" i="1"/>
  <c r="B19" i="10"/>
  <c r="B13" i="10"/>
  <c r="F10" i="10"/>
  <c r="E10" i="10"/>
  <c r="U70" i="1"/>
  <c r="U66" i="1"/>
  <c r="U69" i="1" s="1"/>
  <c r="P52" i="1"/>
  <c r="H16" i="1"/>
  <c r="G14" i="1"/>
  <c r="F15" i="1"/>
  <c r="I21" i="1"/>
  <c r="I25" i="1" s="1"/>
  <c r="I16" i="1"/>
  <c r="I14" i="1"/>
  <c r="I15" i="1"/>
  <c r="S12" i="1"/>
  <c r="R61" i="1"/>
  <c r="R73" i="1" s="1"/>
  <c r="H61" i="1"/>
  <c r="Q29" i="1"/>
  <c r="Q61" i="1" s="1"/>
  <c r="G21" i="1"/>
  <c r="G25" i="1" s="1"/>
  <c r="T51" i="1"/>
  <c r="T60" i="1" s="1"/>
  <c r="E56" i="1"/>
  <c r="Q52" i="1"/>
  <c r="S61" i="1"/>
  <c r="O82" i="1"/>
  <c r="O78" i="1"/>
  <c r="E21" i="1"/>
  <c r="Q83" i="1" s="1"/>
  <c r="O74" i="1"/>
  <c r="G62" i="1"/>
  <c r="G64" i="1" s="1"/>
  <c r="S70" i="1" s="1"/>
  <c r="O61" i="1"/>
  <c r="P79" i="1"/>
  <c r="P80" i="1" s="1"/>
  <c r="P61" i="1"/>
  <c r="R80" i="1"/>
  <c r="G15" i="1"/>
  <c r="D13" i="1"/>
  <c r="O60" i="1"/>
  <c r="O13" i="1" s="1"/>
  <c r="O52" i="1"/>
  <c r="O81" i="1" s="1"/>
  <c r="D62" i="1"/>
  <c r="D64" i="1" s="1"/>
  <c r="G50" i="1"/>
  <c r="R52" i="1"/>
  <c r="C21" i="1"/>
  <c r="C25" i="1" s="1"/>
  <c r="C29" i="1" s="1"/>
  <c r="C35" i="1" s="1"/>
  <c r="R75" i="1"/>
  <c r="O79" i="1"/>
  <c r="S78" i="1"/>
  <c r="S80" i="1" s="1"/>
  <c r="T75" i="1"/>
  <c r="F14" i="1"/>
  <c r="C64" i="1"/>
  <c r="O70" i="1" s="1"/>
  <c r="Q10" i="1"/>
  <c r="Q74" i="1" s="1"/>
  <c r="S52" i="1"/>
  <c r="R12" i="1"/>
  <c r="T61" i="1"/>
  <c r="O12" i="1"/>
  <c r="Q80" i="1"/>
  <c r="T12" i="1"/>
  <c r="F64" i="1"/>
  <c r="R70" i="1" s="1"/>
  <c r="O66" i="1"/>
  <c r="O69" i="1" s="1"/>
  <c r="T74" i="1"/>
  <c r="H15" i="1"/>
  <c r="R74" i="1"/>
  <c r="Q12" i="1"/>
  <c r="S66" i="1"/>
  <c r="S69" i="1" s="1"/>
  <c r="P75" i="1"/>
  <c r="P12" i="1"/>
  <c r="H62" i="1"/>
  <c r="H21" i="1"/>
  <c r="F13" i="10"/>
  <c r="T82" i="1"/>
  <c r="H14" i="1"/>
  <c r="F21" i="1"/>
  <c r="P74" i="1"/>
  <c r="R82" i="1"/>
  <c r="S74" i="1"/>
  <c r="S60" i="1"/>
  <c r="P60" i="1"/>
  <c r="S75" i="1"/>
  <c r="E13" i="10"/>
  <c r="R60" i="1"/>
  <c r="O75" i="1"/>
  <c r="T66" i="1"/>
  <c r="T69" i="1" s="1"/>
  <c r="T80" i="1"/>
  <c r="G56" i="1"/>
  <c r="F56" i="1"/>
  <c r="C56" i="1"/>
  <c r="G16" i="1" l="1"/>
  <c r="D51" i="1"/>
  <c r="Q81" i="1"/>
  <c r="O83" i="1"/>
  <c r="O72" i="1"/>
  <c r="C30" i="1"/>
  <c r="P70" i="1"/>
  <c r="Q73" i="1"/>
  <c r="P81" i="1"/>
  <c r="T52" i="1"/>
  <c r="U81" i="1" s="1"/>
  <c r="G29" i="1"/>
  <c r="G35" i="1" s="1"/>
  <c r="S73" i="1"/>
  <c r="R81" i="1"/>
  <c r="H50" i="1"/>
  <c r="I45" i="1" s="1"/>
  <c r="C23" i="1"/>
  <c r="U73" i="1"/>
  <c r="U83" i="1"/>
  <c r="H64" i="1"/>
  <c r="T70" i="1" s="1"/>
  <c r="O73" i="1"/>
  <c r="O80" i="1"/>
  <c r="G23" i="1"/>
  <c r="S83" i="1"/>
  <c r="E25" i="1"/>
  <c r="E29" i="1" s="1"/>
  <c r="E23" i="1"/>
  <c r="Q75" i="1"/>
  <c r="D21" i="1"/>
  <c r="D14" i="1"/>
  <c r="D15" i="1" s="1"/>
  <c r="I23" i="1"/>
  <c r="E62" i="1"/>
  <c r="E64" i="1" s="1"/>
  <c r="Q70" i="1" s="1"/>
  <c r="S81" i="1"/>
  <c r="Q60" i="1"/>
  <c r="H23" i="1"/>
  <c r="H25" i="1"/>
  <c r="T83" i="1"/>
  <c r="T73" i="1"/>
  <c r="F25" i="1"/>
  <c r="I32" i="1" s="1"/>
  <c r="R83" i="1"/>
  <c r="P13" i="1"/>
  <c r="R13" i="1"/>
  <c r="T13" i="1"/>
  <c r="S13" i="1"/>
  <c r="I29" i="1"/>
  <c r="I31" i="1" l="1"/>
  <c r="E15" i="1"/>
  <c r="T81" i="1"/>
  <c r="I50" i="1"/>
  <c r="J45" i="1" s="1"/>
  <c r="G30" i="1"/>
  <c r="S72" i="1"/>
  <c r="U72" i="1"/>
  <c r="I30" i="1"/>
  <c r="E35" i="1"/>
  <c r="E30" i="1"/>
  <c r="Q72" i="1"/>
  <c r="P83" i="1"/>
  <c r="D25" i="1"/>
  <c r="P73" i="1"/>
  <c r="D23" i="1"/>
  <c r="Q13" i="1"/>
  <c r="I35" i="1"/>
  <c r="H31" i="1"/>
  <c r="H29" i="1"/>
  <c r="H32" i="1"/>
  <c r="G31" i="1"/>
  <c r="F29" i="1"/>
  <c r="F31" i="1"/>
  <c r="F32" i="1"/>
  <c r="J50" i="1" l="1"/>
  <c r="D29" i="1"/>
  <c r="G32" i="1"/>
  <c r="F30" i="1"/>
  <c r="F35" i="1"/>
  <c r="I37" i="1" s="1"/>
  <c r="R72" i="1"/>
  <c r="H35" i="1"/>
  <c r="H30" i="1"/>
  <c r="T72" i="1"/>
  <c r="K45" i="1" l="1"/>
  <c r="K50" i="1" s="1"/>
  <c r="I36" i="1"/>
  <c r="P72" i="1"/>
  <c r="D30" i="1"/>
  <c r="D35" i="1"/>
  <c r="H37" i="1"/>
  <c r="H36" i="1"/>
  <c r="F36" i="1"/>
  <c r="F37" i="1"/>
  <c r="G36" i="1"/>
  <c r="D36" i="1" l="1"/>
  <c r="G37" i="1"/>
  <c r="E36" i="1"/>
  <c r="D31" i="1"/>
  <c r="E31" i="1"/>
</calcChain>
</file>

<file path=xl/comments1.xml><?xml version="1.0" encoding="utf-8"?>
<comments xmlns="http://schemas.openxmlformats.org/spreadsheetml/2006/main">
  <authors>
    <author>SHAH</author>
    <author>Admin</author>
  </authors>
  <commentList>
    <comment ref="C12" authorId="0" shapeId="0">
      <text>
        <r>
          <rPr>
            <b/>
            <sz val="9"/>
            <color indexed="81"/>
            <rFont val="Tahoma"/>
            <family val="2"/>
          </rPr>
          <t>Includes excise duty on sale of goods INR 39.9 Mn</t>
        </r>
      </text>
    </comment>
    <comment ref="D12" authorId="0" shapeId="0">
      <text>
        <r>
          <rPr>
            <b/>
            <sz val="9"/>
            <color indexed="81"/>
            <rFont val="Tahoma"/>
            <family val="2"/>
          </rPr>
          <t>Includes excise duty on sale of goods INR 14.4 Mn</t>
        </r>
      </text>
    </comment>
    <comment ref="E19" authorId="1" shapeId="0">
      <text>
        <r>
          <rPr>
            <b/>
            <sz val="9"/>
            <color indexed="81"/>
            <rFont val="Tahoma"/>
            <family val="2"/>
          </rPr>
          <t xml:space="preserve">Includes other borrowing cost of Rs. 2.6 MN (includes loan processing charges, guarantee charges, loan facilitation charges and other ancillary cost) </t>
        </r>
      </text>
    </comment>
    <comment ref="D20" authorId="0" shapeId="0">
      <text>
        <r>
          <rPr>
            <b/>
            <sz val="9"/>
            <color indexed="81"/>
            <rFont val="Tahoma"/>
            <family val="2"/>
          </rPr>
          <t>''Exceptional Items' of INR 369 lakhs represents net profit on sale of leasehold
rights on land and other assets.</t>
        </r>
      </text>
    </comment>
    <comment ref="E20" authorId="0" shapeId="0">
      <text>
        <r>
          <rPr>
            <b/>
            <sz val="9"/>
            <color indexed="81"/>
            <rFont val="Tahoma"/>
            <family val="2"/>
          </rPr>
          <t>In March 2019, the Company has divested its equity in its subsidiary M/s Benani Foods Pvt Ltd which resulted in exceptional loss of INR 358 lakhs.</t>
        </r>
      </text>
    </comment>
    <comment ref="F20" authorId="0" shapeId="0">
      <text>
        <r>
          <rPr>
            <b/>
            <sz val="9"/>
            <color indexed="81"/>
            <rFont val="Tahoma"/>
            <family val="2"/>
          </rPr>
          <t>An impairment was recognised to the extent of ` 350 lakhs in carrying value of the Business
Rights relating to Customer Support Services business (Cash Generating Unit - CGU)</t>
        </r>
      </text>
    </comment>
    <comment ref="H20" authorId="0" shapeId="0">
      <text>
        <r>
          <rPr>
            <b/>
            <sz val="9"/>
            <color indexed="81"/>
            <rFont val="Tahoma"/>
            <family val="2"/>
          </rPr>
          <t>‘Exceptional item of ` 49 lakhs (net) comprises (a) an additional impairment charge of ` 331 lakhs based on Company’s
assessment of the business rights asset related to Customer Support Services, duly considering the changes arising out
of post pandemic trends, evolving business models, underlying revenue streams and; (b) liabilities no longer required written back of ` 380 lakhs related to the Fulfillment &amp; distribution services which was since combined with Products &amp;
Solutions.</t>
        </r>
      </text>
    </comment>
    <comment ref="M28" authorId="0" shapeId="0">
      <text>
        <r>
          <rPr>
            <b/>
            <sz val="9"/>
            <color indexed="81"/>
            <rFont val="Tahoma"/>
            <family val="2"/>
          </rPr>
          <t>Includes an amount of INR 2,500 lakhs paid to TVS Investments Private Limited as Indemnity Deposit.</t>
        </r>
      </text>
    </comment>
  </commentList>
</comments>
</file>

<file path=xl/sharedStrings.xml><?xml version="1.0" encoding="utf-8"?>
<sst xmlns="http://schemas.openxmlformats.org/spreadsheetml/2006/main" count="249" uniqueCount="164">
  <si>
    <t>March Year Ended (INR Mn)</t>
  </si>
  <si>
    <t>FY19</t>
  </si>
  <si>
    <t>FY20</t>
  </si>
  <si>
    <t>Share Capital</t>
  </si>
  <si>
    <t>Reserves &amp; Surplus</t>
  </si>
  <si>
    <t>Networth/Shareholders' Fund/ Book Value</t>
  </si>
  <si>
    <t>Long Term Debt</t>
  </si>
  <si>
    <t>Short Term Debt</t>
  </si>
  <si>
    <t>Gross Block</t>
  </si>
  <si>
    <t>NON-CURRENT ASSETS</t>
  </si>
  <si>
    <t>Property, Plant and Equipment</t>
  </si>
  <si>
    <t>Capital work-in-progress</t>
  </si>
  <si>
    <t>Financial assets</t>
  </si>
  <si>
    <t>Other financial assets</t>
  </si>
  <si>
    <t>Other non-current assets</t>
  </si>
  <si>
    <t>CURRENT ASSETS, LOANS &amp; ADVANCES</t>
  </si>
  <si>
    <t>Inventories</t>
  </si>
  <si>
    <t>Trade Receivable</t>
  </si>
  <si>
    <t>Investments</t>
  </si>
  <si>
    <t>Cash and cash equivalents</t>
  </si>
  <si>
    <t>Other bank balances</t>
  </si>
  <si>
    <t>Other Current Assets</t>
  </si>
  <si>
    <t>CURRENT LIABILITIES &amp; PROVISIONS</t>
  </si>
  <si>
    <t>Trade Payables</t>
  </si>
  <si>
    <t>Current Tax Liabilities (Net)</t>
  </si>
  <si>
    <t>NET CURRENT ASSETS</t>
  </si>
  <si>
    <t>TOTAL ASSETS</t>
  </si>
  <si>
    <t>TOTAL LIABILITIES</t>
  </si>
  <si>
    <t>Other Non Current liabilities</t>
  </si>
  <si>
    <t>Provisions</t>
  </si>
  <si>
    <t>Other Financial Liabilities</t>
  </si>
  <si>
    <t>Other Current Liabilities</t>
  </si>
  <si>
    <t>FY18</t>
  </si>
  <si>
    <t>FY17</t>
  </si>
  <si>
    <t>Income</t>
  </si>
  <si>
    <t>Growth (%)</t>
  </si>
  <si>
    <t>CAGR (%) - 3 Years</t>
  </si>
  <si>
    <t>Expenditure</t>
  </si>
  <si>
    <t>Cost of Materials Consumed</t>
  </si>
  <si>
    <t>Employee Benefit Expense</t>
  </si>
  <si>
    <t>Other Expenses</t>
  </si>
  <si>
    <t>EBITDA</t>
  </si>
  <si>
    <t>EBITDA margin (%)</t>
  </si>
  <si>
    <t>Other Income</t>
  </si>
  <si>
    <t>Depreciation</t>
  </si>
  <si>
    <t>PBT</t>
  </si>
  <si>
    <t>Tax</t>
  </si>
  <si>
    <t>Effective tax rate (%)</t>
  </si>
  <si>
    <t>PAT margin (%)</t>
  </si>
  <si>
    <t>Other Comprehensive Income</t>
  </si>
  <si>
    <t>EPS</t>
  </si>
  <si>
    <t>FY21</t>
  </si>
  <si>
    <t>Changes in Inventories of FG, SIT and WIP</t>
  </si>
  <si>
    <t>Finance Cost</t>
  </si>
  <si>
    <t>Total  Comprehensive Income</t>
  </si>
  <si>
    <t>Basic</t>
  </si>
  <si>
    <t>Diluted</t>
  </si>
  <si>
    <t>CASH FLOW STATEMENT</t>
  </si>
  <si>
    <t>Cash and Cash Equivalents at Beginning of the year</t>
  </si>
  <si>
    <t>Cash Flow From Operating Activities</t>
  </si>
  <si>
    <t>Cash Flow from Investing Activities</t>
  </si>
  <si>
    <t>Cash Flow From Financing Activities</t>
  </si>
  <si>
    <t>Net Inc./(Dec.) in Cash and Cash Equivalent</t>
  </si>
  <si>
    <t>Cash and Cash Equivalents at End of the year</t>
  </si>
  <si>
    <t>Our Calculations</t>
  </si>
  <si>
    <t xml:space="preserve">Operating Cash Inflow </t>
  </si>
  <si>
    <t>Capital Expenditure</t>
  </si>
  <si>
    <t>FCF</t>
  </si>
  <si>
    <t>No. of Shares</t>
  </si>
  <si>
    <t>Total Debt</t>
  </si>
  <si>
    <t>Market Cap (INR Mn)</t>
  </si>
  <si>
    <t>Enterprise Value</t>
  </si>
  <si>
    <t>EPS (Rs)</t>
  </si>
  <si>
    <t>BVPS (Rs)</t>
  </si>
  <si>
    <t>DPS (Rs)</t>
  </si>
  <si>
    <t>P/E (x)</t>
  </si>
  <si>
    <t>P/BV (x)</t>
  </si>
  <si>
    <t>EV/EBIDTA (x)</t>
  </si>
  <si>
    <t>RoE (%)</t>
  </si>
  <si>
    <t>RoCE (%)</t>
  </si>
  <si>
    <t>Gross D/E(x)</t>
  </si>
  <si>
    <t>Net D/E (x)</t>
  </si>
  <si>
    <t>Dividend Yield</t>
  </si>
  <si>
    <t>Debtor Days</t>
  </si>
  <si>
    <t>Creditor Days</t>
  </si>
  <si>
    <t>Inventory Days</t>
  </si>
  <si>
    <t>Cash Conversion cycle</t>
  </si>
  <si>
    <t>Working Capital Days</t>
  </si>
  <si>
    <t>Interest Cost</t>
  </si>
  <si>
    <t>Interest Coverage</t>
  </si>
  <si>
    <t>Fixed Asset Tunover</t>
  </si>
  <si>
    <t>PAT from Continuing Operations</t>
  </si>
  <si>
    <t>PBT from Discontinuing Operations</t>
  </si>
  <si>
    <t>PAT from Discontinuing Operations</t>
  </si>
  <si>
    <t>Net Profit for the Year</t>
  </si>
  <si>
    <t>PROPERTY, PLANT &amp; EQUIPMENT HELD FOR SALE</t>
  </si>
  <si>
    <t>Income Statement</t>
  </si>
  <si>
    <t>Kriti</t>
  </si>
  <si>
    <t>Prince</t>
  </si>
  <si>
    <t>Apollo</t>
  </si>
  <si>
    <t>Finolex</t>
  </si>
  <si>
    <t>Astral</t>
  </si>
  <si>
    <t>Supreme</t>
  </si>
  <si>
    <t>Market Cap</t>
  </si>
  <si>
    <t>Interest Coverage Ratio</t>
  </si>
  <si>
    <t>No. of Shares (in Mn)</t>
  </si>
  <si>
    <t>Face Value per share (INR)</t>
  </si>
  <si>
    <t>Interest Cost (%)</t>
  </si>
  <si>
    <t>Net Debt/Equity</t>
  </si>
  <si>
    <t>Gross Debt/Equity</t>
  </si>
  <si>
    <t>Cash Conversion Cycle</t>
  </si>
  <si>
    <t>Payable days</t>
  </si>
  <si>
    <t>Receivable days</t>
  </si>
  <si>
    <t>Fixed Asset Turnover</t>
  </si>
  <si>
    <t>ROCE</t>
  </si>
  <si>
    <t>ROE</t>
  </si>
  <si>
    <t>Book Value per Share</t>
  </si>
  <si>
    <t>Book Value</t>
  </si>
  <si>
    <t>OPERATIONAL RATIOS COMPARISION</t>
  </si>
  <si>
    <t>EV/ EBITDA</t>
  </si>
  <si>
    <t>Price:Book Value</t>
  </si>
  <si>
    <t>Stock P:E</t>
  </si>
  <si>
    <t>CFO</t>
  </si>
  <si>
    <t>Cash Flow</t>
  </si>
  <si>
    <t>Short Term</t>
  </si>
  <si>
    <t>Long Term</t>
  </si>
  <si>
    <t>Total Networth</t>
  </si>
  <si>
    <t>Balance Sheet Comparision</t>
  </si>
  <si>
    <t>PAT Margin (%)</t>
  </si>
  <si>
    <t>3 Years CAGR (%)</t>
  </si>
  <si>
    <t>PAT</t>
  </si>
  <si>
    <t>EBITDA Margin (%)</t>
  </si>
  <si>
    <t>Operating Revenue</t>
  </si>
  <si>
    <t>P&amp;L Comparision</t>
  </si>
  <si>
    <t>INR Mn</t>
  </si>
  <si>
    <t>Peer Comparison Analysis - KRITI INDUSTRIES (INDIA) LIMITED</t>
  </si>
  <si>
    <t>FY21 Consol</t>
  </si>
  <si>
    <t>CMP (As on 31.03.2021)</t>
  </si>
  <si>
    <t>FY22</t>
  </si>
  <si>
    <t>TVS Electronics Ltd.</t>
  </si>
  <si>
    <t>Purchases of Stock in trade</t>
  </si>
  <si>
    <t>Right to use assets</t>
  </si>
  <si>
    <t>Intangible Assets</t>
  </si>
  <si>
    <t>Intangible Assets under development</t>
  </si>
  <si>
    <t>Non Current Tax Asset (Net of provision)</t>
  </si>
  <si>
    <t>NON-CURRENT LIABILITIES</t>
  </si>
  <si>
    <t>Exceptional Item (Loss)/Gain</t>
  </si>
  <si>
    <t>Deferred Tax Liabilities (Net)</t>
  </si>
  <si>
    <t>Deferred Tax Assets (Net)</t>
  </si>
  <si>
    <t>Capital Employed</t>
  </si>
  <si>
    <t>Consolidated Income Statement</t>
  </si>
  <si>
    <t>Consolidated Balance Sheet</t>
  </si>
  <si>
    <t>CMP(Rs) (As per Stock Price at BSE)</t>
  </si>
  <si>
    <t>Goodwill</t>
  </si>
  <si>
    <t>Minority Interest / Non Controlling Interest</t>
  </si>
  <si>
    <t>Lease Liabilities</t>
  </si>
  <si>
    <t xml:space="preserve">Total Loans </t>
  </si>
  <si>
    <t>N.A.</t>
  </si>
  <si>
    <t>Cash &amp; cash equivalent and other bank balance</t>
  </si>
  <si>
    <t>FY23</t>
  </si>
  <si>
    <t>-</t>
  </si>
  <si>
    <t>FY24</t>
  </si>
  <si>
    <t xml:space="preserve">                           </t>
  </si>
  <si>
    <t>FY25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</si>
</sst>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_(* #,##0.00_);_(* \(#,##0.00\);_(* &quot;-&quot;??_);_(@_)"/>
    <numFmt numFmtId="165" formatCode="0.0%"/>
    <numFmt numFmtId="166" formatCode="_ * #,##0_ ;_ * \-#,##0_ ;_ * &quot;-&quot;??_ ;_ @_ "/>
    <numFmt numFmtId="167" formatCode="_(* #,##0.0_);_(* \(#,##0.0\);_(* &quot;-&quot;??_);_(@_)"/>
    <numFmt numFmtId="168"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u val="double"/>
      <sz val="11"/>
      <color theme="1"/>
      <name val="Calibri"/>
      <family val="2"/>
      <scheme val="minor"/>
    </font>
    <font>
      <sz val="11"/>
      <name val="Calibri"/>
      <family val="2"/>
      <scheme val="minor"/>
    </font>
    <font>
      <i/>
      <sz val="11"/>
      <color rgb="FF0070C0"/>
      <name val="Calibri"/>
      <family val="2"/>
      <scheme val="minor"/>
    </font>
    <font>
      <sz val="11"/>
      <color rgb="FF0070C0"/>
      <name val="Calibri"/>
      <family val="2"/>
      <scheme val="minor"/>
    </font>
    <font>
      <b/>
      <sz val="14"/>
      <color theme="1"/>
      <name val="Calibri"/>
      <family val="2"/>
      <scheme val="minor"/>
    </font>
    <font>
      <b/>
      <i/>
      <sz val="11"/>
      <color theme="1"/>
      <name val="Calibri"/>
      <family val="2"/>
      <scheme val="minor"/>
    </font>
    <font>
      <i/>
      <sz val="11"/>
      <color theme="1"/>
      <name val="Calibri"/>
      <family val="2"/>
      <scheme val="minor"/>
    </font>
    <font>
      <b/>
      <sz val="12"/>
      <name val="Calibri"/>
      <family val="2"/>
      <scheme val="minor"/>
    </font>
    <font>
      <b/>
      <sz val="12"/>
      <color theme="1"/>
      <name val="Calibri"/>
      <family val="2"/>
      <scheme val="minor"/>
    </font>
    <font>
      <b/>
      <sz val="9"/>
      <color indexed="81"/>
      <name val="Tahoma"/>
      <family val="2"/>
    </font>
    <font>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rgb="FFFF00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1"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154">
    <xf numFmtId="0" fontId="0" fillId="0" borderId="0" xfId="0"/>
    <xf numFmtId="43" fontId="0" fillId="0" borderId="0" xfId="1" applyFont="1"/>
    <xf numFmtId="0" fontId="0" fillId="0" borderId="0" xfId="0" applyAlignment="1">
      <alignment vertical="top"/>
    </xf>
    <xf numFmtId="0" fontId="0" fillId="0" borderId="1" xfId="0" applyBorder="1" applyAlignment="1">
      <alignment vertical="top"/>
    </xf>
    <xf numFmtId="0" fontId="0" fillId="5" borderId="0" xfId="0" applyFill="1"/>
    <xf numFmtId="0" fontId="0" fillId="3" borderId="0" xfId="0" applyFill="1" applyAlignment="1">
      <alignment horizontal="center"/>
    </xf>
    <xf numFmtId="0" fontId="0" fillId="6" borderId="0" xfId="0" applyFill="1"/>
    <xf numFmtId="43" fontId="0" fillId="6" borderId="0" xfId="1" applyFont="1" applyFill="1"/>
    <xf numFmtId="165" fontId="0" fillId="6" borderId="0" xfId="2" applyNumberFormat="1" applyFont="1" applyFill="1"/>
    <xf numFmtId="10" fontId="0" fillId="6" borderId="0" xfId="2" applyNumberFormat="1" applyFont="1" applyFill="1"/>
    <xf numFmtId="0" fontId="0" fillId="8" borderId="0" xfId="0" applyFill="1" applyAlignment="1">
      <alignment vertical="top"/>
    </xf>
    <xf numFmtId="0" fontId="5" fillId="8" borderId="0" xfId="0" applyFont="1" applyFill="1" applyAlignment="1">
      <alignment vertical="top"/>
    </xf>
    <xf numFmtId="165" fontId="0" fillId="8" borderId="1" xfId="2" applyNumberFormat="1" applyFont="1" applyFill="1" applyBorder="1" applyAlignment="1">
      <alignment vertical="top"/>
    </xf>
    <xf numFmtId="0" fontId="0" fillId="8" borderId="1" xfId="0" applyFill="1" applyBorder="1" applyAlignment="1">
      <alignment vertical="top"/>
    </xf>
    <xf numFmtId="164" fontId="0" fillId="0" borderId="1" xfId="0" applyNumberFormat="1" applyBorder="1" applyAlignment="1">
      <alignment vertical="top"/>
    </xf>
    <xf numFmtId="167" fontId="0" fillId="0" borderId="1" xfId="0" applyNumberFormat="1" applyBorder="1" applyAlignment="1">
      <alignment vertical="top"/>
    </xf>
    <xf numFmtId="168" fontId="0" fillId="0" borderId="1" xfId="0" applyNumberFormat="1" applyBorder="1" applyAlignment="1">
      <alignment vertical="top"/>
    </xf>
    <xf numFmtId="168" fontId="0" fillId="7" borderId="1" xfId="0" applyNumberFormat="1" applyFill="1" applyBorder="1" applyAlignment="1">
      <alignment vertical="top"/>
    </xf>
    <xf numFmtId="0" fontId="2" fillId="8" borderId="1" xfId="0" applyFont="1" applyFill="1" applyBorder="1" applyAlignment="1">
      <alignment vertical="top"/>
    </xf>
    <xf numFmtId="0" fontId="2" fillId="0" borderId="1" xfId="0" applyFont="1" applyBorder="1" applyAlignment="1">
      <alignment vertical="top"/>
    </xf>
    <xf numFmtId="0" fontId="5" fillId="8" borderId="1" xfId="0" applyFont="1" applyFill="1" applyBorder="1" applyAlignment="1">
      <alignment vertical="top"/>
    </xf>
    <xf numFmtId="165" fontId="0" fillId="8" borderId="1" xfId="0" applyNumberFormat="1" applyFill="1" applyBorder="1" applyAlignment="1">
      <alignment vertical="top"/>
    </xf>
    <xf numFmtId="165" fontId="0" fillId="0" borderId="1" xfId="0" applyNumberFormat="1" applyBorder="1" applyAlignment="1">
      <alignment vertical="top"/>
    </xf>
    <xf numFmtId="0" fontId="2" fillId="8" borderId="0" xfId="0" applyFont="1" applyFill="1" applyAlignment="1">
      <alignment vertical="top"/>
    </xf>
    <xf numFmtId="43" fontId="2" fillId="8" borderId="1" xfId="3" applyFont="1" applyFill="1" applyBorder="1" applyAlignment="1">
      <alignment vertical="top"/>
    </xf>
    <xf numFmtId="43" fontId="2" fillId="0" borderId="1" xfId="3" applyFont="1" applyFill="1" applyBorder="1" applyAlignment="1">
      <alignment vertical="top"/>
    </xf>
    <xf numFmtId="166" fontId="0" fillId="0" borderId="1" xfId="3" applyNumberFormat="1" applyFont="1" applyFill="1" applyBorder="1" applyAlignment="1">
      <alignment vertical="top"/>
    </xf>
    <xf numFmtId="0" fontId="5" fillId="0" borderId="1" xfId="0" applyFont="1" applyBorder="1" applyAlignment="1">
      <alignment vertical="top"/>
    </xf>
    <xf numFmtId="164" fontId="1" fillId="0" borderId="1" xfId="5" applyFont="1" applyFill="1" applyBorder="1" applyAlignment="1">
      <alignment vertical="top"/>
    </xf>
    <xf numFmtId="0" fontId="0" fillId="7" borderId="1" xfId="0" applyFill="1" applyBorder="1" applyAlignment="1">
      <alignment vertical="top"/>
    </xf>
    <xf numFmtId="164" fontId="0" fillId="0" borderId="1" xfId="5" applyFont="1" applyFill="1" applyBorder="1" applyAlignment="1">
      <alignment vertical="top"/>
    </xf>
    <xf numFmtId="0" fontId="0" fillId="8" borderId="1" xfId="0" applyFill="1" applyBorder="1" applyAlignment="1">
      <alignment horizontal="right" vertical="top"/>
    </xf>
    <xf numFmtId="164" fontId="2" fillId="0" borderId="1" xfId="0" applyNumberFormat="1" applyFont="1" applyBorder="1" applyAlignment="1">
      <alignment vertical="top"/>
    </xf>
    <xf numFmtId="10" fontId="2" fillId="8" borderId="1" xfId="2" applyNumberFormat="1" applyFont="1" applyFill="1" applyBorder="1" applyAlignment="1">
      <alignment vertical="top"/>
    </xf>
    <xf numFmtId="10" fontId="2" fillId="0" borderId="1" xfId="2" applyNumberFormat="1" applyFont="1" applyFill="1" applyBorder="1" applyAlignment="1">
      <alignment vertical="top"/>
    </xf>
    <xf numFmtId="165" fontId="5" fillId="8" borderId="1" xfId="2" applyNumberFormat="1" applyFont="1" applyFill="1" applyBorder="1" applyAlignment="1">
      <alignment vertical="top"/>
    </xf>
    <xf numFmtId="165" fontId="5" fillId="0" borderId="1" xfId="2" applyNumberFormat="1" applyFont="1" applyFill="1" applyBorder="1" applyAlignment="1">
      <alignment vertical="top"/>
    </xf>
    <xf numFmtId="164" fontId="2" fillId="8" borderId="1" xfId="0" applyNumberFormat="1" applyFont="1" applyFill="1" applyBorder="1" applyAlignment="1">
      <alignment vertical="top"/>
    </xf>
    <xf numFmtId="164" fontId="2" fillId="8" borderId="1" xfId="3" applyNumberFormat="1" applyFont="1" applyFill="1" applyBorder="1" applyAlignment="1">
      <alignment vertical="top"/>
    </xf>
    <xf numFmtId="164" fontId="2" fillId="0" borderId="1" xfId="3" applyNumberFormat="1" applyFont="1" applyFill="1" applyBorder="1" applyAlignment="1">
      <alignment vertical="top"/>
    </xf>
    <xf numFmtId="164" fontId="0" fillId="8" borderId="1" xfId="3" applyNumberFormat="1" applyFont="1" applyFill="1" applyBorder="1" applyAlignment="1">
      <alignment vertical="top"/>
    </xf>
    <xf numFmtId="164" fontId="0" fillId="0" borderId="1" xfId="3" applyNumberFormat="1" applyFont="1" applyFill="1" applyBorder="1" applyAlignment="1">
      <alignment vertical="top"/>
    </xf>
    <xf numFmtId="0" fontId="11" fillId="8" borderId="1" xfId="0" applyFont="1" applyFill="1" applyBorder="1" applyAlignment="1">
      <alignment horizontal="center" vertical="top"/>
    </xf>
    <xf numFmtId="0" fontId="12" fillId="8" borderId="1" xfId="0" applyFont="1" applyFill="1" applyBorder="1" applyAlignment="1">
      <alignment horizontal="center" vertical="top"/>
    </xf>
    <xf numFmtId="0" fontId="12" fillId="0" borderId="1" xfId="0" applyFont="1" applyBorder="1" applyAlignment="1">
      <alignment horizontal="center" vertical="top"/>
    </xf>
    <xf numFmtId="0" fontId="0" fillId="0" borderId="0" xfId="0" applyAlignment="1">
      <alignment vertical="top" wrapText="1"/>
    </xf>
    <xf numFmtId="0" fontId="12" fillId="9" borderId="1" xfId="0" applyFont="1" applyFill="1" applyBorder="1" applyAlignment="1">
      <alignment horizontal="center" vertical="center"/>
    </xf>
    <xf numFmtId="0" fontId="8" fillId="11" borderId="0" xfId="0" applyFont="1" applyFill="1" applyAlignment="1">
      <alignment horizontal="center" vertical="top"/>
    </xf>
    <xf numFmtId="0" fontId="2" fillId="10" borderId="1" xfId="0" applyFont="1" applyFill="1" applyBorder="1" applyAlignment="1">
      <alignment horizontal="center" vertical="top" wrapText="1"/>
    </xf>
    <xf numFmtId="0" fontId="0" fillId="12" borderId="0" xfId="0" applyFill="1"/>
    <xf numFmtId="0" fontId="0" fillId="12" borderId="0" xfId="0" applyFill="1" applyAlignment="1">
      <alignment horizontal="center"/>
    </xf>
    <xf numFmtId="165" fontId="6" fillId="12" borderId="0" xfId="2" applyNumberFormat="1" applyFont="1" applyFill="1" applyBorder="1"/>
    <xf numFmtId="43" fontId="0" fillId="12" borderId="0" xfId="1" applyFont="1" applyFill="1"/>
    <xf numFmtId="43" fontId="1" fillId="12" borderId="0" xfId="1" applyFont="1" applyFill="1" applyBorder="1"/>
    <xf numFmtId="43" fontId="0" fillId="12" borderId="0" xfId="1" applyFont="1" applyFill="1" applyBorder="1" applyAlignment="1">
      <alignment horizontal="center"/>
    </xf>
    <xf numFmtId="43" fontId="2" fillId="12" borderId="0" xfId="1" applyFont="1" applyFill="1"/>
    <xf numFmtId="10" fontId="6" fillId="12" borderId="0" xfId="2" applyNumberFormat="1" applyFont="1" applyFill="1"/>
    <xf numFmtId="43" fontId="2" fillId="12" borderId="0" xfId="1" applyFont="1" applyFill="1" applyBorder="1"/>
    <xf numFmtId="43" fontId="0" fillId="12" borderId="0" xfId="1" applyFont="1" applyFill="1" applyBorder="1"/>
    <xf numFmtId="165" fontId="6" fillId="12" borderId="0" xfId="2" applyNumberFormat="1" applyFont="1" applyFill="1"/>
    <xf numFmtId="43" fontId="2" fillId="12" borderId="0" xfId="1" applyFont="1" applyFill="1" applyBorder="1" applyAlignment="1">
      <alignment horizontal="center"/>
    </xf>
    <xf numFmtId="0" fontId="0" fillId="8" borderId="0" xfId="0" applyFill="1"/>
    <xf numFmtId="0" fontId="10" fillId="8" borderId="0" xfId="0" applyFont="1" applyFill="1"/>
    <xf numFmtId="43" fontId="0" fillId="8" borderId="0" xfId="0" applyNumberFormat="1" applyFill="1"/>
    <xf numFmtId="43" fontId="0" fillId="8" borderId="0" xfId="1" applyFont="1" applyFill="1"/>
    <xf numFmtId="0" fontId="0" fillId="3" borderId="1" xfId="0" applyFill="1" applyBorder="1"/>
    <xf numFmtId="0" fontId="0" fillId="3" borderId="1" xfId="0" applyFill="1" applyBorder="1" applyAlignment="1">
      <alignment horizontal="center"/>
    </xf>
    <xf numFmtId="0" fontId="0" fillId="0" borderId="1" xfId="0" applyBorder="1"/>
    <xf numFmtId="43" fontId="0" fillId="0" borderId="1" xfId="1" applyFont="1" applyBorder="1"/>
    <xf numFmtId="166" fontId="0" fillId="0" borderId="1" xfId="1" applyNumberFormat="1" applyFont="1" applyBorder="1"/>
    <xf numFmtId="0" fontId="2" fillId="4" borderId="1" xfId="0" applyFont="1" applyFill="1" applyBorder="1"/>
    <xf numFmtId="43" fontId="2" fillId="4" borderId="1" xfId="1" applyFont="1" applyFill="1" applyBorder="1"/>
    <xf numFmtId="166" fontId="2" fillId="4" borderId="1" xfId="1" applyNumberFormat="1" applyFont="1" applyFill="1" applyBorder="1"/>
    <xf numFmtId="0" fontId="2" fillId="0" borderId="1" xfId="0" applyFont="1" applyBorder="1"/>
    <xf numFmtId="43" fontId="2" fillId="0" borderId="1" xfId="1" applyFont="1" applyBorder="1"/>
    <xf numFmtId="166" fontId="2" fillId="0" borderId="1" xfId="1" applyNumberFormat="1" applyFont="1" applyBorder="1"/>
    <xf numFmtId="0" fontId="4" fillId="0" borderId="1" xfId="0" applyFont="1" applyBorder="1"/>
    <xf numFmtId="0" fontId="3" fillId="0" borderId="1" xfId="0" applyFont="1" applyBorder="1"/>
    <xf numFmtId="0" fontId="0" fillId="0" borderId="1" xfId="0" applyBorder="1" applyAlignment="1">
      <alignment horizontal="left" indent="1"/>
    </xf>
    <xf numFmtId="166" fontId="0" fillId="0" borderId="1" xfId="1" applyNumberFormat="1" applyFont="1" applyFill="1" applyBorder="1"/>
    <xf numFmtId="0" fontId="2" fillId="4" borderId="1" xfId="0" applyFont="1" applyFill="1" applyBorder="1" applyAlignment="1">
      <alignment horizontal="left"/>
    </xf>
    <xf numFmtId="166" fontId="0" fillId="0" borderId="1" xfId="0" applyNumberFormat="1" applyBorder="1"/>
    <xf numFmtId="0" fontId="6" fillId="6" borderId="1" xfId="0" applyFont="1" applyFill="1" applyBorder="1"/>
    <xf numFmtId="165" fontId="6" fillId="6" borderId="1" xfId="2" applyNumberFormat="1" applyFont="1" applyFill="1" applyBorder="1"/>
    <xf numFmtId="43" fontId="6" fillId="6" borderId="1" xfId="1" applyFont="1" applyFill="1" applyBorder="1"/>
    <xf numFmtId="165" fontId="6" fillId="6" borderId="1" xfId="1" applyNumberFormat="1" applyFont="1" applyFill="1" applyBorder="1"/>
    <xf numFmtId="43" fontId="1" fillId="0" borderId="1" xfId="1" applyFont="1" applyBorder="1"/>
    <xf numFmtId="166" fontId="1" fillId="0" borderId="1" xfId="1" applyNumberFormat="1" applyFont="1" applyBorder="1"/>
    <xf numFmtId="166" fontId="0" fillId="0" borderId="1" xfId="1" applyNumberFormat="1" applyFont="1" applyBorder="1" applyAlignment="1">
      <alignment horizontal="center"/>
    </xf>
    <xf numFmtId="43" fontId="7" fillId="6" borderId="1" xfId="1" applyFont="1" applyFill="1" applyBorder="1"/>
    <xf numFmtId="165" fontId="7" fillId="6" borderId="1" xfId="1" applyNumberFormat="1" applyFont="1" applyFill="1" applyBorder="1"/>
    <xf numFmtId="0" fontId="2" fillId="6" borderId="1" xfId="0" applyFont="1" applyFill="1" applyBorder="1"/>
    <xf numFmtId="43" fontId="2" fillId="6" borderId="1" xfId="1" applyFont="1" applyFill="1" applyBorder="1"/>
    <xf numFmtId="166" fontId="2" fillId="6" borderId="1" xfId="1" applyNumberFormat="1" applyFont="1" applyFill="1" applyBorder="1"/>
    <xf numFmtId="43" fontId="2" fillId="6" borderId="1" xfId="1" applyFont="1" applyFill="1" applyBorder="1" applyAlignment="1">
      <alignment horizontal="center"/>
    </xf>
    <xf numFmtId="43" fontId="0" fillId="0" borderId="1" xfId="1" applyFont="1" applyBorder="1" applyAlignment="1">
      <alignment horizontal="center"/>
    </xf>
    <xf numFmtId="0" fontId="6" fillId="0" borderId="1" xfId="0" applyFont="1" applyBorder="1"/>
    <xf numFmtId="43" fontId="6" fillId="0" borderId="1" xfId="1" applyFont="1" applyFill="1" applyBorder="1"/>
    <xf numFmtId="165" fontId="6" fillId="0" borderId="1" xfId="2" applyNumberFormat="1" applyFont="1" applyFill="1" applyBorder="1"/>
    <xf numFmtId="43" fontId="0" fillId="0" borderId="1" xfId="1" applyFont="1" applyBorder="1" applyAlignment="1">
      <alignment horizontal="right"/>
    </xf>
    <xf numFmtId="0" fontId="0" fillId="5" borderId="1" xfId="0" applyFill="1" applyBorder="1"/>
    <xf numFmtId="0" fontId="9" fillId="6" borderId="1" xfId="0" applyFont="1" applyFill="1" applyBorder="1"/>
    <xf numFmtId="166" fontId="9" fillId="6" borderId="1" xfId="1" applyNumberFormat="1" applyFont="1" applyFill="1" applyBorder="1"/>
    <xf numFmtId="0" fontId="0" fillId="6" borderId="1" xfId="0" applyFill="1" applyBorder="1"/>
    <xf numFmtId="166" fontId="0" fillId="6" borderId="1" xfId="1" applyNumberFormat="1" applyFont="1" applyFill="1" applyBorder="1"/>
    <xf numFmtId="43" fontId="0" fillId="6" borderId="1" xfId="1" applyFont="1" applyFill="1" applyBorder="1"/>
    <xf numFmtId="10" fontId="6" fillId="6" borderId="1" xfId="2" applyNumberFormat="1" applyFont="1" applyFill="1" applyBorder="1"/>
    <xf numFmtId="9" fontId="0" fillId="3" borderId="1" xfId="2" applyFont="1" applyFill="1" applyBorder="1" applyAlignment="1">
      <alignment horizontal="center"/>
    </xf>
    <xf numFmtId="9" fontId="0" fillId="0" borderId="1" xfId="2" applyFont="1" applyBorder="1"/>
    <xf numFmtId="9" fontId="6" fillId="6" borderId="1" xfId="2" applyFont="1" applyFill="1" applyBorder="1" applyAlignment="1">
      <alignment horizontal="right"/>
    </xf>
    <xf numFmtId="9" fontId="0" fillId="6" borderId="0" xfId="2" applyFont="1" applyFill="1"/>
    <xf numFmtId="9" fontId="6" fillId="6" borderId="1" xfId="2" applyFont="1" applyFill="1" applyBorder="1"/>
    <xf numFmtId="0" fontId="0" fillId="3" borderId="5" xfId="0" applyFill="1" applyBorder="1" applyAlignment="1">
      <alignment horizontal="center"/>
    </xf>
    <xf numFmtId="166" fontId="0" fillId="0" borderId="5" xfId="1" applyNumberFormat="1" applyFont="1" applyBorder="1"/>
    <xf numFmtId="166" fontId="2" fillId="4" borderId="5" xfId="1" applyNumberFormat="1" applyFont="1" applyFill="1" applyBorder="1"/>
    <xf numFmtId="43" fontId="0" fillId="0" borderId="5" xfId="1" applyFont="1" applyBorder="1"/>
    <xf numFmtId="166" fontId="9" fillId="6" borderId="5" xfId="1" applyNumberFormat="1" applyFont="1" applyFill="1" applyBorder="1"/>
    <xf numFmtId="166" fontId="0" fillId="6" borderId="5" xfId="1" applyNumberFormat="1" applyFont="1" applyFill="1" applyBorder="1"/>
    <xf numFmtId="165" fontId="0" fillId="6" borderId="0" xfId="2" applyNumberFormat="1" applyFont="1" applyFill="1" applyAlignment="1">
      <alignment horizontal="center"/>
    </xf>
    <xf numFmtId="9" fontId="0" fillId="6" borderId="0" xfId="2" applyFont="1" applyFill="1" applyAlignment="1">
      <alignment horizontal="center"/>
    </xf>
    <xf numFmtId="166" fontId="0" fillId="8" borderId="1" xfId="1" applyNumberFormat="1" applyFont="1" applyFill="1" applyBorder="1"/>
    <xf numFmtId="166" fontId="0" fillId="8" borderId="1" xfId="1" applyNumberFormat="1" applyFont="1" applyFill="1" applyBorder="1" applyAlignment="1">
      <alignment horizontal="center"/>
    </xf>
    <xf numFmtId="166" fontId="0" fillId="8" borderId="5" xfId="1" applyNumberFormat="1" applyFont="1" applyFill="1" applyBorder="1"/>
    <xf numFmtId="166" fontId="1" fillId="8" borderId="5" xfId="1" applyNumberFormat="1" applyFont="1" applyFill="1" applyBorder="1"/>
    <xf numFmtId="166" fontId="0" fillId="8" borderId="5" xfId="1" applyNumberFormat="1" applyFont="1" applyFill="1" applyBorder="1" applyAlignment="1">
      <alignment horizontal="center"/>
    </xf>
    <xf numFmtId="165" fontId="6" fillId="8" borderId="5" xfId="2" applyNumberFormat="1" applyFont="1" applyFill="1" applyBorder="1"/>
    <xf numFmtId="166" fontId="2" fillId="8" borderId="5" xfId="1" applyNumberFormat="1" applyFont="1" applyFill="1" applyBorder="1"/>
    <xf numFmtId="43" fontId="0" fillId="8" borderId="5" xfId="1" applyFont="1" applyFill="1" applyBorder="1" applyAlignment="1">
      <alignment horizontal="center"/>
    </xf>
    <xf numFmtId="0" fontId="0" fillId="8" borderId="5" xfId="0" applyFill="1" applyBorder="1"/>
    <xf numFmtId="43" fontId="0" fillId="8" borderId="5" xfId="1" applyFont="1" applyFill="1" applyBorder="1"/>
    <xf numFmtId="9" fontId="6" fillId="6" borderId="5" xfId="2" applyFont="1" applyFill="1" applyBorder="1"/>
    <xf numFmtId="165" fontId="6" fillId="6" borderId="5" xfId="2" applyNumberFormat="1" applyFont="1" applyFill="1" applyBorder="1"/>
    <xf numFmtId="166" fontId="2" fillId="6" borderId="5" xfId="1" applyNumberFormat="1" applyFont="1" applyFill="1" applyBorder="1"/>
    <xf numFmtId="43" fontId="2" fillId="6" borderId="5" xfId="1" applyFont="1" applyFill="1" applyBorder="1" applyAlignment="1">
      <alignment horizontal="center"/>
    </xf>
    <xf numFmtId="0" fontId="14" fillId="0" borderId="0" xfId="0" applyFont="1"/>
    <xf numFmtId="0" fontId="8" fillId="11" borderId="2" xfId="0" applyFont="1" applyFill="1" applyBorder="1" applyAlignment="1">
      <alignment horizontal="center" vertical="top"/>
    </xf>
    <xf numFmtId="0" fontId="8" fillId="11" borderId="3" xfId="0" applyFont="1" applyFill="1" applyBorder="1" applyAlignment="1">
      <alignment horizontal="center" vertical="top"/>
    </xf>
    <xf numFmtId="0" fontId="8" fillId="11" borderId="4" xfId="0" applyFont="1" applyFill="1" applyBorder="1" applyAlignment="1">
      <alignment horizontal="center" vertical="top"/>
    </xf>
    <xf numFmtId="0" fontId="12" fillId="9" borderId="1" xfId="0" applyFont="1" applyFill="1"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8" borderId="0" xfId="0" applyFill="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0" xfId="0" applyAlignment="1">
      <alignment horizontal="center"/>
    </xf>
    <xf numFmtId="0" fontId="12" fillId="0" borderId="11" xfId="0" applyFont="1" applyBorder="1" applyAlignment="1">
      <alignment horizontal="center"/>
    </xf>
    <xf numFmtId="0" fontId="12" fillId="0" borderId="12" xfId="0" applyFont="1" applyBorder="1" applyAlignment="1">
      <alignment horizontal="center"/>
    </xf>
    <xf numFmtId="0" fontId="12" fillId="0" borderId="13" xfId="0" applyFont="1" applyBorder="1" applyAlignment="1">
      <alignment horizontal="center"/>
    </xf>
    <xf numFmtId="0" fontId="12" fillId="0" borderId="14" xfId="0" applyFont="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7" xfId="0" applyFont="1" applyFill="1" applyBorder="1" applyAlignment="1">
      <alignment horizontal="center"/>
    </xf>
  </cellXfs>
  <cellStyles count="6">
    <cellStyle name="Comma" xfId="1" builtinId="3"/>
    <cellStyle name="Comma 2" xfId="3"/>
    <cellStyle name="Comma 2 2" xfId="4"/>
    <cellStyle name="Comma 3" xfId="5"/>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Summary%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Standalone"/>
      <sheetName val="Peer Analysis working "/>
      <sheetName val="Peer Analysis Final "/>
      <sheetName val="Sheet1"/>
      <sheetName val="Peer Analysis working"/>
      <sheetName val="Peer Analysis Final"/>
    </sheetNames>
    <sheetDataSet>
      <sheetData sheetId="0"/>
      <sheetData sheetId="1"/>
      <sheetData sheetId="2">
        <row r="5">
          <cell r="C5">
            <v>4922.2</v>
          </cell>
          <cell r="D5">
            <v>6728.6</v>
          </cell>
          <cell r="E5">
            <v>5689.2</v>
          </cell>
          <cell r="F5">
            <v>44274</v>
          </cell>
          <cell r="I5">
            <v>680.69399999999996</v>
          </cell>
          <cell r="J5">
            <v>4754.6000000000004</v>
          </cell>
          <cell r="K5">
            <v>3151.3</v>
          </cell>
          <cell r="L5">
            <v>6058.3</v>
          </cell>
          <cell r="M5">
            <v>25609</v>
          </cell>
        </row>
        <row r="6">
          <cell r="I6">
            <v>0</v>
          </cell>
          <cell r="J6">
            <v>0</v>
          </cell>
          <cell r="K6">
            <v>389.3</v>
          </cell>
          <cell r="L6">
            <v>66.7</v>
          </cell>
          <cell r="M6">
            <v>859</v>
          </cell>
        </row>
        <row r="7">
          <cell r="B7">
            <v>6.6957261377430521E-2</v>
          </cell>
          <cell r="C7">
            <v>1.7483450932637146E-2</v>
          </cell>
          <cell r="D7">
            <v>0.11395326030791875</v>
          </cell>
          <cell r="E7">
            <v>8.1957653928725893E-2</v>
          </cell>
          <cell r="F7">
            <v>7.2805272529955722E-2</v>
          </cell>
          <cell r="I7">
            <v>180.61199999999999</v>
          </cell>
          <cell r="J7">
            <v>0</v>
          </cell>
          <cell r="K7">
            <v>832.6</v>
          </cell>
          <cell r="L7">
            <v>862.5</v>
          </cell>
          <cell r="M7">
            <v>2879</v>
          </cell>
        </row>
        <row r="12">
          <cell r="B12">
            <v>233.76000000000022</v>
          </cell>
          <cell r="C12">
            <v>874.7</v>
          </cell>
          <cell r="D12">
            <v>933</v>
          </cell>
          <cell r="E12">
            <v>977.9</v>
          </cell>
          <cell r="F12">
            <v>5489</v>
          </cell>
        </row>
        <row r="14">
          <cell r="B14">
            <v>0.27796799337795663</v>
          </cell>
          <cell r="C14">
            <v>0.20517447704828018</v>
          </cell>
          <cell r="D14">
            <v>0.33549630488669613</v>
          </cell>
          <cell r="E14">
            <v>-2.4487478418460316</v>
          </cell>
          <cell r="F14">
            <v>5.7989028682093879E-2</v>
          </cell>
        </row>
        <row r="25">
          <cell r="B25">
            <v>62.377000000000223</v>
          </cell>
          <cell r="C25">
            <v>788.3</v>
          </cell>
          <cell r="D25">
            <v>296</v>
          </cell>
          <cell r="E25">
            <v>99.7</v>
          </cell>
          <cell r="F25">
            <v>3451</v>
          </cell>
        </row>
        <row r="27">
          <cell r="B27">
            <v>0.15020466640116381</v>
          </cell>
          <cell r="C27">
            <v>-2.3617924740187757E-2</v>
          </cell>
          <cell r="D27">
            <v>0.2798301533370493</v>
          </cell>
          <cell r="E27">
            <v>-1.7739968460390942E-2</v>
          </cell>
          <cell r="F27">
            <v>1.3492351397157654E-2</v>
          </cell>
          <cell r="I27">
            <v>16042570</v>
          </cell>
          <cell r="J27">
            <v>15050871</v>
          </cell>
          <cell r="K27">
            <v>37759530</v>
          </cell>
          <cell r="L27">
            <v>30603181</v>
          </cell>
          <cell r="M27">
            <v>109971221</v>
          </cell>
        </row>
        <row r="28">
          <cell r="I28">
            <v>70.587307999999993</v>
          </cell>
          <cell r="J28">
            <v>569.82597606000002</v>
          </cell>
          <cell r="K28">
            <v>104.9714934</v>
          </cell>
          <cell r="L28">
            <v>220.95496682000004</v>
          </cell>
          <cell r="M28">
            <v>2525.489090265</v>
          </cell>
        </row>
        <row r="29">
          <cell r="B29">
            <v>3.76</v>
          </cell>
          <cell r="C29">
            <v>52.21</v>
          </cell>
          <cell r="D29">
            <v>7.83</v>
          </cell>
          <cell r="E29">
            <v>3.26</v>
          </cell>
          <cell r="F29">
            <v>31.37</v>
          </cell>
        </row>
        <row r="31">
          <cell r="I31">
            <v>29.757307999999966</v>
          </cell>
          <cell r="J31">
            <v>387.32597606000002</v>
          </cell>
          <cell r="K31">
            <v>625.27149340000017</v>
          </cell>
          <cell r="L31">
            <v>998.55496682</v>
          </cell>
          <cell r="M31">
            <v>-3254.5109097349996</v>
          </cell>
        </row>
        <row r="32">
          <cell r="J32">
            <v>378.6</v>
          </cell>
          <cell r="K32">
            <v>27.8</v>
          </cell>
          <cell r="L32">
            <v>72.2</v>
          </cell>
          <cell r="M32">
            <v>229.65</v>
          </cell>
        </row>
        <row r="34">
          <cell r="I34">
            <v>424.30483395116869</v>
          </cell>
          <cell r="J34">
            <v>3159.0198334701026</v>
          </cell>
          <cell r="K34">
            <v>834.57076928658807</v>
          </cell>
          <cell r="L34">
            <v>1979.6308102742653</v>
          </cell>
          <cell r="M34">
            <v>2328.7001605629166</v>
          </cell>
        </row>
        <row r="35">
          <cell r="I35">
            <v>11.702127659574469</v>
          </cell>
          <cell r="J35">
            <v>7.2514843899636086</v>
          </cell>
          <cell r="K35">
            <v>3.5504469987228608</v>
          </cell>
          <cell r="L35">
            <v>22.147239263803684</v>
          </cell>
          <cell r="M35">
            <v>7.3206885559451704</v>
          </cell>
        </row>
        <row r="36">
          <cell r="I36">
            <v>0.10369903069514348</v>
          </cell>
          <cell r="J36">
            <v>0.11984730073192279</v>
          </cell>
          <cell r="K36">
            <v>3.3310536413543618E-2</v>
          </cell>
          <cell r="L36">
            <v>3.6471446910849581E-2</v>
          </cell>
          <cell r="M36">
            <v>9.8617247462415569E-2</v>
          </cell>
        </row>
        <row r="37">
          <cell r="I37">
            <v>0.12729854551676908</v>
          </cell>
          <cell r="J37">
            <v>0.44281007895278379</v>
          </cell>
          <cell r="K37">
            <v>0.67017309046087903</v>
          </cell>
          <cell r="L37">
            <v>1.021121757664383</v>
          </cell>
          <cell r="M37">
            <v>-0.59291508648843139</v>
          </cell>
        </row>
        <row r="38">
          <cell r="I38">
            <v>9.1637358343103104E-2</v>
          </cell>
          <cell r="J38">
            <v>0.16579733310898917</v>
          </cell>
          <cell r="K38">
            <v>9.392948941706597E-2</v>
          </cell>
          <cell r="L38">
            <v>1.6456761797864088E-2</v>
          </cell>
          <cell r="M38">
            <v>0.13475731188254128</v>
          </cell>
        </row>
        <row r="39">
          <cell r="I39">
            <v>0.15966919879744115</v>
          </cell>
          <cell r="J39">
            <v>0.23463756949794889</v>
          </cell>
          <cell r="K39">
            <v>0.16266310441067727</v>
          </cell>
          <cell r="L39">
            <v>7.0130917016226549E-2</v>
          </cell>
          <cell r="M39">
            <v>0.12677259525029899</v>
          </cell>
        </row>
        <row r="40">
          <cell r="I40">
            <v>0.19664505085895492</v>
          </cell>
          <cell r="J40">
            <v>0.68930559505911992</v>
          </cell>
          <cell r="K40">
            <v>0.63170644710638169</v>
          </cell>
          <cell r="L40">
            <v>0.8970505519229417</v>
          </cell>
          <cell r="M40">
            <v>0.46451642047251207</v>
          </cell>
        </row>
        <row r="41">
          <cell r="I41">
            <v>0.2653350844873027</v>
          </cell>
          <cell r="J41">
            <v>0</v>
          </cell>
          <cell r="K41">
            <v>0.38774474026592198</v>
          </cell>
          <cell r="L41">
            <v>0.15337635970486771</v>
          </cell>
          <cell r="M41">
            <v>0.14596430942246866</v>
          </cell>
        </row>
        <row r="42">
          <cell r="I42">
            <v>-5.998289980519883E-2</v>
          </cell>
          <cell r="J42">
            <v>-3.8383880873259578E-2</v>
          </cell>
          <cell r="K42">
            <v>0.16510646399898457</v>
          </cell>
          <cell r="L42">
            <v>0.128352838254956</v>
          </cell>
          <cell r="M42">
            <v>-0.22570190167519233</v>
          </cell>
        </row>
        <row r="44">
          <cell r="I44">
            <v>3.4090909090909088E-2</v>
          </cell>
          <cell r="J44">
            <v>0.10565240359218171</v>
          </cell>
          <cell r="K44">
            <v>0</v>
          </cell>
          <cell r="L44">
            <v>0</v>
          </cell>
          <cell r="M44">
            <v>6.531678641410843E-2</v>
          </cell>
        </row>
        <row r="45">
          <cell r="I45">
            <v>66.342013720741051</v>
          </cell>
          <cell r="J45">
            <v>65.062573645930684</v>
          </cell>
          <cell r="K45">
            <v>86.592976250631622</v>
          </cell>
          <cell r="L45">
            <v>107.90185790620825</v>
          </cell>
          <cell r="M45">
            <v>56.711275240547494</v>
          </cell>
        </row>
        <row r="46">
          <cell r="I46">
            <v>6242.8348665021331</v>
          </cell>
          <cell r="J46">
            <v>17.260000000000002</v>
          </cell>
          <cell r="K46">
            <v>29.69</v>
          </cell>
          <cell r="L46">
            <v>50.87</v>
          </cell>
          <cell r="M46">
            <v>51.52</v>
          </cell>
        </row>
        <row r="47">
          <cell r="I47">
            <v>0</v>
          </cell>
          <cell r="J47">
            <v>0</v>
          </cell>
          <cell r="K47">
            <v>10.79</v>
          </cell>
          <cell r="L47">
            <v>0</v>
          </cell>
          <cell r="M47">
            <v>16.899999999999999</v>
          </cell>
        </row>
        <row r="48">
          <cell r="I48">
            <v>-6176.4928527813918</v>
          </cell>
          <cell r="J48">
            <v>47.802573645930678</v>
          </cell>
          <cell r="K48">
            <v>67.692976250631631</v>
          </cell>
          <cell r="L48">
            <v>57.031857906208252</v>
          </cell>
          <cell r="M48">
            <v>22.091275240547482</v>
          </cell>
        </row>
        <row r="49">
          <cell r="I49">
            <v>38.568782865166789</v>
          </cell>
          <cell r="J49">
            <v>104.5124131485921</v>
          </cell>
          <cell r="K49">
            <v>-3.1679695627619462</v>
          </cell>
          <cell r="L49">
            <v>102.35551571398437</v>
          </cell>
          <cell r="M49">
            <v>168.22119076658987</v>
          </cell>
        </row>
        <row r="50">
          <cell r="I50">
            <v>0.19180342391424715</v>
          </cell>
          <cell r="J50">
            <v>0</v>
          </cell>
          <cell r="K50">
            <v>0.24519191423193387</v>
          </cell>
          <cell r="L50">
            <v>0.14496340938441668</v>
          </cell>
          <cell r="M50">
            <v>0.13001605136436598</v>
          </cell>
        </row>
        <row r="51">
          <cell r="I51">
            <v>3.7837018647884131</v>
          </cell>
          <cell r="J51">
            <v>158.70422535211267</v>
          </cell>
          <cell r="K51">
            <v>2.2760347129506009</v>
          </cell>
          <cell r="L51">
            <v>3.4877505567928733</v>
          </cell>
          <cell r="M51">
            <v>10.687242798353909</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view="pageBreakPreview" topLeftCell="A34" zoomScaleNormal="100" zoomScaleSheetLayoutView="100" workbookViewId="0">
      <selection activeCell="B6" sqref="B6"/>
    </sheetView>
  </sheetViews>
  <sheetFormatPr defaultColWidth="9.140625" defaultRowHeight="15" x14ac:dyDescent="0.25"/>
  <cols>
    <col min="1" max="1" width="25.42578125" style="10" customWidth="1"/>
    <col min="2" max="3" width="14.7109375" style="10" customWidth="1"/>
    <col min="4" max="5" width="14.7109375" style="11" customWidth="1"/>
    <col min="6" max="7" width="14.7109375" style="10" customWidth="1"/>
    <col min="8" max="16384" width="9.140625" style="10"/>
  </cols>
  <sheetData>
    <row r="1" spans="1:7" s="2" customFormat="1" ht="18.75" x14ac:dyDescent="0.25">
      <c r="A1" s="135" t="s">
        <v>135</v>
      </c>
      <c r="B1" s="136"/>
      <c r="C1" s="136"/>
      <c r="D1" s="136"/>
      <c r="E1" s="136"/>
      <c r="F1" s="137"/>
      <c r="G1" s="47"/>
    </row>
    <row r="2" spans="1:7" s="45" customFormat="1" x14ac:dyDescent="0.25">
      <c r="A2" s="138" t="s">
        <v>134</v>
      </c>
      <c r="B2" s="48" t="s">
        <v>97</v>
      </c>
      <c r="C2" s="48" t="s">
        <v>98</v>
      </c>
      <c r="D2" s="48" t="s">
        <v>99</v>
      </c>
      <c r="E2" s="48" t="s">
        <v>100</v>
      </c>
      <c r="F2" s="48" t="s">
        <v>101</v>
      </c>
      <c r="G2" s="48" t="s">
        <v>102</v>
      </c>
    </row>
    <row r="3" spans="1:7" s="45" customFormat="1" ht="15.75" x14ac:dyDescent="0.25">
      <c r="A3" s="138"/>
      <c r="B3" s="46" t="s">
        <v>136</v>
      </c>
      <c r="C3" s="46" t="s">
        <v>136</v>
      </c>
      <c r="D3" s="46" t="s">
        <v>136</v>
      </c>
      <c r="E3" s="46" t="s">
        <v>136</v>
      </c>
      <c r="F3" s="46" t="s">
        <v>136</v>
      </c>
      <c r="G3" s="46" t="s">
        <v>136</v>
      </c>
    </row>
    <row r="4" spans="1:7" ht="15.75" x14ac:dyDescent="0.25">
      <c r="A4" s="18" t="s">
        <v>133</v>
      </c>
      <c r="B4" s="44"/>
      <c r="C4" s="43"/>
      <c r="D4" s="42"/>
      <c r="E4" s="42"/>
      <c r="F4" s="42"/>
      <c r="G4" s="42"/>
    </row>
    <row r="5" spans="1:7" x14ac:dyDescent="0.25">
      <c r="A5" s="18" t="s">
        <v>96</v>
      </c>
      <c r="B5" s="3"/>
      <c r="C5" s="13"/>
      <c r="D5" s="20"/>
      <c r="E5" s="20"/>
      <c r="F5" s="20"/>
      <c r="G5" s="20"/>
    </row>
    <row r="6" spans="1:7" x14ac:dyDescent="0.25">
      <c r="A6" s="13" t="s">
        <v>132</v>
      </c>
      <c r="B6" s="41" t="e">
        <f>#REF!*10</f>
        <v>#REF!</v>
      </c>
      <c r="C6" s="40">
        <f>'[1]Peer Analysis working '!C5*10</f>
        <v>49222</v>
      </c>
      <c r="D6" s="40">
        <f>'[1]Peer Analysis working '!D5*10</f>
        <v>67286</v>
      </c>
      <c r="E6" s="40">
        <f>'[1]Peer Analysis working '!E5*10</f>
        <v>56892</v>
      </c>
      <c r="F6" s="40">
        <f>'[1]Peer Analysis working '!F5*10</f>
        <v>442740</v>
      </c>
      <c r="G6" s="40"/>
    </row>
    <row r="7" spans="1:7" x14ac:dyDescent="0.25">
      <c r="A7" s="13" t="s">
        <v>129</v>
      </c>
      <c r="B7" s="36">
        <f>'[1]Peer Analysis working '!B7</f>
        <v>6.6957261377430521E-2</v>
      </c>
      <c r="C7" s="35">
        <f>'[1]Peer Analysis working '!C7</f>
        <v>1.7483450932637146E-2</v>
      </c>
      <c r="D7" s="35">
        <f>'[1]Peer Analysis working '!D7</f>
        <v>0.11395326030791875</v>
      </c>
      <c r="E7" s="35">
        <f>'[1]Peer Analysis working '!E7</f>
        <v>8.1957653928725893E-2</v>
      </c>
      <c r="F7" s="35">
        <f>'[1]Peer Analysis working '!F7</f>
        <v>7.2805272529955722E-2</v>
      </c>
      <c r="G7" s="35"/>
    </row>
    <row r="8" spans="1:7" s="23" customFormat="1" x14ac:dyDescent="0.25">
      <c r="A8" s="18" t="s">
        <v>41</v>
      </c>
      <c r="B8" s="39">
        <f>'[1]Peer Analysis working '!B12*10</f>
        <v>2337.6000000000022</v>
      </c>
      <c r="C8" s="38">
        <f>'[1]Peer Analysis working '!C12*10</f>
        <v>8747</v>
      </c>
      <c r="D8" s="38">
        <f>'[1]Peer Analysis working '!D12*10</f>
        <v>9330</v>
      </c>
      <c r="E8" s="38">
        <f>'[1]Peer Analysis working '!E12*10</f>
        <v>9779</v>
      </c>
      <c r="F8" s="38">
        <f>'[1]Peer Analysis working '!F12*10</f>
        <v>54890</v>
      </c>
      <c r="G8" s="38"/>
    </row>
    <row r="9" spans="1:7" x14ac:dyDescent="0.25">
      <c r="A9" s="13" t="s">
        <v>129</v>
      </c>
      <c r="B9" s="36">
        <f>'[1]Peer Analysis working '!B14</f>
        <v>0.27796799337795663</v>
      </c>
      <c r="C9" s="35">
        <f>'[1]Peer Analysis working '!C14</f>
        <v>0.20517447704828018</v>
      </c>
      <c r="D9" s="35">
        <f>'[1]Peer Analysis working '!D14</f>
        <v>0.33549630488669613</v>
      </c>
      <c r="E9" s="35">
        <f>'[1]Peer Analysis working '!E14</f>
        <v>-2.4487478418460316</v>
      </c>
      <c r="F9" s="35">
        <f>'[1]Peer Analysis working '!F14</f>
        <v>5.7989028682093879E-2</v>
      </c>
      <c r="G9" s="35"/>
    </row>
    <row r="10" spans="1:7" s="23" customFormat="1" x14ac:dyDescent="0.25">
      <c r="A10" s="18" t="s">
        <v>131</v>
      </c>
      <c r="B10" s="34" t="e">
        <f>+B8/B$6</f>
        <v>#REF!</v>
      </c>
      <c r="C10" s="34">
        <f>+C8/C$6</f>
        <v>0.17770509121937345</v>
      </c>
      <c r="D10" s="34">
        <f>+D8/D$6</f>
        <v>0.13866183158457926</v>
      </c>
      <c r="E10" s="34">
        <f>+E8/E$6</f>
        <v>0.17188708430007735</v>
      </c>
      <c r="F10" s="34">
        <f>+F8/F$6</f>
        <v>0.12397795545918598</v>
      </c>
      <c r="G10" s="34"/>
    </row>
    <row r="11" spans="1:7" s="23" customFormat="1" x14ac:dyDescent="0.25">
      <c r="A11" s="18" t="s">
        <v>130</v>
      </c>
      <c r="B11" s="32">
        <f>'[1]Peer Analysis working '!B25*10</f>
        <v>623.77000000000226</v>
      </c>
      <c r="C11" s="37">
        <f>'[1]Peer Analysis working '!C25*10</f>
        <v>7883</v>
      </c>
      <c r="D11" s="37">
        <f>'[1]Peer Analysis working '!D25*10</f>
        <v>2960</v>
      </c>
      <c r="E11" s="37">
        <f>'[1]Peer Analysis working '!E25*10</f>
        <v>997</v>
      </c>
      <c r="F11" s="37">
        <f>'[1]Peer Analysis working '!F25*10</f>
        <v>34510</v>
      </c>
      <c r="G11" s="37"/>
    </row>
    <row r="12" spans="1:7" x14ac:dyDescent="0.25">
      <c r="A12" s="13" t="s">
        <v>129</v>
      </c>
      <c r="B12" s="36">
        <f>'[1]Peer Analysis working '!B27</f>
        <v>0.15020466640116381</v>
      </c>
      <c r="C12" s="35">
        <f>'[1]Peer Analysis working '!C27</f>
        <v>-2.3617924740187757E-2</v>
      </c>
      <c r="D12" s="35">
        <f>'[1]Peer Analysis working '!D27</f>
        <v>0.2798301533370493</v>
      </c>
      <c r="E12" s="35">
        <f>'[1]Peer Analysis working '!E27</f>
        <v>-1.7739968460390942E-2</v>
      </c>
      <c r="F12" s="35">
        <f>'[1]Peer Analysis working '!F27</f>
        <v>1.3492351397157654E-2</v>
      </c>
      <c r="G12" s="35"/>
    </row>
    <row r="13" spans="1:7" x14ac:dyDescent="0.25">
      <c r="A13" s="18" t="s">
        <v>128</v>
      </c>
      <c r="B13" s="34" t="e">
        <f>+B11/B$6</f>
        <v>#REF!</v>
      </c>
      <c r="C13" s="33">
        <f>+C11/C$6</f>
        <v>0.1601519645686888</v>
      </c>
      <c r="D13" s="33">
        <f>+D11/D$6</f>
        <v>4.3991320631334901E-2</v>
      </c>
      <c r="E13" s="33">
        <f>+E11/E$6</f>
        <v>1.7524432257610911E-2</v>
      </c>
      <c r="F13" s="33">
        <f>+F11/F$6</f>
        <v>7.7946424538103631E-2</v>
      </c>
      <c r="G13" s="33"/>
    </row>
    <row r="14" spans="1:7" x14ac:dyDescent="0.25">
      <c r="A14" s="13" t="s">
        <v>50</v>
      </c>
      <c r="B14" s="14">
        <f>'[1]Peer Analysis working '!B29</f>
        <v>3.76</v>
      </c>
      <c r="C14" s="14">
        <f>'[1]Peer Analysis working '!C29</f>
        <v>52.21</v>
      </c>
      <c r="D14" s="14">
        <f>'[1]Peer Analysis working '!D29</f>
        <v>7.83</v>
      </c>
      <c r="E14" s="14">
        <f>'[1]Peer Analysis working '!E29</f>
        <v>3.26</v>
      </c>
      <c r="F14" s="14">
        <f>'[1]Peer Analysis working '!F29</f>
        <v>31.37</v>
      </c>
      <c r="G14" s="14"/>
    </row>
    <row r="15" spans="1:7" x14ac:dyDescent="0.25">
      <c r="A15" s="13"/>
      <c r="B15" s="3"/>
      <c r="C15" s="13"/>
      <c r="D15" s="20"/>
      <c r="E15" s="20"/>
      <c r="F15" s="13"/>
      <c r="G15" s="13"/>
    </row>
    <row r="16" spans="1:7" x14ac:dyDescent="0.25">
      <c r="A16" s="13"/>
      <c r="B16" s="3"/>
      <c r="C16" s="13"/>
      <c r="D16" s="20"/>
      <c r="E16" s="20"/>
      <c r="F16" s="13"/>
      <c r="G16" s="13"/>
    </row>
    <row r="17" spans="1:7" x14ac:dyDescent="0.25">
      <c r="A17" s="18" t="s">
        <v>127</v>
      </c>
      <c r="B17" s="19"/>
      <c r="C17" s="18"/>
      <c r="D17" s="18"/>
      <c r="E17" s="18"/>
      <c r="F17" s="18"/>
      <c r="G17" s="18"/>
    </row>
    <row r="18" spans="1:7" s="23" customFormat="1" x14ac:dyDescent="0.25">
      <c r="A18" s="18" t="s">
        <v>126</v>
      </c>
      <c r="B18" s="32">
        <f>'[1]Peer Analysis working '!I5*10</f>
        <v>6806.94</v>
      </c>
      <c r="C18" s="32">
        <f>'[1]Peer Analysis working '!J5*10</f>
        <v>47546</v>
      </c>
      <c r="D18" s="32">
        <f>'[1]Peer Analysis working '!K5*10</f>
        <v>31513</v>
      </c>
      <c r="E18" s="32">
        <f>'[1]Peer Analysis working '!L5*10</f>
        <v>60583</v>
      </c>
      <c r="F18" s="32">
        <f>'[1]Peer Analysis working '!M5*10</f>
        <v>256090</v>
      </c>
      <c r="G18" s="32"/>
    </row>
    <row r="19" spans="1:7" s="23" customFormat="1" x14ac:dyDescent="0.25">
      <c r="A19" s="18" t="s">
        <v>69</v>
      </c>
      <c r="B19" s="32">
        <f>SUM(B20:B21)</f>
        <v>1806.12</v>
      </c>
      <c r="C19" s="32">
        <f>SUM(C20:C21)</f>
        <v>0</v>
      </c>
      <c r="D19" s="32">
        <f>SUM(D20:D21)</f>
        <v>12219</v>
      </c>
      <c r="E19" s="32">
        <f>SUM(E20:E21)</f>
        <v>9292</v>
      </c>
      <c r="F19" s="32">
        <f>SUM(F20:F21)</f>
        <v>37380</v>
      </c>
      <c r="G19" s="32"/>
    </row>
    <row r="20" spans="1:7" x14ac:dyDescent="0.25">
      <c r="A20" s="31" t="s">
        <v>125</v>
      </c>
      <c r="B20" s="14">
        <f>'[1]Peer Analysis working '!I6*10</f>
        <v>0</v>
      </c>
      <c r="C20" s="14">
        <f>'[1]Peer Analysis working '!J6*10</f>
        <v>0</v>
      </c>
      <c r="D20" s="14">
        <f>'[1]Peer Analysis working '!K6*10</f>
        <v>3893</v>
      </c>
      <c r="E20" s="14">
        <f>'[1]Peer Analysis working '!L6*10</f>
        <v>667</v>
      </c>
      <c r="F20" s="14">
        <f>'[1]Peer Analysis working '!M6*10</f>
        <v>8590</v>
      </c>
      <c r="G20" s="14"/>
    </row>
    <row r="21" spans="1:7" x14ac:dyDescent="0.25">
      <c r="A21" s="31" t="s">
        <v>124</v>
      </c>
      <c r="B21" s="14">
        <f>'[1]Peer Analysis working '!I7*10</f>
        <v>1806.12</v>
      </c>
      <c r="C21" s="14">
        <f>'[1]Peer Analysis working '!J7*10</f>
        <v>0</v>
      </c>
      <c r="D21" s="14">
        <f>'[1]Peer Analysis working '!K7*10</f>
        <v>8326</v>
      </c>
      <c r="E21" s="14">
        <f>'[1]Peer Analysis working '!L7*10</f>
        <v>8625</v>
      </c>
      <c r="F21" s="14">
        <f>'[1]Peer Analysis working '!M7*10</f>
        <v>28790</v>
      </c>
      <c r="G21" s="14"/>
    </row>
    <row r="22" spans="1:7" x14ac:dyDescent="0.25">
      <c r="A22" s="13"/>
      <c r="B22" s="3"/>
      <c r="C22" s="13"/>
      <c r="D22" s="20"/>
      <c r="E22" s="20"/>
      <c r="F22" s="13"/>
      <c r="G22" s="13"/>
    </row>
    <row r="23" spans="1:7" x14ac:dyDescent="0.25">
      <c r="A23" s="18" t="s">
        <v>123</v>
      </c>
      <c r="B23" s="19"/>
      <c r="C23" s="18"/>
      <c r="D23" s="18"/>
      <c r="E23" s="18"/>
      <c r="F23" s="18"/>
      <c r="G23" s="18"/>
    </row>
    <row r="24" spans="1:7" x14ac:dyDescent="0.25">
      <c r="A24" s="29" t="s">
        <v>122</v>
      </c>
      <c r="B24" s="30"/>
      <c r="C24" s="13"/>
      <c r="D24" s="13"/>
      <c r="E24" s="13"/>
      <c r="F24" s="13"/>
      <c r="G24" s="13"/>
    </row>
    <row r="25" spans="1:7" x14ac:dyDescent="0.25">
      <c r="A25" s="29" t="s">
        <v>67</v>
      </c>
      <c r="B25" s="28"/>
      <c r="C25" s="13"/>
      <c r="D25" s="13"/>
      <c r="E25" s="13"/>
      <c r="F25" s="13"/>
      <c r="G25" s="13"/>
    </row>
    <row r="26" spans="1:7" s="2" customFormat="1" x14ac:dyDescent="0.25">
      <c r="A26" s="3"/>
      <c r="B26" s="3"/>
      <c r="C26" s="3"/>
      <c r="D26" s="27"/>
      <c r="E26" s="27"/>
      <c r="F26" s="27"/>
      <c r="G26" s="27"/>
    </row>
    <row r="27" spans="1:7" s="2" customFormat="1" x14ac:dyDescent="0.25">
      <c r="A27" s="3" t="s">
        <v>68</v>
      </c>
      <c r="B27" s="26">
        <f>'[1]Peer Analysis working '!I27</f>
        <v>16042570</v>
      </c>
      <c r="C27" s="26">
        <f>'[1]Peer Analysis working '!J27</f>
        <v>15050871</v>
      </c>
      <c r="D27" s="26">
        <f>'[1]Peer Analysis working '!K27</f>
        <v>37759530</v>
      </c>
      <c r="E27" s="26">
        <f>'[1]Peer Analysis working '!L27</f>
        <v>30603181</v>
      </c>
      <c r="F27" s="26">
        <f>'[1]Peer Analysis working '!M27</f>
        <v>109971221</v>
      </c>
      <c r="G27" s="26"/>
    </row>
    <row r="28" spans="1:7" s="23" customFormat="1" x14ac:dyDescent="0.25">
      <c r="A28" s="18" t="s">
        <v>103</v>
      </c>
      <c r="B28" s="25">
        <f>'[1]Peer Analysis working '!I28*10</f>
        <v>705.87307999999996</v>
      </c>
      <c r="C28" s="24">
        <f>'[1]Peer Analysis working '!J28*10</f>
        <v>5698.2597605999999</v>
      </c>
      <c r="D28" s="24">
        <f>'[1]Peer Analysis working '!K28*10</f>
        <v>1049.7149340000001</v>
      </c>
      <c r="E28" s="24">
        <f>'[1]Peer Analysis working '!L28*10</f>
        <v>2209.5496682000003</v>
      </c>
      <c r="F28" s="24">
        <f>'[1]Peer Analysis working '!M28*10</f>
        <v>25254.89090265</v>
      </c>
      <c r="G28" s="24"/>
    </row>
    <row r="29" spans="1:7" s="23" customFormat="1" x14ac:dyDescent="0.25">
      <c r="A29" s="18" t="s">
        <v>71</v>
      </c>
      <c r="B29" s="25">
        <f>'[1]Peer Analysis working '!I31*10</f>
        <v>297.57307999999966</v>
      </c>
      <c r="C29" s="24">
        <f>'[1]Peer Analysis working '!J31*10</f>
        <v>3873.2597605999999</v>
      </c>
      <c r="D29" s="24">
        <f>'[1]Peer Analysis working '!K31*10</f>
        <v>6252.7149340000014</v>
      </c>
      <c r="E29" s="24">
        <f>'[1]Peer Analysis working '!L31*10</f>
        <v>9985.5496681999994</v>
      </c>
      <c r="F29" s="24">
        <f>'[1]Peer Analysis working '!M31*10</f>
        <v>-32545.109097349996</v>
      </c>
      <c r="G29" s="24"/>
    </row>
    <row r="30" spans="1:7" x14ac:dyDescent="0.25">
      <c r="A30" s="13"/>
      <c r="B30" s="3"/>
      <c r="C30" s="13"/>
      <c r="D30" s="20"/>
      <c r="E30" s="13"/>
      <c r="F30" s="13"/>
      <c r="G30" s="13"/>
    </row>
    <row r="31" spans="1:7" x14ac:dyDescent="0.25">
      <c r="A31" s="13" t="s">
        <v>121</v>
      </c>
      <c r="B31" s="15">
        <f>'[1]Peer Analysis working '!I35</f>
        <v>11.702127659574469</v>
      </c>
      <c r="C31" s="15">
        <f>'[1]Peer Analysis working '!J35</f>
        <v>7.2514843899636086</v>
      </c>
      <c r="D31" s="15">
        <f>'[1]Peer Analysis working '!K35</f>
        <v>3.5504469987228608</v>
      </c>
      <c r="E31" s="15">
        <f>'[1]Peer Analysis working '!L35</f>
        <v>22.147239263803684</v>
      </c>
      <c r="F31" s="15">
        <f>'[1]Peer Analysis working '!M35</f>
        <v>7.3206885559451704</v>
      </c>
      <c r="G31" s="15"/>
    </row>
    <row r="32" spans="1:7" x14ac:dyDescent="0.25">
      <c r="A32" s="13" t="s">
        <v>82</v>
      </c>
      <c r="B32" s="22">
        <f>'[1]Peer Analysis working '!I44</f>
        <v>3.4090909090909088E-2</v>
      </c>
      <c r="C32" s="21">
        <f>'[1]Peer Analysis working '!J44</f>
        <v>0.10565240359218171</v>
      </c>
      <c r="D32" s="21">
        <f>'[1]Peer Analysis working '!K44</f>
        <v>0</v>
      </c>
      <c r="E32" s="21">
        <f>'[1]Peer Analysis working '!L44</f>
        <v>0</v>
      </c>
      <c r="F32" s="21">
        <f>'[1]Peer Analysis working '!M44</f>
        <v>6.531678641410843E-2</v>
      </c>
      <c r="G32" s="21"/>
    </row>
    <row r="33" spans="1:7" x14ac:dyDescent="0.25">
      <c r="A33" s="13" t="s">
        <v>120</v>
      </c>
      <c r="B33" s="15">
        <f>'[1]Peer Analysis working '!I36</f>
        <v>0.10369903069514348</v>
      </c>
      <c r="C33" s="15">
        <f>'[1]Peer Analysis working '!J36</f>
        <v>0.11984730073192279</v>
      </c>
      <c r="D33" s="15">
        <f>'[1]Peer Analysis working '!K36</f>
        <v>3.3310536413543618E-2</v>
      </c>
      <c r="E33" s="15">
        <f>'[1]Peer Analysis working '!L36</f>
        <v>3.6471446910849581E-2</v>
      </c>
      <c r="F33" s="15">
        <f>'[1]Peer Analysis working '!M36</f>
        <v>9.8617247462415569E-2</v>
      </c>
      <c r="G33" s="15"/>
    </row>
    <row r="34" spans="1:7" x14ac:dyDescent="0.25">
      <c r="A34" s="13" t="s">
        <v>119</v>
      </c>
      <c r="B34" s="15">
        <f>'[1]Peer Analysis working '!I37</f>
        <v>0.12729854551676908</v>
      </c>
      <c r="C34" s="15">
        <f>'[1]Peer Analysis working '!J37</f>
        <v>0.44281007895278379</v>
      </c>
      <c r="D34" s="15">
        <f>'[1]Peer Analysis working '!K37</f>
        <v>0.67017309046087903</v>
      </c>
      <c r="E34" s="15">
        <f>'[1]Peer Analysis working '!L37</f>
        <v>1.021121757664383</v>
      </c>
      <c r="F34" s="15">
        <f>'[1]Peer Analysis working '!M37</f>
        <v>-0.59291508648843139</v>
      </c>
      <c r="G34" s="15"/>
    </row>
    <row r="35" spans="1:7" x14ac:dyDescent="0.25">
      <c r="A35" s="13"/>
      <c r="B35" s="3"/>
      <c r="C35" s="13"/>
      <c r="D35" s="20"/>
      <c r="E35" s="20"/>
      <c r="F35" s="13"/>
      <c r="G35" s="13"/>
    </row>
    <row r="36" spans="1:7" x14ac:dyDescent="0.25">
      <c r="A36" s="18" t="s">
        <v>118</v>
      </c>
      <c r="B36" s="19"/>
      <c r="C36" s="18"/>
      <c r="D36" s="18"/>
      <c r="E36" s="18"/>
      <c r="F36" s="18"/>
      <c r="G36" s="18"/>
    </row>
    <row r="37" spans="1:7" x14ac:dyDescent="0.25">
      <c r="A37" s="18" t="s">
        <v>137</v>
      </c>
      <c r="B37" s="14" t="e">
        <f>#REF!</f>
        <v>#REF!</v>
      </c>
      <c r="C37" s="14">
        <f>'[1]Peer Analysis working '!J32</f>
        <v>378.6</v>
      </c>
      <c r="D37" s="14">
        <f>'[1]Peer Analysis working '!K32</f>
        <v>27.8</v>
      </c>
      <c r="E37" s="14">
        <f>'[1]Peer Analysis working '!L32</f>
        <v>72.2</v>
      </c>
      <c r="F37" s="14">
        <f>'[1]Peer Analysis working '!M32</f>
        <v>229.65</v>
      </c>
      <c r="G37" s="14"/>
    </row>
    <row r="38" spans="1:7" x14ac:dyDescent="0.25">
      <c r="A38" s="13" t="s">
        <v>117</v>
      </c>
      <c r="B38" s="14">
        <f>B18</f>
        <v>6806.94</v>
      </c>
      <c r="C38" s="14">
        <f>C18</f>
        <v>47546</v>
      </c>
      <c r="D38" s="14">
        <f>D18</f>
        <v>31513</v>
      </c>
      <c r="E38" s="14">
        <f>E18</f>
        <v>60583</v>
      </c>
      <c r="F38" s="14">
        <f>F18</f>
        <v>256090</v>
      </c>
      <c r="G38" s="14"/>
    </row>
    <row r="39" spans="1:7" x14ac:dyDescent="0.25">
      <c r="A39" s="13" t="s">
        <v>116</v>
      </c>
      <c r="B39" s="14">
        <f>'[1]Peer Analysis working '!I34</f>
        <v>424.30483395116869</v>
      </c>
      <c r="C39" s="14">
        <f>'[1]Peer Analysis working '!J34</f>
        <v>3159.0198334701026</v>
      </c>
      <c r="D39" s="14">
        <f>'[1]Peer Analysis working '!K34</f>
        <v>834.57076928658807</v>
      </c>
      <c r="E39" s="14">
        <f>'[1]Peer Analysis working '!L34</f>
        <v>1979.6308102742653</v>
      </c>
      <c r="F39" s="14">
        <f>'[1]Peer Analysis working '!M34</f>
        <v>2328.7001605629166</v>
      </c>
      <c r="G39" s="14"/>
    </row>
    <row r="40" spans="1:7" x14ac:dyDescent="0.25">
      <c r="A40" s="13" t="s">
        <v>115</v>
      </c>
      <c r="B40" s="12">
        <f>'[1]Peer Analysis working '!I38</f>
        <v>9.1637358343103104E-2</v>
      </c>
      <c r="C40" s="12">
        <f>'[1]Peer Analysis working '!J38</f>
        <v>0.16579733310898917</v>
      </c>
      <c r="D40" s="12">
        <f>'[1]Peer Analysis working '!K38</f>
        <v>9.392948941706597E-2</v>
      </c>
      <c r="E40" s="12">
        <f>'[1]Peer Analysis working '!L38</f>
        <v>1.6456761797864088E-2</v>
      </c>
      <c r="F40" s="12">
        <f>'[1]Peer Analysis working '!M38</f>
        <v>0.13475731188254128</v>
      </c>
      <c r="G40" s="12"/>
    </row>
    <row r="41" spans="1:7" x14ac:dyDescent="0.25">
      <c r="A41" s="13" t="s">
        <v>114</v>
      </c>
      <c r="B41" s="12">
        <f>'[1]Peer Analysis working '!I39</f>
        <v>0.15966919879744115</v>
      </c>
      <c r="C41" s="12">
        <f>'[1]Peer Analysis working '!J39</f>
        <v>0.23463756949794889</v>
      </c>
      <c r="D41" s="12">
        <f>'[1]Peer Analysis working '!K39</f>
        <v>0.16266310441067727</v>
      </c>
      <c r="E41" s="12">
        <f>'[1]Peer Analysis working '!L39</f>
        <v>7.0130917016226549E-2</v>
      </c>
      <c r="F41" s="12">
        <f>'[1]Peer Analysis working '!M39</f>
        <v>0.12677259525029899</v>
      </c>
      <c r="G41" s="12"/>
    </row>
    <row r="42" spans="1:7" x14ac:dyDescent="0.25">
      <c r="A42" s="13" t="s">
        <v>113</v>
      </c>
      <c r="B42" s="15">
        <f>'[1]Peer Analysis working '!I40</f>
        <v>0.19664505085895492</v>
      </c>
      <c r="C42" s="15">
        <f>'[1]Peer Analysis working '!J40</f>
        <v>0.68930559505911992</v>
      </c>
      <c r="D42" s="15">
        <f>'[1]Peer Analysis working '!K40</f>
        <v>0.63170644710638169</v>
      </c>
      <c r="E42" s="15">
        <f>'[1]Peer Analysis working '!L40</f>
        <v>0.8970505519229417</v>
      </c>
      <c r="F42" s="15">
        <f>'[1]Peer Analysis working '!M40</f>
        <v>0.46451642047251207</v>
      </c>
      <c r="G42" s="15"/>
    </row>
    <row r="43" spans="1:7" x14ac:dyDescent="0.25">
      <c r="A43" s="13" t="s">
        <v>112</v>
      </c>
      <c r="B43" s="16">
        <f>'[1]Peer Analysis working '!I45</f>
        <v>66.342013720741051</v>
      </c>
      <c r="C43" s="16">
        <f>'[1]Peer Analysis working '!J45</f>
        <v>65.062573645930684</v>
      </c>
      <c r="D43" s="16">
        <f>'[1]Peer Analysis working '!K45</f>
        <v>86.592976250631622</v>
      </c>
      <c r="E43" s="16">
        <f>'[1]Peer Analysis working '!L45</f>
        <v>107.90185790620825</v>
      </c>
      <c r="F43" s="16">
        <f>'[1]Peer Analysis working '!M45</f>
        <v>56.711275240547494</v>
      </c>
      <c r="G43" s="16"/>
    </row>
    <row r="44" spans="1:7" x14ac:dyDescent="0.25">
      <c r="A44" s="13" t="s">
        <v>85</v>
      </c>
      <c r="B44" s="16">
        <f>'[1]Peer Analysis working '!I47</f>
        <v>0</v>
      </c>
      <c r="C44" s="16">
        <f>'[1]Peer Analysis working '!J47</f>
        <v>0</v>
      </c>
      <c r="D44" s="16">
        <f>'[1]Peer Analysis working '!K47</f>
        <v>10.79</v>
      </c>
      <c r="E44" s="16">
        <f>'[1]Peer Analysis working '!L47</f>
        <v>0</v>
      </c>
      <c r="F44" s="16">
        <f>'[1]Peer Analysis working '!M47</f>
        <v>16.899999999999999</v>
      </c>
      <c r="G44" s="16"/>
    </row>
    <row r="45" spans="1:7" x14ac:dyDescent="0.25">
      <c r="A45" s="13" t="s">
        <v>111</v>
      </c>
      <c r="B45" s="17">
        <f>'[1]Peer Analysis working '!I46</f>
        <v>6242.8348665021331</v>
      </c>
      <c r="C45" s="16">
        <f>'[1]Peer Analysis working '!J46</f>
        <v>17.260000000000002</v>
      </c>
      <c r="D45" s="16">
        <f>'[1]Peer Analysis working '!K46</f>
        <v>29.69</v>
      </c>
      <c r="E45" s="16">
        <f>'[1]Peer Analysis working '!L46</f>
        <v>50.87</v>
      </c>
      <c r="F45" s="16">
        <f>'[1]Peer Analysis working '!M46</f>
        <v>51.52</v>
      </c>
      <c r="G45" s="16"/>
    </row>
    <row r="46" spans="1:7" x14ac:dyDescent="0.25">
      <c r="A46" s="13" t="s">
        <v>110</v>
      </c>
      <c r="B46" s="17">
        <f>'[1]Peer Analysis working '!I48</f>
        <v>-6176.4928527813918</v>
      </c>
      <c r="C46" s="16">
        <f>'[1]Peer Analysis working '!J48</f>
        <v>47.802573645930678</v>
      </c>
      <c r="D46" s="16">
        <f>'[1]Peer Analysis working '!K48</f>
        <v>67.692976250631631</v>
      </c>
      <c r="E46" s="16">
        <f>'[1]Peer Analysis working '!L48</f>
        <v>57.031857906208252</v>
      </c>
      <c r="F46" s="16">
        <f>'[1]Peer Analysis working '!M48</f>
        <v>22.091275240547482</v>
      </c>
      <c r="G46" s="16"/>
    </row>
    <row r="47" spans="1:7" x14ac:dyDescent="0.25">
      <c r="A47" s="13" t="s">
        <v>87</v>
      </c>
      <c r="B47" s="16">
        <f>'[1]Peer Analysis working '!I49</f>
        <v>38.568782865166789</v>
      </c>
      <c r="C47" s="16">
        <f>'[1]Peer Analysis working '!J49</f>
        <v>104.5124131485921</v>
      </c>
      <c r="D47" s="16">
        <f>'[1]Peer Analysis working '!K49</f>
        <v>-3.1679695627619462</v>
      </c>
      <c r="E47" s="16">
        <f>'[1]Peer Analysis working '!L49</f>
        <v>102.35551571398437</v>
      </c>
      <c r="F47" s="16">
        <f>'[1]Peer Analysis working '!M49</f>
        <v>168.22119076658987</v>
      </c>
      <c r="G47" s="16"/>
    </row>
    <row r="48" spans="1:7" x14ac:dyDescent="0.25">
      <c r="A48" s="13" t="s">
        <v>109</v>
      </c>
      <c r="B48" s="15">
        <f>'[1]Peer Analysis working '!I41</f>
        <v>0.2653350844873027</v>
      </c>
      <c r="C48" s="15">
        <f>'[1]Peer Analysis working '!J41</f>
        <v>0</v>
      </c>
      <c r="D48" s="15">
        <f>'[1]Peer Analysis working '!K41</f>
        <v>0.38774474026592198</v>
      </c>
      <c r="E48" s="15">
        <f>'[1]Peer Analysis working '!L41</f>
        <v>0.15337635970486771</v>
      </c>
      <c r="F48" s="15">
        <f>'[1]Peer Analysis working '!M41</f>
        <v>0.14596430942246866</v>
      </c>
      <c r="G48" s="15"/>
    </row>
    <row r="49" spans="1:7" x14ac:dyDescent="0.25">
      <c r="A49" s="13" t="s">
        <v>108</v>
      </c>
      <c r="B49" s="15">
        <f>'[1]Peer Analysis working '!I42</f>
        <v>-5.998289980519883E-2</v>
      </c>
      <c r="C49" s="15">
        <f>'[1]Peer Analysis working '!J42</f>
        <v>-3.8383880873259578E-2</v>
      </c>
      <c r="D49" s="15">
        <f>'[1]Peer Analysis working '!K42</f>
        <v>0.16510646399898457</v>
      </c>
      <c r="E49" s="15">
        <f>'[1]Peer Analysis working '!L42</f>
        <v>0.128352838254956</v>
      </c>
      <c r="F49" s="15">
        <f>'[1]Peer Analysis working '!M42</f>
        <v>-0.22570190167519233</v>
      </c>
      <c r="G49" s="15"/>
    </row>
    <row r="50" spans="1:7" x14ac:dyDescent="0.25">
      <c r="A50" s="13" t="s">
        <v>104</v>
      </c>
      <c r="B50" s="14">
        <f>'[1]Peer Analysis working '!I51</f>
        <v>3.7837018647884131</v>
      </c>
      <c r="C50" s="14">
        <f>'[1]Peer Analysis working '!J51</f>
        <v>158.70422535211267</v>
      </c>
      <c r="D50" s="14">
        <f>'[1]Peer Analysis working '!K51</f>
        <v>2.2760347129506009</v>
      </c>
      <c r="E50" s="14">
        <f>'[1]Peer Analysis working '!L51</f>
        <v>3.4877505567928733</v>
      </c>
      <c r="F50" s="14">
        <f>'[1]Peer Analysis working '!M51</f>
        <v>10.687242798353909</v>
      </c>
      <c r="G50" s="14"/>
    </row>
    <row r="51" spans="1:7" x14ac:dyDescent="0.25">
      <c r="A51" s="13" t="s">
        <v>107</v>
      </c>
      <c r="B51" s="12">
        <f>'[1]Peer Analysis working '!I50</f>
        <v>0.19180342391424715</v>
      </c>
      <c r="C51" s="12">
        <f>'[1]Peer Analysis working '!J50</f>
        <v>0</v>
      </c>
      <c r="D51" s="12">
        <f>'[1]Peer Analysis working '!K50</f>
        <v>0.24519191423193387</v>
      </c>
      <c r="E51" s="12">
        <f>'[1]Peer Analysis working '!L50</f>
        <v>0.14496340938441668</v>
      </c>
      <c r="F51" s="12">
        <f>'[1]Peer Analysis working '!M50</f>
        <v>0.13001605136436598</v>
      </c>
      <c r="G51" s="12"/>
    </row>
  </sheetData>
  <mergeCells count="2">
    <mergeCell ref="A1:F1"/>
    <mergeCell ref="A2:A3"/>
  </mergeCells>
  <printOptions horizontalCentered="1"/>
  <pageMargins left="0.39370078740157483" right="0.39370078740157483" top="0.39370078740157483" bottom="0.39370078740157483" header="0.31496062992125984" footer="0.31496062992125984"/>
  <pageSetup paperSize="9" scale="83"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687"/>
  <sheetViews>
    <sheetView tabSelected="1" zoomScale="90" zoomScaleNormal="90" workbookViewId="0">
      <selection activeCell="F12" sqref="F12"/>
    </sheetView>
  </sheetViews>
  <sheetFormatPr defaultColWidth="8.85546875" defaultRowHeight="15" x14ac:dyDescent="0.25"/>
  <cols>
    <col min="1" max="1" width="65" style="61" customWidth="1"/>
    <col min="2" max="2" width="3.28515625" style="61" customWidth="1"/>
    <col min="3" max="3" width="9.5703125" style="61" bestFit="1" customWidth="1"/>
    <col min="4" max="4" width="10.28515625" style="61" bestFit="1" customWidth="1"/>
    <col min="5" max="5" width="12.5703125" style="61" bestFit="1" customWidth="1"/>
    <col min="6" max="6" width="10.5703125" style="61" bestFit="1" customWidth="1"/>
    <col min="7" max="7" width="10.7109375" style="61" bestFit="1" customWidth="1"/>
    <col min="8" max="8" width="11.5703125" style="61" bestFit="1" customWidth="1"/>
    <col min="9" max="9" width="10.7109375" style="61" bestFit="1" customWidth="1"/>
    <col min="10" max="10" width="11.42578125" style="61" bestFit="1" customWidth="1"/>
    <col min="11" max="11" width="10.28515625" bestFit="1" customWidth="1"/>
    <col min="12" max="12" width="2.5703125" style="61" customWidth="1"/>
    <col min="13" max="13" width="74.42578125" style="61" customWidth="1"/>
    <col min="14" max="14" width="3.42578125" style="61" customWidth="1"/>
    <col min="15" max="15" width="9.5703125" style="61" bestFit="1" customWidth="1"/>
    <col min="16" max="16" width="10.5703125" style="61" bestFit="1" customWidth="1"/>
    <col min="17" max="19" width="9.140625" style="61" bestFit="1" customWidth="1"/>
    <col min="20" max="20" width="9.5703125" style="61" bestFit="1" customWidth="1"/>
    <col min="21" max="21" width="9.140625" style="61" bestFit="1" customWidth="1"/>
    <col min="22" max="22" width="10" style="61" bestFit="1" customWidth="1"/>
    <col min="23" max="23" width="9.7109375" style="61" bestFit="1" customWidth="1"/>
    <col min="24" max="24" width="10" style="61" bestFit="1" customWidth="1"/>
    <col min="25" max="16384" width="8.85546875" style="61"/>
  </cols>
  <sheetData>
    <row r="1" spans="1:23" ht="18.75" x14ac:dyDescent="0.3">
      <c r="A1" s="151" t="s">
        <v>139</v>
      </c>
      <c r="B1" s="152"/>
      <c r="C1" s="152"/>
      <c r="D1" s="152"/>
      <c r="E1" s="152"/>
      <c r="F1" s="152"/>
      <c r="G1" s="152"/>
      <c r="H1" s="152"/>
      <c r="I1" s="152"/>
      <c r="J1" s="152"/>
      <c r="K1" s="152"/>
      <c r="L1" s="152"/>
      <c r="M1" s="152"/>
      <c r="N1" s="152"/>
      <c r="O1" s="152"/>
      <c r="P1" s="152"/>
      <c r="Q1" s="152"/>
      <c r="R1" s="152"/>
      <c r="S1" s="152"/>
      <c r="T1" s="152"/>
      <c r="U1" s="152"/>
      <c r="V1" s="152"/>
      <c r="W1" s="153"/>
    </row>
    <row r="2" spans="1:23" ht="12.6" customHeight="1" x14ac:dyDescent="0.25">
      <c r="A2" s="149" t="s">
        <v>150</v>
      </c>
      <c r="B2" s="149"/>
      <c r="C2" s="149"/>
      <c r="D2" s="149"/>
      <c r="E2" s="149"/>
      <c r="F2" s="149"/>
      <c r="G2" s="149"/>
      <c r="H2" s="149"/>
      <c r="I2" s="149"/>
      <c r="J2" s="149"/>
      <c r="K2" s="149"/>
      <c r="L2" s="49"/>
      <c r="M2" s="147" t="s">
        <v>151</v>
      </c>
      <c r="N2" s="148"/>
      <c r="O2" s="148"/>
      <c r="P2" s="148"/>
      <c r="Q2" s="148"/>
      <c r="R2" s="148"/>
      <c r="S2" s="148"/>
      <c r="T2" s="148"/>
      <c r="U2" s="148"/>
      <c r="V2" s="148"/>
      <c r="W2" s="150"/>
    </row>
    <row r="3" spans="1:23" x14ac:dyDescent="0.25">
      <c r="A3" s="65" t="s">
        <v>0</v>
      </c>
      <c r="B3" s="66"/>
      <c r="C3" s="66" t="s">
        <v>33</v>
      </c>
      <c r="D3" s="66" t="s">
        <v>32</v>
      </c>
      <c r="E3" s="66" t="s">
        <v>1</v>
      </c>
      <c r="F3" s="66" t="s">
        <v>2</v>
      </c>
      <c r="G3" s="66" t="s">
        <v>51</v>
      </c>
      <c r="H3" s="66" t="s">
        <v>138</v>
      </c>
      <c r="I3" s="112" t="s">
        <v>159</v>
      </c>
      <c r="J3" s="66" t="s">
        <v>161</v>
      </c>
      <c r="K3" s="66" t="s">
        <v>163</v>
      </c>
      <c r="L3" s="50"/>
      <c r="M3" s="65" t="s">
        <v>0</v>
      </c>
      <c r="N3" s="65"/>
      <c r="O3" s="66" t="s">
        <v>33</v>
      </c>
      <c r="P3" s="66" t="s">
        <v>32</v>
      </c>
      <c r="Q3" s="66" t="s">
        <v>1</v>
      </c>
      <c r="R3" s="66" t="s">
        <v>2</v>
      </c>
      <c r="S3" s="66" t="s">
        <v>51</v>
      </c>
      <c r="T3" s="66" t="s">
        <v>138</v>
      </c>
      <c r="U3" s="66" t="s">
        <v>159</v>
      </c>
      <c r="V3" s="66" t="s">
        <v>161</v>
      </c>
      <c r="W3" s="66" t="s">
        <v>163</v>
      </c>
    </row>
    <row r="4" spans="1:23" x14ac:dyDescent="0.25">
      <c r="A4" s="67" t="s">
        <v>34</v>
      </c>
      <c r="B4" s="68"/>
      <c r="C4" s="69">
        <v>25271.9</v>
      </c>
      <c r="D4" s="69">
        <v>41824.199999999997</v>
      </c>
      <c r="E4" s="69">
        <v>27568.400000000001</v>
      </c>
      <c r="F4" s="69">
        <v>2587.1999999999998</v>
      </c>
      <c r="G4" s="69">
        <v>2246</v>
      </c>
      <c r="H4" s="69">
        <v>3079.2</v>
      </c>
      <c r="I4" s="122">
        <v>3534.9</v>
      </c>
      <c r="J4" s="122">
        <v>3660.4</v>
      </c>
      <c r="K4" s="122">
        <v>4305</v>
      </c>
      <c r="L4" s="49"/>
      <c r="M4" s="67" t="s">
        <v>3</v>
      </c>
      <c r="N4" s="68"/>
      <c r="O4" s="69">
        <v>186.1</v>
      </c>
      <c r="P4" s="69">
        <v>186.1</v>
      </c>
      <c r="Q4" s="69">
        <v>186.1</v>
      </c>
      <c r="R4" s="69">
        <v>186.5</v>
      </c>
      <c r="S4" s="69">
        <v>186.5</v>
      </c>
      <c r="T4" s="69">
        <v>186.5</v>
      </c>
      <c r="U4" s="69">
        <v>186.5</v>
      </c>
      <c r="V4" s="69">
        <v>186.5</v>
      </c>
      <c r="W4" s="69">
        <v>186.5</v>
      </c>
    </row>
    <row r="5" spans="1:23" x14ac:dyDescent="0.25">
      <c r="A5" s="82" t="s">
        <v>35</v>
      </c>
      <c r="B5" s="83"/>
      <c r="C5" s="83"/>
      <c r="D5" s="83">
        <f>D4/C4-1</f>
        <v>0.65496856192055186</v>
      </c>
      <c r="E5" s="83">
        <f t="shared" ref="E5" si="0">E4/D4-1</f>
        <v>-0.34085051238278308</v>
      </c>
      <c r="F5" s="111">
        <f t="shared" ref="F5:K5" si="1">F4/E4-1</f>
        <v>-0.90615342203392291</v>
      </c>
      <c r="G5" s="111">
        <f t="shared" si="1"/>
        <v>-0.13188002473716753</v>
      </c>
      <c r="H5" s="111">
        <f t="shared" si="1"/>
        <v>0.3709706144256455</v>
      </c>
      <c r="I5" s="130">
        <f t="shared" si="1"/>
        <v>0.14799298519095871</v>
      </c>
      <c r="J5" s="130">
        <f>J4/I4-1</f>
        <v>3.5503125972446092E-2</v>
      </c>
      <c r="K5" s="130">
        <f>K4/J4-1</f>
        <v>0.17610097257130364</v>
      </c>
      <c r="L5" s="51"/>
      <c r="M5" s="67" t="s">
        <v>4</v>
      </c>
      <c r="N5" s="68"/>
      <c r="O5" s="69">
        <v>485</v>
      </c>
      <c r="P5" s="69">
        <v>641.20000000000005</v>
      </c>
      <c r="Q5" s="69">
        <v>683.7</v>
      </c>
      <c r="R5" s="69">
        <v>619.70000000000005</v>
      </c>
      <c r="S5" s="69">
        <v>631.4</v>
      </c>
      <c r="T5" s="69">
        <v>739.6</v>
      </c>
      <c r="U5" s="69">
        <v>831.5</v>
      </c>
      <c r="V5" s="69">
        <v>801.4</v>
      </c>
      <c r="W5" s="69">
        <v>742.9</v>
      </c>
    </row>
    <row r="6" spans="1:23" x14ac:dyDescent="0.25">
      <c r="A6" s="82" t="s">
        <v>36</v>
      </c>
      <c r="B6" s="84"/>
      <c r="C6" s="85"/>
      <c r="D6" s="85"/>
      <c r="E6" s="83"/>
      <c r="F6" s="111">
        <f t="shared" ref="F6:K6" si="2">((F4/C4)^(1/3)-1)</f>
        <v>-0.53219588680467778</v>
      </c>
      <c r="G6" s="111">
        <f t="shared" si="2"/>
        <v>-0.62272267593167474</v>
      </c>
      <c r="H6" s="111">
        <f t="shared" si="2"/>
        <v>-0.51841223429969563</v>
      </c>
      <c r="I6" s="130">
        <f t="shared" si="2"/>
        <v>0.1096406973639561</v>
      </c>
      <c r="J6" s="130">
        <f>((J4/G4)^(1/3)-1)</f>
        <v>0.17680976898197254</v>
      </c>
      <c r="K6" s="130">
        <f>((K4/H4)^(1/3)-1)</f>
        <v>0.11818008356719933</v>
      </c>
      <c r="L6" s="51"/>
      <c r="M6" s="70" t="s">
        <v>5</v>
      </c>
      <c r="N6" s="71"/>
      <c r="O6" s="72">
        <f t="shared" ref="O6:P6" si="3">SUM(O4:O5)</f>
        <v>671.1</v>
      </c>
      <c r="P6" s="72">
        <f t="shared" si="3"/>
        <v>827.30000000000007</v>
      </c>
      <c r="Q6" s="72">
        <f t="shared" ref="Q6:V6" si="4">SUM(Q4:Q5)</f>
        <v>869.80000000000007</v>
      </c>
      <c r="R6" s="72">
        <f t="shared" si="4"/>
        <v>806.2</v>
      </c>
      <c r="S6" s="72">
        <f t="shared" si="4"/>
        <v>817.9</v>
      </c>
      <c r="T6" s="72">
        <f t="shared" si="4"/>
        <v>926.1</v>
      </c>
      <c r="U6" s="72">
        <f t="shared" ref="U6" si="5">SUM(U4:U5)</f>
        <v>1018</v>
      </c>
      <c r="V6" s="72">
        <f t="shared" si="4"/>
        <v>987.9</v>
      </c>
      <c r="W6" s="72">
        <f t="shared" ref="W6" si="6">SUM(W4:W5)</f>
        <v>929.4</v>
      </c>
    </row>
    <row r="7" spans="1:23" x14ac:dyDescent="0.25">
      <c r="A7" s="77" t="s">
        <v>37</v>
      </c>
      <c r="B7" s="68"/>
      <c r="C7" s="68"/>
      <c r="D7" s="68"/>
      <c r="E7" s="69"/>
      <c r="F7" s="69"/>
      <c r="G7" s="69"/>
      <c r="H7" s="69"/>
      <c r="I7" s="122"/>
      <c r="J7" s="122"/>
      <c r="K7" s="122"/>
      <c r="L7" s="52"/>
      <c r="M7" s="67" t="s">
        <v>154</v>
      </c>
      <c r="N7" s="68"/>
      <c r="O7" s="69">
        <v>-7.3</v>
      </c>
      <c r="P7" s="69">
        <v>-5.4</v>
      </c>
      <c r="Q7" s="69">
        <v>0</v>
      </c>
      <c r="R7" s="69">
        <v>0</v>
      </c>
      <c r="S7" s="69">
        <v>0</v>
      </c>
      <c r="T7" s="69">
        <v>0</v>
      </c>
      <c r="U7" s="69">
        <v>0</v>
      </c>
      <c r="V7" s="69">
        <v>0</v>
      </c>
      <c r="W7" s="69">
        <v>0</v>
      </c>
    </row>
    <row r="8" spans="1:23" x14ac:dyDescent="0.25">
      <c r="A8" s="78" t="s">
        <v>38</v>
      </c>
      <c r="B8" s="68"/>
      <c r="C8" s="69">
        <v>1029.0999999999999</v>
      </c>
      <c r="D8" s="69">
        <v>1072.4000000000001</v>
      </c>
      <c r="E8" s="69">
        <v>674</v>
      </c>
      <c r="F8" s="69">
        <v>696.3</v>
      </c>
      <c r="G8" s="69">
        <v>596.5</v>
      </c>
      <c r="H8" s="69">
        <v>1054</v>
      </c>
      <c r="I8" s="122">
        <v>1260.5999999999999</v>
      </c>
      <c r="J8" s="122">
        <v>1307.2</v>
      </c>
      <c r="K8" s="122">
        <v>1429.8</v>
      </c>
      <c r="L8" s="52"/>
      <c r="M8" s="67" t="s">
        <v>6</v>
      </c>
      <c r="N8" s="68"/>
      <c r="O8" s="69">
        <f>18.8</f>
        <v>18.8</v>
      </c>
      <c r="P8" s="69">
        <v>0</v>
      </c>
      <c r="Q8" s="69">
        <f>0</f>
        <v>0</v>
      </c>
      <c r="R8" s="69">
        <v>0</v>
      </c>
      <c r="S8" s="69">
        <v>0</v>
      </c>
      <c r="T8" s="69">
        <v>0</v>
      </c>
      <c r="U8" s="69">
        <v>61.9</v>
      </c>
      <c r="V8" s="69">
        <v>150.1</v>
      </c>
      <c r="W8" s="69">
        <v>101.6</v>
      </c>
    </row>
    <row r="9" spans="1:23" x14ac:dyDescent="0.25">
      <c r="A9" s="78" t="s">
        <v>52</v>
      </c>
      <c r="B9" s="86"/>
      <c r="C9" s="87">
        <v>-1091.4000000000001</v>
      </c>
      <c r="D9" s="87">
        <v>-3299.5</v>
      </c>
      <c r="E9" s="87">
        <v>4577.3999999999996</v>
      </c>
      <c r="F9" s="87">
        <v>-16.600000000000001</v>
      </c>
      <c r="G9" s="87">
        <v>-20</v>
      </c>
      <c r="H9" s="87">
        <v>-85.8</v>
      </c>
      <c r="I9" s="123">
        <v>-78.3</v>
      </c>
      <c r="J9" s="123">
        <v>25.3</v>
      </c>
      <c r="K9" s="123">
        <v>-16.399999999999999</v>
      </c>
      <c r="L9" s="53"/>
      <c r="M9" s="67" t="s">
        <v>7</v>
      </c>
      <c r="N9" s="68"/>
      <c r="O9" s="69">
        <v>205.7</v>
      </c>
      <c r="P9" s="69">
        <v>32.9</v>
      </c>
      <c r="Q9" s="69">
        <f>0</f>
        <v>0</v>
      </c>
      <c r="R9" s="69">
        <f>144.3</f>
        <v>144.30000000000001</v>
      </c>
      <c r="S9" s="69">
        <v>0</v>
      </c>
      <c r="T9" s="69">
        <v>37.6</v>
      </c>
      <c r="U9" s="69">
        <v>32.5</v>
      </c>
      <c r="V9" s="69">
        <v>221.3</v>
      </c>
      <c r="W9" s="69">
        <v>211.2</v>
      </c>
    </row>
    <row r="10" spans="1:23" x14ac:dyDescent="0.25">
      <c r="A10" s="78" t="s">
        <v>140</v>
      </c>
      <c r="B10" s="86"/>
      <c r="C10" s="87">
        <v>24116.3</v>
      </c>
      <c r="D10" s="87">
        <v>42768.2</v>
      </c>
      <c r="E10" s="87">
        <v>20961.7</v>
      </c>
      <c r="F10" s="87">
        <v>561.6</v>
      </c>
      <c r="G10" s="87">
        <v>533.29999999999995</v>
      </c>
      <c r="H10" s="88">
        <v>558.5</v>
      </c>
      <c r="I10" s="124">
        <v>676.9</v>
      </c>
      <c r="J10" s="124">
        <v>558.5</v>
      </c>
      <c r="K10" s="124">
        <v>758.9</v>
      </c>
      <c r="L10" s="54"/>
      <c r="M10" s="70" t="s">
        <v>156</v>
      </c>
      <c r="N10" s="71"/>
      <c r="O10" s="72">
        <f t="shared" ref="O10:P10" si="7">SUM(O8:O9)</f>
        <v>224.5</v>
      </c>
      <c r="P10" s="72">
        <f t="shared" si="7"/>
        <v>32.9</v>
      </c>
      <c r="Q10" s="72">
        <f t="shared" ref="Q10:V10" si="8">SUM(Q8:Q9)</f>
        <v>0</v>
      </c>
      <c r="R10" s="72">
        <f t="shared" si="8"/>
        <v>144.30000000000001</v>
      </c>
      <c r="S10" s="72">
        <f t="shared" si="8"/>
        <v>0</v>
      </c>
      <c r="T10" s="72">
        <f t="shared" si="8"/>
        <v>37.6</v>
      </c>
      <c r="U10" s="72">
        <f t="shared" si="8"/>
        <v>94.4</v>
      </c>
      <c r="V10" s="72">
        <f t="shared" si="8"/>
        <v>371.4</v>
      </c>
      <c r="W10" s="72">
        <f t="shared" ref="W10" si="9">SUM(W8:W9)</f>
        <v>312.79999999999995</v>
      </c>
    </row>
    <row r="11" spans="1:23" x14ac:dyDescent="0.25">
      <c r="A11" s="78" t="s">
        <v>39</v>
      </c>
      <c r="B11" s="86"/>
      <c r="C11" s="87">
        <v>324.5</v>
      </c>
      <c r="D11" s="87">
        <v>331.1</v>
      </c>
      <c r="E11" s="87">
        <v>361</v>
      </c>
      <c r="F11" s="87">
        <v>381.5</v>
      </c>
      <c r="G11" s="87">
        <v>307.10000000000002</v>
      </c>
      <c r="H11" s="87">
        <v>400.7</v>
      </c>
      <c r="I11" s="123">
        <v>497</v>
      </c>
      <c r="J11" s="123">
        <v>534.9</v>
      </c>
      <c r="K11" s="123">
        <v>722</v>
      </c>
      <c r="L11" s="53"/>
      <c r="M11" s="73"/>
      <c r="N11" s="74"/>
      <c r="O11" s="75"/>
      <c r="P11" s="75"/>
      <c r="Q11" s="75"/>
      <c r="R11" s="75"/>
      <c r="S11" s="69"/>
      <c r="T11" s="69"/>
      <c r="U11" s="69"/>
      <c r="V11" s="69"/>
      <c r="W11" s="69"/>
    </row>
    <row r="12" spans="1:23" x14ac:dyDescent="0.25">
      <c r="A12" s="78" t="s">
        <v>40</v>
      </c>
      <c r="B12" s="68"/>
      <c r="C12" s="69">
        <f>727.9+39.9</f>
        <v>767.8</v>
      </c>
      <c r="D12" s="69">
        <f>704.3+14.4</f>
        <v>718.69999999999993</v>
      </c>
      <c r="E12" s="69">
        <v>812.7</v>
      </c>
      <c r="F12" s="69">
        <v>855.3</v>
      </c>
      <c r="G12" s="69">
        <v>743.6</v>
      </c>
      <c r="H12" s="69">
        <v>887.9</v>
      </c>
      <c r="I12" s="122">
        <v>980.9</v>
      </c>
      <c r="J12" s="122">
        <v>1139.3</v>
      </c>
      <c r="K12" s="122">
        <v>1295.8</v>
      </c>
      <c r="L12" s="52"/>
      <c r="M12" s="70" t="s">
        <v>149</v>
      </c>
      <c r="N12" s="71"/>
      <c r="O12" s="72">
        <f t="shared" ref="O12:T12" si="10">O6+O7+O8+O58</f>
        <v>710.9</v>
      </c>
      <c r="P12" s="72">
        <f t="shared" si="10"/>
        <v>855.00000000000011</v>
      </c>
      <c r="Q12" s="72">
        <f t="shared" si="10"/>
        <v>908.80000000000007</v>
      </c>
      <c r="R12" s="72">
        <f t="shared" si="10"/>
        <v>883.1</v>
      </c>
      <c r="S12" s="72">
        <f t="shared" si="10"/>
        <v>867.4</v>
      </c>
      <c r="T12" s="72">
        <f t="shared" si="10"/>
        <v>971</v>
      </c>
      <c r="U12" s="72">
        <f t="shared" ref="U12" si="11">U6+U7+U8+U58</f>
        <v>1121.2</v>
      </c>
      <c r="V12" s="72">
        <f>V6+V7+V8+V58</f>
        <v>1147.5999999999999</v>
      </c>
      <c r="W12" s="72">
        <f>W6+W7+W8+W58</f>
        <v>1142.7</v>
      </c>
    </row>
    <row r="13" spans="1:23" x14ac:dyDescent="0.25">
      <c r="A13" s="70" t="s">
        <v>41</v>
      </c>
      <c r="B13" s="71"/>
      <c r="C13" s="72">
        <f t="shared" ref="C13:J13" si="12">C4-SUM(C8:C12)</f>
        <v>125.60000000000218</v>
      </c>
      <c r="D13" s="72">
        <f t="shared" si="12"/>
        <v>233.30000000000291</v>
      </c>
      <c r="E13" s="72">
        <f t="shared" si="12"/>
        <v>181.60000000000218</v>
      </c>
      <c r="F13" s="72">
        <f t="shared" si="12"/>
        <v>109.09999999999991</v>
      </c>
      <c r="G13" s="72">
        <f t="shared" si="12"/>
        <v>85.5</v>
      </c>
      <c r="H13" s="72">
        <f t="shared" si="12"/>
        <v>263.89999999999964</v>
      </c>
      <c r="I13" s="114">
        <f t="shared" si="12"/>
        <v>197.80000000000018</v>
      </c>
      <c r="J13" s="114">
        <f>J4-SUM(J8:J12)</f>
        <v>95.200000000000273</v>
      </c>
      <c r="K13" s="114">
        <f>K4-SUM(K8:K12)</f>
        <v>114.90000000000055</v>
      </c>
      <c r="L13" s="55"/>
      <c r="M13" s="70" t="s">
        <v>149</v>
      </c>
      <c r="N13" s="71"/>
      <c r="O13" s="72">
        <f t="shared" ref="O13:T13" si="13">O60-O51-O9</f>
        <v>710.90000000000032</v>
      </c>
      <c r="P13" s="72">
        <f t="shared" si="13"/>
        <v>854.99999999999966</v>
      </c>
      <c r="Q13" s="72">
        <f t="shared" si="13"/>
        <v>908.80000000000007</v>
      </c>
      <c r="R13" s="72">
        <f t="shared" si="13"/>
        <v>883.10000000000014</v>
      </c>
      <c r="S13" s="72">
        <f t="shared" si="13"/>
        <v>867.4</v>
      </c>
      <c r="T13" s="72">
        <f t="shared" si="13"/>
        <v>971.00000000000011</v>
      </c>
      <c r="U13" s="72">
        <f t="shared" ref="U13" si="14">U60-U51-U9</f>
        <v>1121.2</v>
      </c>
      <c r="V13" s="72">
        <f>V60-V51-V9</f>
        <v>1147.6000000000001</v>
      </c>
      <c r="W13" s="72">
        <f>W60-W51-W9</f>
        <v>1142.6999999999996</v>
      </c>
    </row>
    <row r="14" spans="1:23" x14ac:dyDescent="0.25">
      <c r="A14" s="82" t="s">
        <v>42</v>
      </c>
      <c r="B14" s="83"/>
      <c r="C14" s="83">
        <f>C13/C4</f>
        <v>4.9699468579727756E-3</v>
      </c>
      <c r="D14" s="83">
        <f t="shared" ref="D14:H14" si="15">D13/D4</f>
        <v>5.5781102806509849E-3</v>
      </c>
      <c r="E14" s="83">
        <f t="shared" si="15"/>
        <v>6.5872520712120458E-3</v>
      </c>
      <c r="F14" s="83">
        <f t="shared" si="15"/>
        <v>4.2169140383426063E-2</v>
      </c>
      <c r="G14" s="83">
        <f t="shared" si="15"/>
        <v>3.8067675868210152E-2</v>
      </c>
      <c r="H14" s="83">
        <f t="shared" si="15"/>
        <v>8.5704078981553536E-2</v>
      </c>
      <c r="I14" s="131">
        <f>I13/I4</f>
        <v>5.5956321253783747E-2</v>
      </c>
      <c r="J14" s="131">
        <f>J13/J4</f>
        <v>2.6008086547918335E-2</v>
      </c>
      <c r="K14" s="131">
        <f>K13/K4</f>
        <v>2.6689895470383401E-2</v>
      </c>
      <c r="L14" s="56"/>
      <c r="M14" s="67"/>
      <c r="N14" s="68"/>
      <c r="O14" s="69"/>
      <c r="P14" s="69"/>
      <c r="Q14" s="69"/>
      <c r="R14" s="69"/>
      <c r="S14" s="69"/>
      <c r="T14" s="69"/>
      <c r="U14" s="69"/>
      <c r="V14" s="69"/>
      <c r="W14" s="69"/>
    </row>
    <row r="15" spans="1:23" x14ac:dyDescent="0.25">
      <c r="A15" s="82" t="s">
        <v>35</v>
      </c>
      <c r="B15" s="83"/>
      <c r="C15" s="83"/>
      <c r="D15" s="83">
        <f>D14/C14-1</f>
        <v>0.12236819428010492</v>
      </c>
      <c r="E15" s="83">
        <f>E14/D14-1</f>
        <v>0.18091105047914025</v>
      </c>
      <c r="F15" s="111">
        <f t="shared" ref="F15:K15" si="16">F13/E13-1</f>
        <v>-0.39922907488987558</v>
      </c>
      <c r="G15" s="111">
        <f t="shared" si="16"/>
        <v>-0.21631530705774449</v>
      </c>
      <c r="H15" s="111">
        <f t="shared" si="16"/>
        <v>2.0865497076023347</v>
      </c>
      <c r="I15" s="130">
        <f t="shared" si="16"/>
        <v>-0.25047366426676598</v>
      </c>
      <c r="J15" s="130">
        <f>J13/I13-1</f>
        <v>-0.51870576339737018</v>
      </c>
      <c r="K15" s="130">
        <f>K13/J13-1</f>
        <v>0.20693277310924607</v>
      </c>
      <c r="L15" s="51"/>
      <c r="M15" s="70" t="s">
        <v>8</v>
      </c>
      <c r="N15" s="71"/>
      <c r="O15" s="72"/>
      <c r="P15" s="72"/>
      <c r="Q15" s="72"/>
      <c r="R15" s="72"/>
      <c r="S15" s="72"/>
      <c r="T15" s="72"/>
      <c r="U15" s="72"/>
      <c r="V15" s="72"/>
      <c r="W15" s="72"/>
    </row>
    <row r="16" spans="1:23" x14ac:dyDescent="0.25">
      <c r="A16" s="82" t="s">
        <v>36</v>
      </c>
      <c r="B16" s="89"/>
      <c r="C16" s="90"/>
      <c r="D16" s="90"/>
      <c r="E16" s="83"/>
      <c r="F16" s="111">
        <f t="shared" ref="F16:K16" si="17">((F13/C13)^(1/3)-1)</f>
        <v>-4.5860877129511146E-2</v>
      </c>
      <c r="G16" s="111">
        <f t="shared" si="17"/>
        <v>-0.2843778210755159</v>
      </c>
      <c r="H16" s="111">
        <f t="shared" si="17"/>
        <v>0.13268160799668216</v>
      </c>
      <c r="I16" s="130">
        <f t="shared" si="17"/>
        <v>0.21936533818384407</v>
      </c>
      <c r="J16" s="130">
        <f>((J13/G13)^(1/3)-1)</f>
        <v>3.6470497198339835E-2</v>
      </c>
      <c r="K16" s="130">
        <f>((K13/H13)^(1/3)-1)</f>
        <v>-0.24207387073541464</v>
      </c>
      <c r="L16" s="51"/>
      <c r="M16" s="76" t="s">
        <v>9</v>
      </c>
      <c r="N16" s="68"/>
      <c r="O16" s="69"/>
      <c r="P16" s="69"/>
      <c r="Q16" s="69"/>
      <c r="R16" s="69"/>
      <c r="S16" s="69"/>
      <c r="T16" s="69"/>
      <c r="U16" s="69"/>
      <c r="V16" s="69"/>
      <c r="W16" s="69"/>
    </row>
    <row r="17" spans="1:23" x14ac:dyDescent="0.25">
      <c r="A17" s="67" t="s">
        <v>43</v>
      </c>
      <c r="B17" s="68"/>
      <c r="C17" s="69">
        <v>30.8</v>
      </c>
      <c r="D17" s="69">
        <v>22.1</v>
      </c>
      <c r="E17" s="69">
        <v>37.299999999999997</v>
      </c>
      <c r="F17" s="69">
        <v>53.3</v>
      </c>
      <c r="G17" s="69">
        <v>20.6</v>
      </c>
      <c r="H17" s="69">
        <v>12.3</v>
      </c>
      <c r="I17" s="122">
        <v>15.3</v>
      </c>
      <c r="J17" s="122">
        <v>26.4</v>
      </c>
      <c r="K17" s="122">
        <v>26</v>
      </c>
      <c r="L17" s="52"/>
      <c r="M17" s="67" t="s">
        <v>10</v>
      </c>
      <c r="N17" s="68"/>
      <c r="O17" s="69">
        <v>137.80000000000001</v>
      </c>
      <c r="P17" s="69">
        <v>99.3</v>
      </c>
      <c r="Q17" s="69">
        <v>110.8</v>
      </c>
      <c r="R17" s="69">
        <v>99.7</v>
      </c>
      <c r="S17" s="69">
        <v>78.3</v>
      </c>
      <c r="T17" s="69">
        <v>74.599999999999994</v>
      </c>
      <c r="U17" s="120">
        <v>166.5</v>
      </c>
      <c r="V17" s="120">
        <v>391.8</v>
      </c>
      <c r="W17" s="120">
        <v>384</v>
      </c>
    </row>
    <row r="18" spans="1:23" x14ac:dyDescent="0.25">
      <c r="A18" s="67" t="s">
        <v>44</v>
      </c>
      <c r="B18" s="68"/>
      <c r="C18" s="69">
        <v>60.6</v>
      </c>
      <c r="D18" s="69">
        <v>46.1</v>
      </c>
      <c r="E18" s="69">
        <v>36.799999999999997</v>
      </c>
      <c r="F18" s="69">
        <v>104</v>
      </c>
      <c r="G18" s="69">
        <v>77.7</v>
      </c>
      <c r="H18" s="69">
        <v>63.3</v>
      </c>
      <c r="I18" s="122">
        <v>71</v>
      </c>
      <c r="J18" s="122">
        <v>108.7</v>
      </c>
      <c r="K18" s="122">
        <v>150.69999999999999</v>
      </c>
      <c r="L18" s="52"/>
      <c r="M18" s="67" t="s">
        <v>11</v>
      </c>
      <c r="N18" s="68"/>
      <c r="O18" s="69">
        <v>0</v>
      </c>
      <c r="P18" s="69">
        <v>1.1000000000000001</v>
      </c>
      <c r="Q18" s="69">
        <v>0</v>
      </c>
      <c r="R18" s="69">
        <v>0</v>
      </c>
      <c r="S18" s="69">
        <v>0</v>
      </c>
      <c r="T18" s="69">
        <v>2.1</v>
      </c>
      <c r="U18" s="120">
        <v>17.7</v>
      </c>
      <c r="V18" s="120">
        <v>0.3</v>
      </c>
      <c r="W18" s="120">
        <v>0</v>
      </c>
    </row>
    <row r="19" spans="1:23" x14ac:dyDescent="0.25">
      <c r="A19" s="67" t="s">
        <v>53</v>
      </c>
      <c r="B19" s="68"/>
      <c r="C19" s="69">
        <v>28.1</v>
      </c>
      <c r="D19" s="69">
        <v>14.2</v>
      </c>
      <c r="E19" s="69">
        <f>1.5+2.6</f>
        <v>4.0999999999999996</v>
      </c>
      <c r="F19" s="69">
        <v>23.6</v>
      </c>
      <c r="G19" s="69">
        <v>19</v>
      </c>
      <c r="H19" s="69">
        <v>9.6</v>
      </c>
      <c r="I19" s="122">
        <v>13.7</v>
      </c>
      <c r="J19" s="122">
        <v>19.600000000000001</v>
      </c>
      <c r="K19" s="122">
        <v>53.6</v>
      </c>
      <c r="L19" s="52"/>
      <c r="M19" s="67" t="s">
        <v>141</v>
      </c>
      <c r="N19" s="68"/>
      <c r="O19" s="69">
        <v>0</v>
      </c>
      <c r="P19" s="69">
        <v>0</v>
      </c>
      <c r="Q19" s="69">
        <v>0</v>
      </c>
      <c r="R19" s="69">
        <v>116.7</v>
      </c>
      <c r="S19" s="69">
        <v>62.8</v>
      </c>
      <c r="T19" s="69">
        <v>51.5</v>
      </c>
      <c r="U19" s="120">
        <v>43.9</v>
      </c>
      <c r="V19" s="120">
        <v>32.6</v>
      </c>
      <c r="W19" s="120">
        <v>107.3</v>
      </c>
    </row>
    <row r="20" spans="1:23" x14ac:dyDescent="0.25">
      <c r="A20" s="67" t="s">
        <v>146</v>
      </c>
      <c r="B20" s="68"/>
      <c r="C20" s="69">
        <v>0</v>
      </c>
      <c r="D20" s="69">
        <v>36.9</v>
      </c>
      <c r="E20" s="69">
        <v>-35.799999999999997</v>
      </c>
      <c r="F20" s="69">
        <v>-35</v>
      </c>
      <c r="G20" s="69">
        <v>0</v>
      </c>
      <c r="H20" s="69">
        <v>4.9000000000000004</v>
      </c>
      <c r="I20" s="122">
        <v>0</v>
      </c>
      <c r="J20" s="122">
        <v>0</v>
      </c>
      <c r="K20" s="122">
        <v>0</v>
      </c>
      <c r="L20" s="52"/>
      <c r="M20" s="67" t="s">
        <v>153</v>
      </c>
      <c r="N20" s="67"/>
      <c r="O20" s="69">
        <v>19.399999999999999</v>
      </c>
      <c r="P20" s="69">
        <v>19.399999999999999</v>
      </c>
      <c r="Q20" s="69">
        <v>0</v>
      </c>
      <c r="R20" s="69">
        <v>0</v>
      </c>
      <c r="S20" s="69">
        <v>0</v>
      </c>
      <c r="T20" s="69">
        <v>0</v>
      </c>
      <c r="U20" s="121" t="s">
        <v>160</v>
      </c>
      <c r="V20" s="121" t="s">
        <v>160</v>
      </c>
      <c r="W20" s="121" t="s">
        <v>160</v>
      </c>
    </row>
    <row r="21" spans="1:23" x14ac:dyDescent="0.25">
      <c r="A21" s="91" t="s">
        <v>45</v>
      </c>
      <c r="B21" s="92"/>
      <c r="C21" s="93">
        <f t="shared" ref="C21:G21" si="18">C13+C17+C20-SUM(C18:C19)</f>
        <v>67.700000000002191</v>
      </c>
      <c r="D21" s="93">
        <f t="shared" si="18"/>
        <v>232.0000000000029</v>
      </c>
      <c r="E21" s="93">
        <f t="shared" si="18"/>
        <v>142.20000000000218</v>
      </c>
      <c r="F21" s="93">
        <f t="shared" si="18"/>
        <v>-0.2000000000000739</v>
      </c>
      <c r="G21" s="93">
        <f t="shared" si="18"/>
        <v>9.3999999999999915</v>
      </c>
      <c r="H21" s="93">
        <f>H13+H17+H20-SUM(H18:H19)</f>
        <v>208.19999999999965</v>
      </c>
      <c r="I21" s="132">
        <f>I13+I17+I20-SUM(I18:I19)</f>
        <v>128.4000000000002</v>
      </c>
      <c r="J21" s="132">
        <f>J13+J17+J20-SUM(J18:J19)</f>
        <v>-6.6999999999997328</v>
      </c>
      <c r="K21" s="132">
        <f>K13+K17+K20-SUM(K18:K19)</f>
        <v>-63.399999999999437</v>
      </c>
      <c r="L21" s="52"/>
      <c r="M21" s="67" t="s">
        <v>142</v>
      </c>
      <c r="N21" s="68"/>
      <c r="O21" s="69">
        <v>192.6</v>
      </c>
      <c r="P21" s="69">
        <v>188.1</v>
      </c>
      <c r="Q21" s="69">
        <f>186.8+5.5</f>
        <v>192.3</v>
      </c>
      <c r="R21" s="69">
        <f>156.1</f>
        <v>156.1</v>
      </c>
      <c r="S21" s="69">
        <v>152.69999999999999</v>
      </c>
      <c r="T21" s="69">
        <v>136.4</v>
      </c>
      <c r="U21" s="120">
        <v>132.30000000000001</v>
      </c>
      <c r="V21" s="120">
        <v>141.30000000000001</v>
      </c>
      <c r="W21" s="120">
        <v>140.5</v>
      </c>
    </row>
    <row r="22" spans="1:23" x14ac:dyDescent="0.25">
      <c r="A22" s="67" t="s">
        <v>46</v>
      </c>
      <c r="B22" s="68"/>
      <c r="C22" s="69">
        <v>24</v>
      </c>
      <c r="D22" s="69">
        <v>82</v>
      </c>
      <c r="E22" s="69">
        <v>67.8</v>
      </c>
      <c r="F22" s="69">
        <v>-4.0999999999999996</v>
      </c>
      <c r="G22" s="69">
        <v>1.7</v>
      </c>
      <c r="H22" s="69">
        <v>57.2</v>
      </c>
      <c r="I22" s="122">
        <v>33.200000000000003</v>
      </c>
      <c r="J22" s="122">
        <v>-9.5</v>
      </c>
      <c r="K22" s="122">
        <v>-25.5</v>
      </c>
      <c r="L22" s="52"/>
      <c r="M22" s="67" t="s">
        <v>143</v>
      </c>
      <c r="N22" s="68"/>
      <c r="O22" s="69">
        <v>0</v>
      </c>
      <c r="P22" s="69">
        <v>0</v>
      </c>
      <c r="Q22" s="69">
        <v>3.7</v>
      </c>
      <c r="R22" s="69">
        <v>11.1</v>
      </c>
      <c r="S22" s="69">
        <v>27.3</v>
      </c>
      <c r="T22" s="69">
        <v>12.2</v>
      </c>
      <c r="U22" s="120">
        <v>13.1</v>
      </c>
      <c r="V22" s="120">
        <v>5.7</v>
      </c>
      <c r="W22" s="120">
        <v>0</v>
      </c>
    </row>
    <row r="23" spans="1:23" x14ac:dyDescent="0.25">
      <c r="A23" s="82" t="s">
        <v>47</v>
      </c>
      <c r="B23" s="83"/>
      <c r="C23" s="83">
        <f t="shared" ref="C23:E23" si="19">C22/C21</f>
        <v>0.35450516986704911</v>
      </c>
      <c r="D23" s="83">
        <f t="shared" si="19"/>
        <v>0.35344827586206456</v>
      </c>
      <c r="E23" s="83">
        <f t="shared" si="19"/>
        <v>0.47679324894514036</v>
      </c>
      <c r="F23" s="109" t="s">
        <v>157</v>
      </c>
      <c r="G23" s="83">
        <f>G22/G21</f>
        <v>0.18085106382978738</v>
      </c>
      <c r="H23" s="83">
        <f>H22/H21</f>
        <v>0.27473583093179682</v>
      </c>
      <c r="I23" s="131">
        <f>I22/I21</f>
        <v>0.258566978193146</v>
      </c>
      <c r="J23" s="131">
        <f>J22/J21</f>
        <v>1.4179104477612505</v>
      </c>
      <c r="K23" s="131">
        <f>K22/K21</f>
        <v>0.40220820189274803</v>
      </c>
      <c r="L23" s="57"/>
      <c r="M23" s="77" t="s">
        <v>12</v>
      </c>
      <c r="N23" s="68"/>
      <c r="O23" s="69"/>
      <c r="P23" s="69"/>
      <c r="Q23" s="69"/>
      <c r="R23" s="69"/>
      <c r="S23" s="69"/>
      <c r="T23" s="69"/>
      <c r="U23" s="120"/>
      <c r="V23" s="120"/>
      <c r="W23" s="120"/>
    </row>
    <row r="24" spans="1:23" x14ac:dyDescent="0.25">
      <c r="A24" s="82"/>
      <c r="B24" s="83"/>
      <c r="C24" s="83"/>
      <c r="D24" s="83"/>
      <c r="E24" s="83"/>
      <c r="F24" s="83"/>
      <c r="G24" s="83"/>
      <c r="H24" s="83"/>
      <c r="I24" s="131"/>
      <c r="J24" s="131"/>
      <c r="K24" s="131"/>
      <c r="L24" s="58"/>
      <c r="M24" s="78" t="s">
        <v>18</v>
      </c>
      <c r="N24" s="68"/>
      <c r="O24" s="69">
        <v>46.7</v>
      </c>
      <c r="P24" s="69">
        <v>14.5</v>
      </c>
      <c r="Q24" s="69">
        <v>5.7</v>
      </c>
      <c r="R24" s="69">
        <v>9.6</v>
      </c>
      <c r="S24" s="69">
        <v>11</v>
      </c>
      <c r="T24" s="69">
        <v>9.8000000000000007</v>
      </c>
      <c r="U24" s="120">
        <v>11</v>
      </c>
      <c r="V24" s="120">
        <v>12.9</v>
      </c>
      <c r="W24" s="120">
        <v>13</v>
      </c>
    </row>
    <row r="25" spans="1:23" x14ac:dyDescent="0.25">
      <c r="A25" s="70" t="s">
        <v>91</v>
      </c>
      <c r="B25" s="71"/>
      <c r="C25" s="72">
        <f t="shared" ref="C25:F25" si="20">C21-C22</f>
        <v>43.700000000002191</v>
      </c>
      <c r="D25" s="72">
        <f t="shared" si="20"/>
        <v>150.0000000000029</v>
      </c>
      <c r="E25" s="72">
        <f t="shared" si="20"/>
        <v>74.40000000000218</v>
      </c>
      <c r="F25" s="72">
        <f t="shared" si="20"/>
        <v>3.8999999999999257</v>
      </c>
      <c r="G25" s="72">
        <f>G21-G22</f>
        <v>7.6999999999999913</v>
      </c>
      <c r="H25" s="72">
        <f>H21-H22</f>
        <v>150.99999999999966</v>
      </c>
      <c r="I25" s="114">
        <f>I21-I22</f>
        <v>95.200000000000202</v>
      </c>
      <c r="J25" s="114">
        <f>J21-J22</f>
        <v>2.8000000000002672</v>
      </c>
      <c r="K25" s="114">
        <f>K21-K22</f>
        <v>-37.899999999999437</v>
      </c>
      <c r="L25" s="59"/>
      <c r="M25" s="78" t="s">
        <v>13</v>
      </c>
      <c r="N25" s="68"/>
      <c r="O25" s="69">
        <v>19.5</v>
      </c>
      <c r="P25" s="69">
        <v>22</v>
      </c>
      <c r="Q25" s="69">
        <v>31</v>
      </c>
      <c r="R25" s="69">
        <v>16.3</v>
      </c>
      <c r="S25" s="69">
        <v>13.7</v>
      </c>
      <c r="T25" s="69">
        <v>0.8</v>
      </c>
      <c r="U25" s="120">
        <v>6.1</v>
      </c>
      <c r="V25" s="120">
        <v>10.3</v>
      </c>
      <c r="W25" s="120">
        <v>21.7</v>
      </c>
    </row>
    <row r="26" spans="1:23" x14ac:dyDescent="0.25">
      <c r="A26" s="91" t="s">
        <v>92</v>
      </c>
      <c r="B26" s="92"/>
      <c r="C26" s="92">
        <v>0</v>
      </c>
      <c r="D26" s="92">
        <v>0</v>
      </c>
      <c r="E26" s="92">
        <v>0</v>
      </c>
      <c r="F26" s="92">
        <v>0</v>
      </c>
      <c r="G26" s="92">
        <v>0</v>
      </c>
      <c r="H26" s="94">
        <v>0</v>
      </c>
      <c r="I26" s="133">
        <v>0</v>
      </c>
      <c r="J26" s="133">
        <v>0</v>
      </c>
      <c r="K26" s="133">
        <v>0</v>
      </c>
      <c r="L26" s="59"/>
      <c r="M26" s="67" t="s">
        <v>148</v>
      </c>
      <c r="N26" s="68"/>
      <c r="O26" s="69">
        <v>43.2</v>
      </c>
      <c r="P26" s="69">
        <v>16.899999999999999</v>
      </c>
      <c r="Q26" s="69">
        <v>0</v>
      </c>
      <c r="R26" s="69">
        <v>0</v>
      </c>
      <c r="S26" s="69">
        <v>2.6</v>
      </c>
      <c r="T26" s="69">
        <v>10.199999999999999</v>
      </c>
      <c r="U26" s="120">
        <v>11.8</v>
      </c>
      <c r="V26" s="120">
        <v>19.5</v>
      </c>
      <c r="W26" s="120">
        <v>45.6</v>
      </c>
    </row>
    <row r="27" spans="1:23" x14ac:dyDescent="0.25">
      <c r="A27" s="67" t="s">
        <v>46</v>
      </c>
      <c r="B27" s="68"/>
      <c r="C27" s="68">
        <v>0</v>
      </c>
      <c r="D27" s="68">
        <v>0</v>
      </c>
      <c r="E27" s="68">
        <v>0</v>
      </c>
      <c r="F27" s="68">
        <v>0</v>
      </c>
      <c r="G27" s="68">
        <v>0</v>
      </c>
      <c r="H27" s="95">
        <v>0</v>
      </c>
      <c r="I27" s="127">
        <v>0</v>
      </c>
      <c r="J27" s="127">
        <v>0</v>
      </c>
      <c r="K27" s="127">
        <v>0</v>
      </c>
      <c r="L27" s="57"/>
      <c r="M27" s="67" t="s">
        <v>144</v>
      </c>
      <c r="N27" s="68"/>
      <c r="O27" s="69">
        <v>69.400000000000006</v>
      </c>
      <c r="P27" s="69">
        <v>44.5</v>
      </c>
      <c r="Q27" s="69">
        <v>40.200000000000003</v>
      </c>
      <c r="R27" s="69">
        <v>24.7</v>
      </c>
      <c r="S27" s="69">
        <v>23.1</v>
      </c>
      <c r="T27" s="69">
        <v>3.2</v>
      </c>
      <c r="U27" s="120">
        <v>8.6</v>
      </c>
      <c r="V27" s="120">
        <v>33.1</v>
      </c>
      <c r="W27" s="120">
        <v>88.2</v>
      </c>
    </row>
    <row r="28" spans="1:23" x14ac:dyDescent="0.25">
      <c r="A28" s="70" t="s">
        <v>93</v>
      </c>
      <c r="B28" s="71"/>
      <c r="C28" s="71">
        <f t="shared" ref="C28:G28" si="21">C26-C27</f>
        <v>0</v>
      </c>
      <c r="D28" s="71">
        <f t="shared" si="21"/>
        <v>0</v>
      </c>
      <c r="E28" s="71">
        <f t="shared" si="21"/>
        <v>0</v>
      </c>
      <c r="F28" s="71">
        <f t="shared" si="21"/>
        <v>0</v>
      </c>
      <c r="G28" s="71">
        <f t="shared" si="21"/>
        <v>0</v>
      </c>
      <c r="H28" s="71">
        <f>H26-H27</f>
        <v>0</v>
      </c>
      <c r="I28" s="71">
        <f>I26-I27</f>
        <v>0</v>
      </c>
      <c r="J28" s="71">
        <f>J26-J27</f>
        <v>0</v>
      </c>
      <c r="K28" s="71">
        <f>K26-K27</f>
        <v>0</v>
      </c>
      <c r="L28" s="60"/>
      <c r="M28" s="67" t="s">
        <v>14</v>
      </c>
      <c r="N28" s="68"/>
      <c r="O28" s="69">
        <v>279.8</v>
      </c>
      <c r="P28" s="69">
        <v>267</v>
      </c>
      <c r="Q28" s="69">
        <v>261.7</v>
      </c>
      <c r="R28" s="69">
        <v>259.3</v>
      </c>
      <c r="S28" s="69">
        <v>256.3</v>
      </c>
      <c r="T28" s="79">
        <v>257.60000000000002</v>
      </c>
      <c r="U28" s="120">
        <v>258.39999999999998</v>
      </c>
      <c r="V28" s="120">
        <v>16.8</v>
      </c>
      <c r="W28" s="120">
        <v>17.399999999999999</v>
      </c>
    </row>
    <row r="29" spans="1:23" x14ac:dyDescent="0.25">
      <c r="A29" s="70" t="s">
        <v>94</v>
      </c>
      <c r="B29" s="71"/>
      <c r="C29" s="72">
        <f t="shared" ref="C29:E29" si="22">C25+C28</f>
        <v>43.700000000002191</v>
      </c>
      <c r="D29" s="72">
        <f t="shared" si="22"/>
        <v>150.0000000000029</v>
      </c>
      <c r="E29" s="72">
        <f t="shared" si="22"/>
        <v>74.40000000000218</v>
      </c>
      <c r="F29" s="72">
        <f t="shared" ref="F29:K29" si="23">F25+F28</f>
        <v>3.8999999999999257</v>
      </c>
      <c r="G29" s="72">
        <f t="shared" si="23"/>
        <v>7.6999999999999913</v>
      </c>
      <c r="H29" s="72">
        <f t="shared" si="23"/>
        <v>150.99999999999966</v>
      </c>
      <c r="I29" s="114">
        <f t="shared" si="23"/>
        <v>95.200000000000202</v>
      </c>
      <c r="J29" s="114">
        <f>J25+J28</f>
        <v>2.8000000000002672</v>
      </c>
      <c r="K29" s="114">
        <f>K25+K28</f>
        <v>-37.899999999999437</v>
      </c>
      <c r="L29" s="54"/>
      <c r="M29" s="80" t="s">
        <v>9</v>
      </c>
      <c r="N29" s="71"/>
      <c r="O29" s="72">
        <f t="shared" ref="O29:T29" si="24">SUM(O17:O28)</f>
        <v>808.40000000000009</v>
      </c>
      <c r="P29" s="72">
        <f t="shared" si="24"/>
        <v>672.8</v>
      </c>
      <c r="Q29" s="72">
        <f t="shared" si="24"/>
        <v>645.4</v>
      </c>
      <c r="R29" s="72">
        <f t="shared" si="24"/>
        <v>693.5</v>
      </c>
      <c r="S29" s="72">
        <f t="shared" si="24"/>
        <v>627.79999999999995</v>
      </c>
      <c r="T29" s="72">
        <f t="shared" si="24"/>
        <v>558.40000000000009</v>
      </c>
      <c r="U29" s="72">
        <f>SUM(U17:U28)</f>
        <v>669.40000000000009</v>
      </c>
      <c r="V29" s="72">
        <f>SUM(V17:V28)</f>
        <v>664.3</v>
      </c>
      <c r="W29" s="72">
        <f>SUM(W17:W28)</f>
        <v>817.7</v>
      </c>
    </row>
    <row r="30" spans="1:23" x14ac:dyDescent="0.25">
      <c r="A30" s="82" t="s">
        <v>48</v>
      </c>
      <c r="B30" s="83"/>
      <c r="C30" s="106">
        <f t="shared" ref="C30:H30" si="25">C29/C4</f>
        <v>1.7291932937373996E-3</v>
      </c>
      <c r="D30" s="106">
        <f t="shared" si="25"/>
        <v>3.5864403861879703E-3</v>
      </c>
      <c r="E30" s="106">
        <f t="shared" si="25"/>
        <v>2.6987420379855987E-3</v>
      </c>
      <c r="F30" s="83">
        <f>F29/F4</f>
        <v>1.5074211502782645E-3</v>
      </c>
      <c r="G30" s="83">
        <f t="shared" si="25"/>
        <v>3.4283170080142435E-3</v>
      </c>
      <c r="H30" s="83">
        <f t="shared" si="25"/>
        <v>4.9038711353598233E-2</v>
      </c>
      <c r="I30" s="131">
        <f>I29/I4</f>
        <v>2.6931454920931342E-2</v>
      </c>
      <c r="J30" s="131">
        <f>J29/J4</f>
        <v>7.6494372199766882E-4</v>
      </c>
      <c r="K30" s="131">
        <f>K29/K4</f>
        <v>-8.8037166085945268E-3</v>
      </c>
      <c r="L30" s="57"/>
      <c r="M30" s="67"/>
      <c r="N30" s="74"/>
      <c r="O30" s="75"/>
      <c r="P30" s="75"/>
      <c r="Q30" s="75"/>
      <c r="R30" s="75"/>
      <c r="S30" s="69"/>
      <c r="T30" s="69"/>
      <c r="U30" s="69"/>
      <c r="V30" s="69"/>
      <c r="W30" s="69"/>
    </row>
    <row r="31" spans="1:23" x14ac:dyDescent="0.25">
      <c r="A31" s="82" t="s">
        <v>35</v>
      </c>
      <c r="B31" s="83"/>
      <c r="C31" s="83"/>
      <c r="D31" s="83">
        <f t="shared" ref="D31" si="26">D30/C30-1</f>
        <v>1.0740540685514697</v>
      </c>
      <c r="E31" s="83">
        <f>E30/D30-1</f>
        <v>-0.24751515503256605</v>
      </c>
      <c r="F31" s="111">
        <f t="shared" ref="F31:K31" si="27">F25/E25-1</f>
        <v>-0.94758064516129281</v>
      </c>
      <c r="G31" s="111">
        <f t="shared" si="27"/>
        <v>0.97435897435900976</v>
      </c>
      <c r="H31" s="111">
        <f t="shared" si="27"/>
        <v>18.610389610389589</v>
      </c>
      <c r="I31" s="130">
        <f t="shared" si="27"/>
        <v>-0.36953642384105689</v>
      </c>
      <c r="J31" s="130">
        <f>J25/I25-1</f>
        <v>-0.97058823529411486</v>
      </c>
      <c r="K31" s="130">
        <f>K25/J25-1</f>
        <v>-14.535714285712793</v>
      </c>
      <c r="L31" s="57"/>
      <c r="M31" s="76" t="s">
        <v>15</v>
      </c>
      <c r="N31" s="68"/>
      <c r="O31" s="69"/>
      <c r="P31" s="69"/>
      <c r="Q31" s="69"/>
      <c r="R31" s="69"/>
      <c r="S31" s="69"/>
      <c r="T31" s="69"/>
      <c r="U31" s="69"/>
      <c r="V31" s="69"/>
      <c r="W31" s="69"/>
    </row>
    <row r="32" spans="1:23" x14ac:dyDescent="0.25">
      <c r="A32" s="82" t="s">
        <v>36</v>
      </c>
      <c r="B32" s="84"/>
      <c r="C32" s="85"/>
      <c r="D32" s="85"/>
      <c r="E32" s="83"/>
      <c r="F32" s="111">
        <f t="shared" ref="F32:K32" si="28">((F25/C25)^(1/3)-1)</f>
        <v>-0.5531164277178976</v>
      </c>
      <c r="G32" s="111">
        <f t="shared" si="28"/>
        <v>-0.62835084015155251</v>
      </c>
      <c r="H32" s="111">
        <f t="shared" si="28"/>
        <v>0.26609998579589211</v>
      </c>
      <c r="I32" s="130">
        <f t="shared" si="28"/>
        <v>1.9008422607155109</v>
      </c>
      <c r="J32" s="130">
        <f>((J25/G25)^(1/3)-1)</f>
        <v>-0.28623414449636886</v>
      </c>
      <c r="K32" s="130">
        <f>((K25/H25)^(1/3)-1)</f>
        <v>-1.6307938070364276</v>
      </c>
      <c r="L32" s="56"/>
      <c r="M32" s="67" t="s">
        <v>16</v>
      </c>
      <c r="N32" s="68"/>
      <c r="O32" s="69">
        <v>1532.7</v>
      </c>
      <c r="P32" s="69">
        <v>4854</v>
      </c>
      <c r="Q32" s="69">
        <v>316.10000000000002</v>
      </c>
      <c r="R32" s="69">
        <v>306.7</v>
      </c>
      <c r="S32" s="69">
        <v>369.6</v>
      </c>
      <c r="T32" s="69">
        <v>469.2</v>
      </c>
      <c r="U32" s="120">
        <v>619.4</v>
      </c>
      <c r="V32" s="120">
        <v>551.29999999999995</v>
      </c>
      <c r="W32" s="120">
        <v>646.9</v>
      </c>
    </row>
    <row r="33" spans="1:23" x14ac:dyDescent="0.25">
      <c r="A33" s="96"/>
      <c r="B33" s="97"/>
      <c r="C33" s="97"/>
      <c r="D33" s="97"/>
      <c r="E33" s="98"/>
      <c r="F33" s="98"/>
      <c r="G33" s="98"/>
      <c r="H33" s="98"/>
      <c r="I33" s="125"/>
      <c r="J33" s="125"/>
      <c r="K33" s="125"/>
      <c r="L33" s="56"/>
      <c r="M33" s="77" t="s">
        <v>12</v>
      </c>
      <c r="N33" s="68"/>
      <c r="O33" s="69"/>
      <c r="P33" s="69"/>
      <c r="Q33" s="69"/>
      <c r="R33" s="69"/>
      <c r="S33" s="69"/>
      <c r="T33" s="69"/>
      <c r="U33" s="120"/>
      <c r="V33" s="120"/>
      <c r="W33" s="120"/>
    </row>
    <row r="34" spans="1:23" x14ac:dyDescent="0.25">
      <c r="A34" s="67" t="s">
        <v>49</v>
      </c>
      <c r="B34" s="68"/>
      <c r="C34" s="69">
        <v>-3.3</v>
      </c>
      <c r="D34" s="69">
        <v>-2.1</v>
      </c>
      <c r="E34" s="69">
        <v>0.6</v>
      </c>
      <c r="F34" s="69">
        <v>-0.6</v>
      </c>
      <c r="G34" s="69">
        <v>4</v>
      </c>
      <c r="H34" s="69">
        <v>-5.5</v>
      </c>
      <c r="I34" s="122">
        <v>-3.4</v>
      </c>
      <c r="J34" s="122">
        <v>4.0999999999999996</v>
      </c>
      <c r="K34" s="122">
        <f>-3+0.8</f>
        <v>-2.2000000000000002</v>
      </c>
      <c r="L34" s="51"/>
      <c r="M34" s="78" t="s">
        <v>18</v>
      </c>
      <c r="N34" s="68"/>
      <c r="O34" s="69">
        <v>0</v>
      </c>
      <c r="P34" s="69">
        <v>0</v>
      </c>
      <c r="Q34" s="69">
        <v>150.6</v>
      </c>
      <c r="R34" s="69">
        <v>1.9</v>
      </c>
      <c r="S34" s="69">
        <v>159.4</v>
      </c>
      <c r="T34" s="69">
        <v>336.3</v>
      </c>
      <c r="U34" s="120">
        <v>113.4</v>
      </c>
      <c r="V34" s="120">
        <v>250.3</v>
      </c>
      <c r="W34" s="120">
        <v>67.099999999999994</v>
      </c>
    </row>
    <row r="35" spans="1:23" x14ac:dyDescent="0.25">
      <c r="A35" s="73" t="s">
        <v>54</v>
      </c>
      <c r="B35" s="74"/>
      <c r="C35" s="75">
        <f t="shared" ref="C35:F35" si="29">C29+C34</f>
        <v>40.400000000002194</v>
      </c>
      <c r="D35" s="75">
        <f t="shared" si="29"/>
        <v>147.9000000000029</v>
      </c>
      <c r="E35" s="75">
        <f t="shared" si="29"/>
        <v>75.000000000002174</v>
      </c>
      <c r="F35" s="75">
        <f t="shared" si="29"/>
        <v>3.2999999999999257</v>
      </c>
      <c r="G35" s="75">
        <f>G29+G34</f>
        <v>11.699999999999992</v>
      </c>
      <c r="H35" s="75">
        <f>H29+H34</f>
        <v>145.49999999999966</v>
      </c>
      <c r="I35" s="126">
        <f>I29+I34</f>
        <v>91.800000000000196</v>
      </c>
      <c r="J35" s="126">
        <f>J29+J34</f>
        <v>6.9000000000002668</v>
      </c>
      <c r="K35" s="126">
        <f>K34+K29</f>
        <v>-40.09999999999944</v>
      </c>
      <c r="L35" s="51"/>
      <c r="M35" s="78" t="s">
        <v>17</v>
      </c>
      <c r="N35" s="68"/>
      <c r="O35" s="69">
        <v>1273.8</v>
      </c>
      <c r="P35" s="69">
        <v>4008.7</v>
      </c>
      <c r="Q35" s="69">
        <v>256.3</v>
      </c>
      <c r="R35" s="69">
        <v>425.4</v>
      </c>
      <c r="S35" s="69">
        <v>276.7</v>
      </c>
      <c r="T35" s="69">
        <v>351.5</v>
      </c>
      <c r="U35" s="120">
        <v>464.5</v>
      </c>
      <c r="V35" s="120">
        <v>627.5</v>
      </c>
      <c r="W35" s="120">
        <v>719.7</v>
      </c>
    </row>
    <row r="36" spans="1:23" x14ac:dyDescent="0.25">
      <c r="A36" s="82" t="s">
        <v>35</v>
      </c>
      <c r="B36" s="83"/>
      <c r="C36" s="83"/>
      <c r="D36" s="83">
        <f t="shared" ref="D36:E36" si="30">D35/C35-1</f>
        <v>2.6608910891087838</v>
      </c>
      <c r="E36" s="83">
        <f t="shared" si="30"/>
        <v>-0.49290060851926498</v>
      </c>
      <c r="F36" s="83">
        <f t="shared" ref="F36:K36" si="31">F35/E35-1</f>
        <v>-0.95600000000000229</v>
      </c>
      <c r="G36" s="83">
        <f t="shared" si="31"/>
        <v>2.5454545454546231</v>
      </c>
      <c r="H36" s="83">
        <f t="shared" si="31"/>
        <v>11.435897435897415</v>
      </c>
      <c r="I36" s="131">
        <f t="shared" si="31"/>
        <v>-0.36907216494845074</v>
      </c>
      <c r="J36" s="131">
        <f>J35/I35-1</f>
        <v>-0.92483660130718681</v>
      </c>
      <c r="K36" s="131">
        <f>K35/J35-1</f>
        <v>-6.8115942028982452</v>
      </c>
      <c r="L36" s="52"/>
      <c r="M36" s="78" t="s">
        <v>19</v>
      </c>
      <c r="N36" s="68"/>
      <c r="O36" s="69">
        <v>133.9</v>
      </c>
      <c r="P36" s="69">
        <v>323.8</v>
      </c>
      <c r="Q36" s="69">
        <v>31.7</v>
      </c>
      <c r="R36" s="69">
        <v>138.4</v>
      </c>
      <c r="S36" s="69">
        <v>80.8</v>
      </c>
      <c r="T36" s="69">
        <v>103.6</v>
      </c>
      <c r="U36" s="120">
        <v>90.8</v>
      </c>
      <c r="V36" s="120">
        <v>31.2</v>
      </c>
      <c r="W36" s="120">
        <v>26.5</v>
      </c>
    </row>
    <row r="37" spans="1:23" x14ac:dyDescent="0.25">
      <c r="A37" s="82" t="s">
        <v>36</v>
      </c>
      <c r="B37" s="84"/>
      <c r="C37" s="84"/>
      <c r="D37" s="84"/>
      <c r="E37" s="83"/>
      <c r="F37" s="83">
        <f t="shared" ref="F37:K37" si="32">((F35/C35)^(1/3)-1)</f>
        <v>-0.5661121140240204</v>
      </c>
      <c r="G37" s="83">
        <f t="shared" si="32"/>
        <v>-0.57072140960991125</v>
      </c>
      <c r="H37" s="83">
        <f t="shared" si="32"/>
        <v>0.24719370447909927</v>
      </c>
      <c r="I37" s="131">
        <f t="shared" si="32"/>
        <v>2.030001990296757</v>
      </c>
      <c r="J37" s="131">
        <f>((J35/G35)^(1/3)-1)</f>
        <v>-0.16140086584399904</v>
      </c>
      <c r="K37" s="131">
        <f>((K35/H35)^(1/3)-1)</f>
        <v>-1.6507694041409404</v>
      </c>
      <c r="L37" s="57"/>
      <c r="M37" s="78" t="s">
        <v>20</v>
      </c>
      <c r="N37" s="68"/>
      <c r="O37" s="69">
        <v>0</v>
      </c>
      <c r="P37" s="69">
        <v>72.400000000000006</v>
      </c>
      <c r="Q37" s="69">
        <v>51.2</v>
      </c>
      <c r="R37" s="69">
        <v>2.1</v>
      </c>
      <c r="S37" s="69">
        <v>5.0999999999999996</v>
      </c>
      <c r="T37" s="69">
        <v>5.7</v>
      </c>
      <c r="U37" s="120">
        <v>22.7</v>
      </c>
      <c r="V37" s="120">
        <v>12.8</v>
      </c>
      <c r="W37" s="120">
        <v>25.6</v>
      </c>
    </row>
    <row r="38" spans="1:23" x14ac:dyDescent="0.25">
      <c r="A38" s="67" t="s">
        <v>50</v>
      </c>
      <c r="B38" s="68"/>
      <c r="C38" s="68"/>
      <c r="D38" s="68"/>
      <c r="E38" s="68"/>
      <c r="F38" s="68"/>
      <c r="G38" s="68"/>
      <c r="H38" s="67"/>
      <c r="I38" s="128"/>
      <c r="J38" s="128"/>
      <c r="K38" s="128"/>
      <c r="L38" s="51"/>
      <c r="M38" s="78" t="s">
        <v>13</v>
      </c>
      <c r="N38" s="68"/>
      <c r="O38" s="69">
        <v>54.6</v>
      </c>
      <c r="P38" s="69">
        <v>63.5</v>
      </c>
      <c r="Q38" s="69">
        <v>98.4</v>
      </c>
      <c r="R38" s="69">
        <v>85.8</v>
      </c>
      <c r="S38" s="69">
        <v>89.4</v>
      </c>
      <c r="T38" s="69">
        <v>105.8</v>
      </c>
      <c r="U38" s="120">
        <v>96</v>
      </c>
      <c r="V38" s="120">
        <v>120</v>
      </c>
      <c r="W38" s="120">
        <v>127.1</v>
      </c>
    </row>
    <row r="39" spans="1:23" x14ac:dyDescent="0.25">
      <c r="A39" s="78" t="s">
        <v>55</v>
      </c>
      <c r="B39" s="68"/>
      <c r="C39" s="68">
        <v>3.04</v>
      </c>
      <c r="D39" s="68">
        <v>8.68</v>
      </c>
      <c r="E39" s="68">
        <v>4</v>
      </c>
      <c r="F39" s="68">
        <v>0.21</v>
      </c>
      <c r="G39" s="99">
        <v>0.41</v>
      </c>
      <c r="H39" s="68">
        <v>8.1</v>
      </c>
      <c r="I39" s="129">
        <v>5.1100000000000003</v>
      </c>
      <c r="J39" s="129">
        <v>0.15</v>
      </c>
      <c r="K39" s="129">
        <v>-2.0299999999999998</v>
      </c>
      <c r="L39" s="51"/>
      <c r="M39" s="67" t="s">
        <v>21</v>
      </c>
      <c r="N39" s="68"/>
      <c r="O39" s="69">
        <v>33.9</v>
      </c>
      <c r="P39" s="69">
        <v>311.3</v>
      </c>
      <c r="Q39" s="69">
        <v>97.5</v>
      </c>
      <c r="R39" s="69">
        <v>129.1</v>
      </c>
      <c r="S39" s="69">
        <v>88.7</v>
      </c>
      <c r="T39" s="69">
        <v>95.6</v>
      </c>
      <c r="U39" s="120">
        <v>136.1</v>
      </c>
      <c r="V39" s="120">
        <v>185.4</v>
      </c>
      <c r="W39" s="120">
        <v>176.4</v>
      </c>
    </row>
    <row r="40" spans="1:23" x14ac:dyDescent="0.25">
      <c r="A40" s="78" t="s">
        <v>56</v>
      </c>
      <c r="B40" s="68"/>
      <c r="C40" s="68">
        <v>3.02</v>
      </c>
      <c r="D40" s="68">
        <v>8.58</v>
      </c>
      <c r="E40" s="68">
        <v>3.99</v>
      </c>
      <c r="F40" s="68">
        <v>0.21</v>
      </c>
      <c r="G40" s="99">
        <v>0.41</v>
      </c>
      <c r="H40" s="68">
        <v>8.1</v>
      </c>
      <c r="I40" s="129">
        <v>5.1100000000000003</v>
      </c>
      <c r="J40" s="129">
        <v>0.15</v>
      </c>
      <c r="K40" s="129">
        <v>-2.0299999999999998</v>
      </c>
      <c r="L40" s="49"/>
      <c r="M40" s="80" t="s">
        <v>15</v>
      </c>
      <c r="N40" s="71"/>
      <c r="O40" s="72">
        <f t="shared" ref="O40:Q40" si="33">SUM(O32:O39)</f>
        <v>3028.9</v>
      </c>
      <c r="P40" s="72">
        <f t="shared" si="33"/>
        <v>9633.6999999999989</v>
      </c>
      <c r="Q40" s="72">
        <f t="shared" si="33"/>
        <v>1001.8000000000001</v>
      </c>
      <c r="R40" s="72">
        <f>SUM(R32:R39)</f>
        <v>1089.3999999999999</v>
      </c>
      <c r="S40" s="72">
        <f>SUM(S32:S39)</f>
        <v>1069.7</v>
      </c>
      <c r="T40" s="72">
        <f t="shared" ref="T40" si="34">SUM(T32:T39)</f>
        <v>1467.6999999999998</v>
      </c>
      <c r="U40" s="72">
        <f t="shared" ref="U40" si="35">SUM(U32:U39)</f>
        <v>1542.8999999999999</v>
      </c>
      <c r="V40" s="72">
        <f>SUM(V32:V39)</f>
        <v>1778.5</v>
      </c>
      <c r="W40" s="72">
        <f>SUM(W32:W39)</f>
        <v>1789.3</v>
      </c>
    </row>
    <row r="41" spans="1:23" x14ac:dyDescent="0.25">
      <c r="A41" s="82" t="s">
        <v>35</v>
      </c>
      <c r="B41" s="83"/>
      <c r="C41" s="83"/>
      <c r="D41" s="83">
        <f t="shared" ref="D41:E41" si="36">D40/C40-1</f>
        <v>1.8410596026490067</v>
      </c>
      <c r="E41" s="83">
        <f t="shared" si="36"/>
        <v>-0.534965034965035</v>
      </c>
      <c r="F41" s="83">
        <f t="shared" ref="F41:K41" si="37">F40/E40-1</f>
        <v>-0.94736842105263164</v>
      </c>
      <c r="G41" s="83">
        <f t="shared" si="37"/>
        <v>0.95238095238095233</v>
      </c>
      <c r="H41" s="83">
        <f t="shared" si="37"/>
        <v>18.756097560975611</v>
      </c>
      <c r="I41" s="131">
        <f t="shared" si="37"/>
        <v>-0.36913580246913569</v>
      </c>
      <c r="J41" s="131">
        <f>J40/I40-1</f>
        <v>-0.97064579256360073</v>
      </c>
      <c r="K41" s="131">
        <f>K40/J40-1</f>
        <v>-14.533333333333333</v>
      </c>
      <c r="L41" s="49"/>
      <c r="M41" s="139"/>
      <c r="N41" s="140"/>
      <c r="O41" s="140"/>
      <c r="P41" s="140"/>
      <c r="Q41" s="140"/>
      <c r="R41" s="140"/>
      <c r="S41" s="140"/>
      <c r="T41" s="140"/>
      <c r="U41" s="140"/>
      <c r="V41" s="140"/>
      <c r="W41" s="143"/>
    </row>
    <row r="42" spans="1:23" x14ac:dyDescent="0.25">
      <c r="A42" s="82" t="s">
        <v>36</v>
      </c>
      <c r="B42" s="84"/>
      <c r="C42" s="84"/>
      <c r="D42" s="84"/>
      <c r="E42" s="83"/>
      <c r="F42" s="83">
        <f t="shared" ref="F42:K42" si="38">((F40/C40)^(1/3)-1)</f>
        <v>-0.58878326178086904</v>
      </c>
      <c r="G42" s="83">
        <f t="shared" si="38"/>
        <v>-0.63711791937743401</v>
      </c>
      <c r="H42" s="83">
        <f t="shared" si="38"/>
        <v>0.26620504935945388</v>
      </c>
      <c r="I42" s="131">
        <f t="shared" si="38"/>
        <v>1.8977919511464481</v>
      </c>
      <c r="J42" s="131">
        <f>((J40/G40)^(1/3)-1)</f>
        <v>-0.28478633960523436</v>
      </c>
      <c r="K42" s="131">
        <f>((K40/H40)^(1/3)-1)</f>
        <v>-1.6304785848231396</v>
      </c>
      <c r="L42" s="49"/>
      <c r="M42" s="70" t="s">
        <v>95</v>
      </c>
      <c r="N42" s="71"/>
      <c r="O42" s="72">
        <v>0</v>
      </c>
      <c r="P42" s="72">
        <v>0</v>
      </c>
      <c r="Q42" s="72">
        <v>0</v>
      </c>
      <c r="R42" s="72">
        <v>0</v>
      </c>
      <c r="S42" s="72">
        <v>0</v>
      </c>
      <c r="T42" s="72">
        <v>0</v>
      </c>
      <c r="U42" s="72">
        <v>0</v>
      </c>
      <c r="V42" s="72">
        <v>0</v>
      </c>
      <c r="W42" s="72">
        <v>0</v>
      </c>
    </row>
    <row r="43" spans="1:23" x14ac:dyDescent="0.25">
      <c r="A43" s="144"/>
      <c r="B43" s="141"/>
      <c r="C43" s="141"/>
      <c r="D43" s="141"/>
      <c r="E43" s="141"/>
      <c r="F43" s="141"/>
      <c r="G43" s="141"/>
      <c r="H43" s="141"/>
      <c r="I43" s="141"/>
      <c r="J43" s="141"/>
      <c r="K43" s="141"/>
      <c r="L43" s="51"/>
      <c r="M43" s="67"/>
      <c r="N43" s="68"/>
      <c r="O43" s="69"/>
      <c r="P43" s="69"/>
      <c r="Q43" s="69"/>
      <c r="R43" s="69"/>
      <c r="S43" s="69"/>
      <c r="T43" s="69"/>
      <c r="U43" s="69"/>
      <c r="V43" s="69"/>
      <c r="W43" s="69"/>
    </row>
    <row r="44" spans="1:23" x14ac:dyDescent="0.25">
      <c r="A44" s="100" t="s">
        <v>57</v>
      </c>
      <c r="B44" s="66"/>
      <c r="C44" s="66" t="s">
        <v>33</v>
      </c>
      <c r="D44" s="66" t="s">
        <v>32</v>
      </c>
      <c r="E44" s="66" t="s">
        <v>1</v>
      </c>
      <c r="F44" s="66" t="s">
        <v>2</v>
      </c>
      <c r="G44" s="66" t="s">
        <v>51</v>
      </c>
      <c r="H44" s="66" t="s">
        <v>138</v>
      </c>
      <c r="I44" s="112" t="s">
        <v>159</v>
      </c>
      <c r="J44" s="66" t="s">
        <v>161</v>
      </c>
      <c r="K44" s="66" t="s">
        <v>163</v>
      </c>
      <c r="L44" s="51"/>
      <c r="M44" s="77" t="s">
        <v>22</v>
      </c>
      <c r="N44" s="68"/>
      <c r="O44" s="69"/>
      <c r="P44" s="69"/>
      <c r="Q44" s="69"/>
      <c r="R44" s="69"/>
      <c r="S44" s="69"/>
      <c r="T44" s="69"/>
      <c r="U44" s="69"/>
      <c r="V44" s="69"/>
      <c r="W44" s="69"/>
    </row>
    <row r="45" spans="1:23" x14ac:dyDescent="0.25">
      <c r="A45" s="67" t="s">
        <v>58</v>
      </c>
      <c r="B45" s="67"/>
      <c r="C45" s="69">
        <v>74</v>
      </c>
      <c r="D45" s="69">
        <v>133.9</v>
      </c>
      <c r="E45" s="69">
        <v>322.5</v>
      </c>
      <c r="F45" s="69">
        <v>31.7</v>
      </c>
      <c r="G45" s="69">
        <f>F50</f>
        <v>138.5</v>
      </c>
      <c r="H45" s="69">
        <v>80.8</v>
      </c>
      <c r="I45" s="122">
        <f>H50</f>
        <v>103.60000000000002</v>
      </c>
      <c r="J45" s="120">
        <f>I50</f>
        <v>90.800000000000011</v>
      </c>
      <c r="K45" s="120">
        <f>J50</f>
        <v>31.200000000000045</v>
      </c>
      <c r="L45" s="49"/>
      <c r="M45" s="67" t="s">
        <v>155</v>
      </c>
      <c r="N45" s="68"/>
      <c r="O45" s="69">
        <v>0</v>
      </c>
      <c r="P45" s="69">
        <v>0</v>
      </c>
      <c r="Q45" s="69">
        <v>0</v>
      </c>
      <c r="R45" s="69">
        <v>59.8</v>
      </c>
      <c r="S45" s="69">
        <v>31.5</v>
      </c>
      <c r="T45" s="69">
        <v>23.9</v>
      </c>
      <c r="U45" s="120">
        <v>14.5</v>
      </c>
      <c r="V45" s="120">
        <v>28</v>
      </c>
      <c r="W45" s="120">
        <v>7.2</v>
      </c>
    </row>
    <row r="46" spans="1:23" x14ac:dyDescent="0.25">
      <c r="A46" s="78" t="s">
        <v>59</v>
      </c>
      <c r="B46" s="67"/>
      <c r="C46" s="69">
        <v>189.4</v>
      </c>
      <c r="D46" s="69">
        <v>309.89999999999998</v>
      </c>
      <c r="E46" s="69">
        <v>-59.9</v>
      </c>
      <c r="F46" s="69">
        <v>-59</v>
      </c>
      <c r="G46" s="69">
        <v>338.4</v>
      </c>
      <c r="H46" s="69">
        <v>262.3</v>
      </c>
      <c r="I46" s="122">
        <v>-83.4</v>
      </c>
      <c r="J46" s="120">
        <v>137.80000000000001</v>
      </c>
      <c r="K46" s="120">
        <v>56.1</v>
      </c>
      <c r="L46" s="49"/>
      <c r="M46" s="67" t="s">
        <v>23</v>
      </c>
      <c r="N46" s="68"/>
      <c r="O46" s="69">
        <v>2802.7</v>
      </c>
      <c r="P46" s="69">
        <v>9302.9</v>
      </c>
      <c r="Q46" s="69">
        <v>578.70000000000005</v>
      </c>
      <c r="R46" s="69">
        <f>4.5+526.7</f>
        <v>531.20000000000005</v>
      </c>
      <c r="S46" s="69">
        <f>32.8+570.2</f>
        <v>603</v>
      </c>
      <c r="T46" s="69">
        <f>641.1+38.3</f>
        <v>679.4</v>
      </c>
      <c r="U46" s="120">
        <f>623.9+58</f>
        <v>681.9</v>
      </c>
      <c r="V46" s="120">
        <f>677.5+41.2</f>
        <v>718.7</v>
      </c>
      <c r="W46" s="120">
        <f>55.5+782.5</f>
        <v>838</v>
      </c>
    </row>
    <row r="47" spans="1:23" x14ac:dyDescent="0.25">
      <c r="A47" s="78" t="s">
        <v>60</v>
      </c>
      <c r="B47" s="67"/>
      <c r="C47" s="69">
        <v>-5.9</v>
      </c>
      <c r="D47" s="69">
        <v>85.2</v>
      </c>
      <c r="E47" s="69">
        <v>-160</v>
      </c>
      <c r="F47" s="69">
        <v>170.8</v>
      </c>
      <c r="G47" s="69">
        <v>-186.1</v>
      </c>
      <c r="H47" s="69">
        <v>-201.7</v>
      </c>
      <c r="I47" s="122">
        <v>61.4</v>
      </c>
      <c r="J47" s="120">
        <v>-386.9</v>
      </c>
      <c r="K47" s="120">
        <v>116.2</v>
      </c>
      <c r="L47" s="49"/>
      <c r="M47" s="67" t="s">
        <v>30</v>
      </c>
      <c r="N47" s="68"/>
      <c r="O47" s="69">
        <v>40.799999999999997</v>
      </c>
      <c r="P47" s="69">
        <v>28.5</v>
      </c>
      <c r="Q47" s="69">
        <v>49.3</v>
      </c>
      <c r="R47" s="69">
        <v>53.1</v>
      </c>
      <c r="S47" s="69">
        <v>71.900000000000006</v>
      </c>
      <c r="T47" s="69">
        <v>151.69999999999999</v>
      </c>
      <c r="U47" s="120">
        <v>147.80000000000001</v>
      </c>
      <c r="V47" s="120">
        <v>134.30000000000001</v>
      </c>
      <c r="W47" s="120">
        <v>168.4</v>
      </c>
    </row>
    <row r="48" spans="1:23" x14ac:dyDescent="0.25">
      <c r="A48" s="78" t="s">
        <v>61</v>
      </c>
      <c r="B48" s="67"/>
      <c r="C48" s="69">
        <v>-123.6</v>
      </c>
      <c r="D48" s="69">
        <v>-205.2</v>
      </c>
      <c r="E48" s="69">
        <v>-70.900000000000006</v>
      </c>
      <c r="F48" s="69">
        <v>-5</v>
      </c>
      <c r="G48" s="69">
        <v>-209.9</v>
      </c>
      <c r="H48" s="69">
        <v>-37.799999999999997</v>
      </c>
      <c r="I48" s="122">
        <v>9.1999999999999993</v>
      </c>
      <c r="J48" s="120">
        <v>189.5</v>
      </c>
      <c r="K48" s="120">
        <v>-176.8</v>
      </c>
      <c r="L48" s="49"/>
      <c r="M48" s="67" t="s">
        <v>29</v>
      </c>
      <c r="N48" s="67"/>
      <c r="O48" s="69">
        <v>35.200000000000003</v>
      </c>
      <c r="P48" s="69">
        <v>54.5</v>
      </c>
      <c r="Q48" s="69">
        <v>62.8</v>
      </c>
      <c r="R48" s="69">
        <v>72.7</v>
      </c>
      <c r="S48" s="69">
        <v>64.7</v>
      </c>
      <c r="T48" s="69">
        <v>83.7</v>
      </c>
      <c r="U48" s="120">
        <v>78</v>
      </c>
      <c r="V48" s="120">
        <v>118.6</v>
      </c>
      <c r="W48" s="120">
        <v>173.9</v>
      </c>
    </row>
    <row r="49" spans="1:24" x14ac:dyDescent="0.25">
      <c r="A49" s="101" t="s">
        <v>62</v>
      </c>
      <c r="B49" s="67"/>
      <c r="C49" s="102">
        <f>SUM(C46:C48)</f>
        <v>59.900000000000006</v>
      </c>
      <c r="D49" s="102">
        <f>SUM(D46:D48)</f>
        <v>189.89999999999998</v>
      </c>
      <c r="E49" s="102">
        <f>SUM(E46:E48)</f>
        <v>-290.8</v>
      </c>
      <c r="F49" s="102">
        <f>SUM(F46:F48)</f>
        <v>106.80000000000001</v>
      </c>
      <c r="G49" s="102">
        <f t="shared" ref="G49:H49" si="39">SUM(G46:G48)</f>
        <v>-57.600000000000023</v>
      </c>
      <c r="H49" s="102">
        <f t="shared" si="39"/>
        <v>22.800000000000026</v>
      </c>
      <c r="I49" s="116">
        <f>SUM(I46:I48)</f>
        <v>-12.800000000000008</v>
      </c>
      <c r="J49" s="102">
        <f>SUM(J46:J48)</f>
        <v>-59.599999999999966</v>
      </c>
      <c r="K49" s="102">
        <f>SUM(K46:K48)</f>
        <v>-4.5</v>
      </c>
      <c r="L49" s="49"/>
      <c r="M49" s="67" t="s">
        <v>24</v>
      </c>
      <c r="N49" s="68"/>
      <c r="O49" s="69">
        <v>0</v>
      </c>
      <c r="P49" s="69">
        <v>0</v>
      </c>
      <c r="Q49" s="69">
        <v>0</v>
      </c>
      <c r="R49" s="69">
        <v>0</v>
      </c>
      <c r="S49" s="69">
        <v>0</v>
      </c>
      <c r="T49" s="69">
        <v>13</v>
      </c>
      <c r="U49" s="120">
        <v>0</v>
      </c>
      <c r="V49" s="120">
        <v>0</v>
      </c>
      <c r="W49" s="120">
        <v>0</v>
      </c>
    </row>
    <row r="50" spans="1:24" x14ac:dyDescent="0.25">
      <c r="A50" s="70" t="s">
        <v>63</v>
      </c>
      <c r="B50" s="71"/>
      <c r="C50" s="72">
        <f>C45+C49</f>
        <v>133.9</v>
      </c>
      <c r="D50" s="72">
        <f>D45+D49</f>
        <v>323.79999999999995</v>
      </c>
      <c r="E50" s="72">
        <f t="shared" ref="E50" si="40">E45+E49</f>
        <v>31.699999999999989</v>
      </c>
      <c r="F50" s="72">
        <f t="shared" ref="F50:J50" si="41">F45+F49</f>
        <v>138.5</v>
      </c>
      <c r="G50" s="72">
        <f t="shared" si="41"/>
        <v>80.899999999999977</v>
      </c>
      <c r="H50" s="72">
        <f t="shared" si="41"/>
        <v>103.60000000000002</v>
      </c>
      <c r="I50" s="114">
        <f t="shared" si="41"/>
        <v>90.800000000000011</v>
      </c>
      <c r="J50" s="72">
        <f t="shared" si="41"/>
        <v>31.200000000000045</v>
      </c>
      <c r="K50" s="72">
        <f>K45+K49</f>
        <v>26.700000000000045</v>
      </c>
      <c r="L50" s="49"/>
      <c r="M50" s="67" t="s">
        <v>31</v>
      </c>
      <c r="N50" s="68"/>
      <c r="O50" s="69">
        <v>42</v>
      </c>
      <c r="P50" s="69">
        <v>32.700000000000003</v>
      </c>
      <c r="Q50" s="69">
        <v>47.6</v>
      </c>
      <c r="R50" s="69">
        <v>38.700000000000003</v>
      </c>
      <c r="S50" s="69">
        <v>59</v>
      </c>
      <c r="T50" s="69">
        <v>65.8</v>
      </c>
      <c r="U50" s="120">
        <v>136.4</v>
      </c>
      <c r="V50" s="120">
        <v>74.400000000000006</v>
      </c>
      <c r="W50" s="120">
        <v>65.599999999999994</v>
      </c>
    </row>
    <row r="51" spans="1:24" x14ac:dyDescent="0.25">
      <c r="A51" s="67"/>
      <c r="B51" s="67"/>
      <c r="C51" s="108">
        <f>C46/C13</f>
        <v>1.5079617834394643</v>
      </c>
      <c r="D51" s="108">
        <f>D46/D13</f>
        <v>1.3283326189455469</v>
      </c>
      <c r="E51" s="108">
        <f>E46/E13</f>
        <v>-0.32984581497796961</v>
      </c>
      <c r="F51" s="108">
        <f t="shared" ref="F51:J51" si="42">F46/F13</f>
        <v>-0.54078826764436339</v>
      </c>
      <c r="G51" s="108">
        <f t="shared" si="42"/>
        <v>3.9578947368421051</v>
      </c>
      <c r="H51" s="108">
        <f t="shared" si="42"/>
        <v>0.99393709738537461</v>
      </c>
      <c r="I51" s="108">
        <f t="shared" si="42"/>
        <v>-0.42163801820020186</v>
      </c>
      <c r="J51" s="108">
        <f>J46/J13</f>
        <v>1.4474789915966346</v>
      </c>
      <c r="K51" s="108">
        <f>K46/K13</f>
        <v>0.48825065274151208</v>
      </c>
      <c r="L51" s="49"/>
      <c r="M51" s="70" t="s">
        <v>22</v>
      </c>
      <c r="N51" s="71"/>
      <c r="O51" s="72">
        <f>SUM(O45:O50)</f>
        <v>2920.7</v>
      </c>
      <c r="P51" s="72">
        <f t="shared" ref="P51:T51" si="43">SUM(P45:P50)</f>
        <v>9418.6</v>
      </c>
      <c r="Q51" s="72">
        <f t="shared" si="43"/>
        <v>738.4</v>
      </c>
      <c r="R51" s="72">
        <f t="shared" si="43"/>
        <v>755.50000000000011</v>
      </c>
      <c r="S51" s="72">
        <f t="shared" si="43"/>
        <v>830.1</v>
      </c>
      <c r="T51" s="72">
        <f t="shared" si="43"/>
        <v>1017.5</v>
      </c>
      <c r="U51" s="72">
        <f t="shared" ref="U51" si="44">SUM(U45:U50)</f>
        <v>1058.6000000000001</v>
      </c>
      <c r="V51" s="72">
        <f>SUM(V45:V50)</f>
        <v>1074</v>
      </c>
      <c r="W51" s="72">
        <f>SUM(W45:W50)</f>
        <v>1253.0999999999999</v>
      </c>
    </row>
    <row r="52" spans="1:24" x14ac:dyDescent="0.25">
      <c r="A52" s="142"/>
      <c r="B52" s="142"/>
      <c r="C52" s="142"/>
      <c r="D52" s="142"/>
      <c r="E52" s="142"/>
      <c r="F52" s="142"/>
      <c r="G52" s="142"/>
      <c r="H52" s="142"/>
      <c r="I52" s="142"/>
      <c r="J52" s="142"/>
      <c r="K52" s="142"/>
      <c r="L52" s="49"/>
      <c r="M52" s="70" t="s">
        <v>25</v>
      </c>
      <c r="N52" s="71"/>
      <c r="O52" s="72">
        <f t="shared" ref="O52:T52" si="45">O40-O51</f>
        <v>108.20000000000027</v>
      </c>
      <c r="P52" s="72">
        <f t="shared" si="45"/>
        <v>215.09999999999854</v>
      </c>
      <c r="Q52" s="72">
        <f t="shared" si="45"/>
        <v>263.40000000000009</v>
      </c>
      <c r="R52" s="72">
        <f t="shared" si="45"/>
        <v>333.89999999999975</v>
      </c>
      <c r="S52" s="72">
        <f t="shared" si="45"/>
        <v>239.60000000000002</v>
      </c>
      <c r="T52" s="72">
        <f t="shared" si="45"/>
        <v>450.19999999999982</v>
      </c>
      <c r="U52" s="72">
        <f t="shared" ref="U52" si="46">U40-U51</f>
        <v>484.29999999999973</v>
      </c>
      <c r="V52" s="72">
        <f>V40-V51</f>
        <v>704.5</v>
      </c>
      <c r="W52" s="72">
        <f>W40-W51</f>
        <v>536.20000000000005</v>
      </c>
    </row>
    <row r="53" spans="1:24" x14ac:dyDescent="0.25">
      <c r="A53" s="100" t="s">
        <v>64</v>
      </c>
      <c r="B53" s="66"/>
      <c r="C53" s="66" t="s">
        <v>33</v>
      </c>
      <c r="D53" s="66" t="s">
        <v>32</v>
      </c>
      <c r="E53" s="66" t="s">
        <v>1</v>
      </c>
      <c r="F53" s="66" t="s">
        <v>2</v>
      </c>
      <c r="G53" s="66" t="s">
        <v>51</v>
      </c>
      <c r="H53" s="107" t="s">
        <v>138</v>
      </c>
      <c r="I53" s="112" t="s">
        <v>159</v>
      </c>
      <c r="J53" s="66" t="s">
        <v>161</v>
      </c>
      <c r="K53" s="66" t="s">
        <v>163</v>
      </c>
      <c r="L53" s="49"/>
      <c r="M53" s="67"/>
      <c r="N53" s="68"/>
      <c r="O53" s="69"/>
      <c r="P53" s="69"/>
      <c r="Q53" s="69"/>
      <c r="R53" s="69"/>
      <c r="S53" s="69"/>
      <c r="T53" s="69"/>
      <c r="U53" s="69"/>
      <c r="V53" s="69"/>
      <c r="W53" s="69"/>
    </row>
    <row r="54" spans="1:24" x14ac:dyDescent="0.25">
      <c r="A54" s="67" t="s">
        <v>65</v>
      </c>
      <c r="B54" s="68"/>
      <c r="C54" s="69">
        <f>C46</f>
        <v>189.4</v>
      </c>
      <c r="D54" s="69">
        <f>D46</f>
        <v>309.89999999999998</v>
      </c>
      <c r="E54" s="69">
        <f t="shared" ref="E54:F54" si="47">E46</f>
        <v>-59.9</v>
      </c>
      <c r="F54" s="69">
        <f t="shared" si="47"/>
        <v>-59</v>
      </c>
      <c r="G54" s="69">
        <f>G46</f>
        <v>338.4</v>
      </c>
      <c r="H54" s="69">
        <f>H46</f>
        <v>262.3</v>
      </c>
      <c r="I54" s="122">
        <f>I46</f>
        <v>-83.4</v>
      </c>
      <c r="J54" s="120">
        <f>J46</f>
        <v>137.80000000000001</v>
      </c>
      <c r="K54" s="120">
        <f>K46</f>
        <v>56.1</v>
      </c>
      <c r="L54" s="49"/>
      <c r="M54" s="67" t="s">
        <v>155</v>
      </c>
      <c r="N54" s="68"/>
      <c r="O54" s="69">
        <v>0</v>
      </c>
      <c r="P54" s="69">
        <v>0</v>
      </c>
      <c r="Q54" s="69">
        <v>0</v>
      </c>
      <c r="R54" s="69">
        <v>59.8</v>
      </c>
      <c r="S54" s="69">
        <v>35.200000000000003</v>
      </c>
      <c r="T54" s="69">
        <v>26.8</v>
      </c>
      <c r="U54" s="69">
        <v>27.7</v>
      </c>
      <c r="V54" s="69">
        <v>5</v>
      </c>
      <c r="W54" s="69">
        <v>106</v>
      </c>
    </row>
    <row r="55" spans="1:24" x14ac:dyDescent="0.25">
      <c r="A55" s="103" t="s">
        <v>66</v>
      </c>
      <c r="B55" s="105"/>
      <c r="C55" s="104">
        <f>-33.7</f>
        <v>-33.700000000000003</v>
      </c>
      <c r="D55" s="104">
        <f>-35.7</f>
        <v>-35.700000000000003</v>
      </c>
      <c r="E55" s="104">
        <f>-58.6</f>
        <v>-58.6</v>
      </c>
      <c r="F55" s="104">
        <f>-38.3</f>
        <v>-38.299999999999997</v>
      </c>
      <c r="G55" s="104">
        <f>-34.9</f>
        <v>-34.9</v>
      </c>
      <c r="H55" s="104">
        <f>-38.9</f>
        <v>-38.9</v>
      </c>
      <c r="I55" s="117">
        <v>-156.4</v>
      </c>
      <c r="J55" s="104">
        <f>-279.7+0.8</f>
        <v>-278.89999999999998</v>
      </c>
      <c r="K55" s="104">
        <f>-88.7+1.7</f>
        <v>-87</v>
      </c>
      <c r="L55" s="49"/>
      <c r="M55" s="67" t="s">
        <v>29</v>
      </c>
      <c r="N55" s="68"/>
      <c r="O55" s="69">
        <v>25.2</v>
      </c>
      <c r="P55" s="69">
        <v>29.4</v>
      </c>
      <c r="Q55" s="69">
        <v>21.7</v>
      </c>
      <c r="R55" s="69">
        <v>13.7</v>
      </c>
      <c r="S55" s="69">
        <v>13</v>
      </c>
      <c r="T55" s="69">
        <v>16.2</v>
      </c>
      <c r="U55" s="69">
        <v>11</v>
      </c>
      <c r="V55" s="69">
        <v>2.2000000000000002</v>
      </c>
      <c r="W55" s="69">
        <v>2.2999999999999998</v>
      </c>
    </row>
    <row r="56" spans="1:24" x14ac:dyDescent="0.25">
      <c r="A56" s="70" t="s">
        <v>67</v>
      </c>
      <c r="B56" s="71"/>
      <c r="C56" s="72">
        <f t="shared" ref="C56:G56" si="48">SUM(C54:C55)</f>
        <v>155.69999999999999</v>
      </c>
      <c r="D56" s="72">
        <f t="shared" si="48"/>
        <v>274.2</v>
      </c>
      <c r="E56" s="72">
        <f t="shared" si="48"/>
        <v>-118.5</v>
      </c>
      <c r="F56" s="72">
        <f t="shared" si="48"/>
        <v>-97.3</v>
      </c>
      <c r="G56" s="72">
        <f t="shared" si="48"/>
        <v>303.5</v>
      </c>
      <c r="H56" s="72">
        <f>SUM(H54:H55)</f>
        <v>223.4</v>
      </c>
      <c r="I56" s="114">
        <f>SUM(I54:I55)</f>
        <v>-239.8</v>
      </c>
      <c r="J56" s="72">
        <f>SUM(J54:J55)</f>
        <v>-141.09999999999997</v>
      </c>
      <c r="K56" s="72">
        <f>SUM(K54:K55)</f>
        <v>-30.9</v>
      </c>
      <c r="L56" s="49"/>
      <c r="M56" s="67" t="s">
        <v>147</v>
      </c>
      <c r="N56" s="67"/>
      <c r="O56" s="81">
        <v>0</v>
      </c>
      <c r="P56" s="81">
        <v>0</v>
      </c>
      <c r="Q56" s="81">
        <v>12.7</v>
      </c>
      <c r="R56" s="81">
        <v>0.2</v>
      </c>
      <c r="S56" s="81">
        <v>0</v>
      </c>
      <c r="T56" s="81">
        <v>0</v>
      </c>
      <c r="U56" s="81">
        <v>0</v>
      </c>
      <c r="V56" s="81">
        <v>0</v>
      </c>
      <c r="W56" s="81">
        <v>0</v>
      </c>
    </row>
    <row r="57" spans="1:24" x14ac:dyDescent="0.25">
      <c r="A57" s="145"/>
      <c r="B57" s="146"/>
      <c r="C57" s="146"/>
      <c r="D57" s="146"/>
      <c r="E57" s="146"/>
      <c r="F57" s="146"/>
      <c r="G57" s="146"/>
      <c r="H57" s="146"/>
      <c r="I57" s="146"/>
      <c r="J57" s="146"/>
      <c r="K57" s="146"/>
      <c r="L57" s="49"/>
      <c r="M57" s="67" t="s">
        <v>28</v>
      </c>
      <c r="N57" s="68"/>
      <c r="O57" s="69">
        <v>3.1</v>
      </c>
      <c r="P57" s="69">
        <v>3.7</v>
      </c>
      <c r="Q57" s="69">
        <v>4.5999999999999996</v>
      </c>
      <c r="R57" s="69">
        <v>3.2</v>
      </c>
      <c r="S57" s="69">
        <v>1.3</v>
      </c>
      <c r="T57" s="69">
        <v>1.9</v>
      </c>
      <c r="U57" s="69">
        <v>2.6</v>
      </c>
      <c r="V57" s="69">
        <v>2.4</v>
      </c>
      <c r="W57" s="69">
        <v>3.4</v>
      </c>
    </row>
    <row r="58" spans="1:24" x14ac:dyDescent="0.25">
      <c r="A58" s="100" t="s">
        <v>64</v>
      </c>
      <c r="B58" s="66"/>
      <c r="C58" s="66" t="s">
        <v>33</v>
      </c>
      <c r="D58" s="66" t="s">
        <v>32</v>
      </c>
      <c r="E58" s="66" t="s">
        <v>1</v>
      </c>
      <c r="F58" s="66" t="s">
        <v>2</v>
      </c>
      <c r="G58" s="66" t="s">
        <v>51</v>
      </c>
      <c r="H58" s="66" t="s">
        <v>138</v>
      </c>
      <c r="I58" s="112" t="s">
        <v>159</v>
      </c>
      <c r="J58" s="66" t="s">
        <v>161</v>
      </c>
      <c r="K58" s="66" t="s">
        <v>163</v>
      </c>
      <c r="L58" s="49"/>
      <c r="M58" s="80" t="s">
        <v>145</v>
      </c>
      <c r="N58" s="71"/>
      <c r="O58" s="72">
        <f>SUM(O54:O57)</f>
        <v>28.3</v>
      </c>
      <c r="P58" s="72">
        <f t="shared" ref="P58:T58" si="49">SUM(P54:P57)</f>
        <v>33.1</v>
      </c>
      <c r="Q58" s="72">
        <f t="shared" si="49"/>
        <v>39</v>
      </c>
      <c r="R58" s="72">
        <f t="shared" si="49"/>
        <v>76.900000000000006</v>
      </c>
      <c r="S58" s="72">
        <f t="shared" si="49"/>
        <v>49.5</v>
      </c>
      <c r="T58" s="72">
        <f t="shared" si="49"/>
        <v>44.9</v>
      </c>
      <c r="U58" s="72">
        <f t="shared" ref="U58" si="50">SUM(U54:U57)</f>
        <v>41.300000000000004</v>
      </c>
      <c r="V58" s="72">
        <f>SUM(V54:V57)</f>
        <v>9.6</v>
      </c>
      <c r="W58" s="72">
        <f>SUM(W54:W57)</f>
        <v>111.7</v>
      </c>
      <c r="X58"/>
    </row>
    <row r="59" spans="1:24" x14ac:dyDescent="0.25">
      <c r="A59" s="67" t="s">
        <v>105</v>
      </c>
      <c r="B59" s="68"/>
      <c r="C59" s="68">
        <v>18.61</v>
      </c>
      <c r="D59" s="68">
        <v>18.61</v>
      </c>
      <c r="E59" s="68">
        <v>18.61</v>
      </c>
      <c r="F59" s="68">
        <v>18.649999999999999</v>
      </c>
      <c r="G59" s="68">
        <f>18650318/10^6</f>
        <v>18.650317999999999</v>
      </c>
      <c r="H59" s="68">
        <f>18650318/10^6</f>
        <v>18.650317999999999</v>
      </c>
      <c r="I59" s="115">
        <f>18650318/10^6</f>
        <v>18.650317999999999</v>
      </c>
      <c r="J59" s="68">
        <f>18650318/10^6</f>
        <v>18.650317999999999</v>
      </c>
      <c r="K59" s="68">
        <f>18650318/10^6</f>
        <v>18.650317999999999</v>
      </c>
      <c r="L59" s="49"/>
      <c r="M59" s="139"/>
      <c r="N59" s="140"/>
      <c r="O59" s="140"/>
      <c r="P59" s="140"/>
      <c r="Q59" s="140"/>
      <c r="R59" s="140"/>
      <c r="S59" s="140"/>
      <c r="T59" s="140"/>
      <c r="U59" s="140"/>
      <c r="V59" s="140"/>
      <c r="W59" s="143"/>
      <c r="X59"/>
    </row>
    <row r="60" spans="1:24" x14ac:dyDescent="0.25">
      <c r="A60" s="67" t="s">
        <v>106</v>
      </c>
      <c r="B60" s="68"/>
      <c r="C60" s="69">
        <v>10</v>
      </c>
      <c r="D60" s="69">
        <v>10</v>
      </c>
      <c r="E60" s="69">
        <v>10</v>
      </c>
      <c r="F60" s="69">
        <v>10</v>
      </c>
      <c r="G60" s="69">
        <v>10</v>
      </c>
      <c r="H60" s="69">
        <v>10</v>
      </c>
      <c r="I60" s="113">
        <v>10</v>
      </c>
      <c r="J60" s="69">
        <v>10</v>
      </c>
      <c r="K60" s="69">
        <v>10</v>
      </c>
      <c r="L60" s="49"/>
      <c r="M60" s="70" t="s">
        <v>27</v>
      </c>
      <c r="N60" s="71"/>
      <c r="O60" s="72">
        <f t="shared" ref="O60:S60" si="51">O6+O7+O10+O51+O58</f>
        <v>3837.3</v>
      </c>
      <c r="P60" s="72">
        <f t="shared" si="51"/>
        <v>10306.5</v>
      </c>
      <c r="Q60" s="72">
        <f t="shared" si="51"/>
        <v>1647.2</v>
      </c>
      <c r="R60" s="72">
        <f t="shared" si="51"/>
        <v>1782.9</v>
      </c>
      <c r="S60" s="72">
        <f t="shared" si="51"/>
        <v>1697.5</v>
      </c>
      <c r="T60" s="72">
        <f>T6+T7+T10+T51+T58</f>
        <v>2026.1000000000001</v>
      </c>
      <c r="U60" s="72">
        <f>U6+U7+U10+U51+U58</f>
        <v>2212.3000000000002</v>
      </c>
      <c r="V60" s="72">
        <f>V6+V7+V10+V51+V58</f>
        <v>2442.9</v>
      </c>
      <c r="W60" s="72">
        <f>W6+W7+W10+W51+W58</f>
        <v>2606.9999999999995</v>
      </c>
      <c r="X60"/>
    </row>
    <row r="61" spans="1:24" x14ac:dyDescent="0.25">
      <c r="A61" s="103" t="s">
        <v>70</v>
      </c>
      <c r="B61" s="105"/>
      <c r="C61" s="104">
        <f t="shared" ref="C61:I61" si="52">C59*O64</f>
        <v>3177.6574999999998</v>
      </c>
      <c r="D61" s="104">
        <f t="shared" si="52"/>
        <v>6306.9289999999992</v>
      </c>
      <c r="E61" s="104">
        <f t="shared" si="52"/>
        <v>3580.5639999999999</v>
      </c>
      <c r="F61" s="104">
        <f t="shared" si="52"/>
        <v>990.31499999999994</v>
      </c>
      <c r="G61" s="104">
        <f t="shared" si="52"/>
        <v>2396.5658629999998</v>
      </c>
      <c r="H61" s="104">
        <f t="shared" si="52"/>
        <v>4772.6163761999996</v>
      </c>
      <c r="I61" s="104">
        <f>I59*U64</f>
        <v>6192.8380919000001</v>
      </c>
      <c r="J61" s="104">
        <f>J59*V64</f>
        <v>4676.5672384999998</v>
      </c>
      <c r="K61" s="104">
        <f>K59*W64</f>
        <v>5983.9545302999995</v>
      </c>
      <c r="L61" s="49"/>
      <c r="M61" s="70" t="s">
        <v>26</v>
      </c>
      <c r="N61" s="71"/>
      <c r="O61" s="72">
        <f t="shared" ref="O61:S61" si="53">O29+O40+O42</f>
        <v>3837.3</v>
      </c>
      <c r="P61" s="72">
        <f t="shared" si="53"/>
        <v>10306.499999999998</v>
      </c>
      <c r="Q61" s="72">
        <f t="shared" si="53"/>
        <v>1647.2</v>
      </c>
      <c r="R61" s="72">
        <f t="shared" si="53"/>
        <v>1782.8999999999999</v>
      </c>
      <c r="S61" s="72">
        <f t="shared" si="53"/>
        <v>1697.5</v>
      </c>
      <c r="T61" s="72">
        <f>T29+T40+T42</f>
        <v>2026.1</v>
      </c>
      <c r="U61" s="72">
        <f t="shared" ref="U61" si="54">U29+U40+U42</f>
        <v>2212.3000000000002</v>
      </c>
      <c r="V61" s="72">
        <f>V29+V40+V42</f>
        <v>2442.8000000000002</v>
      </c>
      <c r="W61" s="72">
        <f>W29+W40+W42</f>
        <v>2607</v>
      </c>
      <c r="X61"/>
    </row>
    <row r="62" spans="1:24" x14ac:dyDescent="0.25">
      <c r="A62" s="103" t="s">
        <v>69</v>
      </c>
      <c r="B62" s="105"/>
      <c r="C62" s="104">
        <f t="shared" ref="C62:H62" si="55">O10</f>
        <v>224.5</v>
      </c>
      <c r="D62" s="104">
        <f t="shared" si="55"/>
        <v>32.9</v>
      </c>
      <c r="E62" s="104">
        <f t="shared" si="55"/>
        <v>0</v>
      </c>
      <c r="F62" s="104">
        <f t="shared" si="55"/>
        <v>144.30000000000001</v>
      </c>
      <c r="G62" s="104">
        <f t="shared" si="55"/>
        <v>0</v>
      </c>
      <c r="H62" s="104">
        <f t="shared" si="55"/>
        <v>37.6</v>
      </c>
      <c r="I62" s="104">
        <f>U10</f>
        <v>94.4</v>
      </c>
      <c r="J62" s="104">
        <f>V10</f>
        <v>371.4</v>
      </c>
      <c r="K62" s="104">
        <f>W10</f>
        <v>312.79999999999995</v>
      </c>
      <c r="L62" s="49"/>
      <c r="M62" s="141"/>
      <c r="N62" s="141"/>
      <c r="O62" s="141"/>
      <c r="P62" s="141"/>
      <c r="Q62" s="141"/>
      <c r="R62" s="141"/>
      <c r="S62" s="141"/>
      <c r="T62" s="141"/>
      <c r="U62" s="141"/>
      <c r="V62" s="141"/>
      <c r="W62" s="141"/>
    </row>
    <row r="63" spans="1:24" x14ac:dyDescent="0.25">
      <c r="A63" s="103" t="s">
        <v>158</v>
      </c>
      <c r="B63" s="105"/>
      <c r="C63" s="104">
        <f t="shared" ref="C63:H63" si="56">O36+O37</f>
        <v>133.9</v>
      </c>
      <c r="D63" s="104">
        <f t="shared" si="56"/>
        <v>396.20000000000005</v>
      </c>
      <c r="E63" s="104">
        <f t="shared" si="56"/>
        <v>82.9</v>
      </c>
      <c r="F63" s="104">
        <f t="shared" si="56"/>
        <v>140.5</v>
      </c>
      <c r="G63" s="104">
        <f t="shared" si="56"/>
        <v>85.899999999999991</v>
      </c>
      <c r="H63" s="104">
        <f t="shared" si="56"/>
        <v>109.3</v>
      </c>
      <c r="I63" s="104">
        <f t="shared" ref="I63" si="57">U36+U37</f>
        <v>113.5</v>
      </c>
      <c r="J63" s="104">
        <f>V36+V37</f>
        <v>44</v>
      </c>
      <c r="K63" s="104">
        <f>W36+W37</f>
        <v>52.1</v>
      </c>
      <c r="L63" s="49"/>
      <c r="M63" s="4" t="s">
        <v>64</v>
      </c>
      <c r="N63" s="5"/>
      <c r="O63" s="5" t="s">
        <v>33</v>
      </c>
      <c r="P63" s="5" t="s">
        <v>32</v>
      </c>
      <c r="Q63" s="5" t="s">
        <v>1</v>
      </c>
      <c r="R63" s="5" t="s">
        <v>2</v>
      </c>
      <c r="S63" s="5" t="s">
        <v>51</v>
      </c>
      <c r="T63" s="5" t="s">
        <v>138</v>
      </c>
      <c r="U63" s="5" t="s">
        <v>159</v>
      </c>
      <c r="V63" s="5" t="s">
        <v>161</v>
      </c>
      <c r="W63" s="5" t="s">
        <v>163</v>
      </c>
    </row>
    <row r="64" spans="1:24" x14ac:dyDescent="0.25">
      <c r="A64" s="70" t="s">
        <v>71</v>
      </c>
      <c r="B64" s="71"/>
      <c r="C64" s="72">
        <f>SUM(C61:C62)-C63</f>
        <v>3268.2574999999997</v>
      </c>
      <c r="D64" s="72">
        <f t="shared" ref="D64:F64" si="58">SUM(D61:D62)-D63</f>
        <v>5943.628999999999</v>
      </c>
      <c r="E64" s="72">
        <f t="shared" si="58"/>
        <v>3497.6639999999998</v>
      </c>
      <c r="F64" s="72">
        <f t="shared" si="58"/>
        <v>994.11500000000001</v>
      </c>
      <c r="G64" s="72">
        <f t="shared" ref="G64" si="59">SUM(G61:G62)-G63</f>
        <v>2310.6658629999997</v>
      </c>
      <c r="H64" s="72">
        <f>SUM(H61:H62)-H63</f>
        <v>4700.9163761999998</v>
      </c>
      <c r="I64" s="114">
        <f>SUM(I61:I62)-I63</f>
        <v>6173.7380918999997</v>
      </c>
      <c r="J64" s="72">
        <f>SUM(J61:J62)-J63</f>
        <v>5003.9672384999994</v>
      </c>
      <c r="K64" s="72">
        <f>SUM(K61:K62)-K63</f>
        <v>6244.6545302999994</v>
      </c>
      <c r="L64" s="49"/>
      <c r="M64" t="s">
        <v>152</v>
      </c>
      <c r="N64" s="1"/>
      <c r="O64" s="1">
        <v>170.75</v>
      </c>
      <c r="P64" s="1">
        <v>338.9</v>
      </c>
      <c r="Q64" s="1">
        <v>192.4</v>
      </c>
      <c r="R64" s="1">
        <v>53.1</v>
      </c>
      <c r="S64" s="1">
        <v>128.5</v>
      </c>
      <c r="T64" s="1">
        <v>255.9</v>
      </c>
      <c r="U64" s="1">
        <v>332.05</v>
      </c>
      <c r="V64" s="1">
        <v>250.75</v>
      </c>
      <c r="W64" s="1">
        <v>320.85000000000002</v>
      </c>
    </row>
    <row r="65" spans="1:24" x14ac:dyDescent="0.25">
      <c r="K65" s="61"/>
      <c r="L65" s="49"/>
      <c r="M65" s="6" t="s">
        <v>72</v>
      </c>
      <c r="N65" s="7"/>
      <c r="O65" s="7">
        <f t="shared" ref="O65:R65" si="60">C40</f>
        <v>3.02</v>
      </c>
      <c r="P65" s="7">
        <f t="shared" si="60"/>
        <v>8.58</v>
      </c>
      <c r="Q65" s="7">
        <f t="shared" si="60"/>
        <v>3.99</v>
      </c>
      <c r="R65" s="7">
        <f t="shared" si="60"/>
        <v>0.21</v>
      </c>
      <c r="S65" s="7">
        <f t="shared" ref="S65" si="61">G40</f>
        <v>0.41</v>
      </c>
      <c r="T65" s="7">
        <f t="shared" ref="T65" si="62">H40</f>
        <v>8.1</v>
      </c>
      <c r="U65" s="7">
        <f t="shared" ref="U65" si="63">I40</f>
        <v>5.1100000000000003</v>
      </c>
      <c r="V65" s="7">
        <f>J40</f>
        <v>0.15</v>
      </c>
      <c r="W65" s="7">
        <f>K40</f>
        <v>-2.0299999999999998</v>
      </c>
      <c r="X65" s="134"/>
    </row>
    <row r="66" spans="1:24" x14ac:dyDescent="0.25">
      <c r="K66" s="61"/>
      <c r="L66" s="49"/>
      <c r="M66" s="6" t="s">
        <v>73</v>
      </c>
      <c r="N66" s="7"/>
      <c r="O66" s="7">
        <f t="shared" ref="O66:W66" si="64">O6/C59</f>
        <v>36.061257388500806</v>
      </c>
      <c r="P66" s="7">
        <f t="shared" si="64"/>
        <v>44.454594304137565</v>
      </c>
      <c r="Q66" s="7">
        <f t="shared" si="64"/>
        <v>46.73831273508867</v>
      </c>
      <c r="R66" s="7">
        <f t="shared" si="64"/>
        <v>43.227882037533519</v>
      </c>
      <c r="S66" s="7">
        <f t="shared" si="64"/>
        <v>43.854480122001142</v>
      </c>
      <c r="T66" s="7">
        <f t="shared" si="64"/>
        <v>49.655989779906172</v>
      </c>
      <c r="U66" s="7">
        <f t="shared" si="64"/>
        <v>54.583519701916082</v>
      </c>
      <c r="V66" s="7">
        <f>V6/J59</f>
        <v>52.969606201888894</v>
      </c>
      <c r="W66" s="7">
        <f>W6/K59</f>
        <v>49.832930462633399</v>
      </c>
    </row>
    <row r="67" spans="1:24" x14ac:dyDescent="0.25">
      <c r="K67" s="61"/>
      <c r="L67" s="49"/>
      <c r="M67" t="s">
        <v>74</v>
      </c>
      <c r="N67" s="1"/>
      <c r="O67" s="1">
        <v>0.5</v>
      </c>
      <c r="P67" s="1">
        <v>1.5</v>
      </c>
      <c r="Q67" s="1">
        <v>1.5</v>
      </c>
      <c r="R67" s="1">
        <v>1.5</v>
      </c>
      <c r="S67" s="1">
        <v>0</v>
      </c>
      <c r="T67" s="1">
        <v>2</v>
      </c>
      <c r="U67" s="1">
        <v>2</v>
      </c>
      <c r="V67" s="1">
        <v>1</v>
      </c>
      <c r="W67" s="1"/>
    </row>
    <row r="68" spans="1:24" x14ac:dyDescent="0.25">
      <c r="A68" s="62"/>
      <c r="K68" s="61"/>
      <c r="L68" s="49"/>
      <c r="M68" s="6" t="s">
        <v>75</v>
      </c>
      <c r="N68" s="7"/>
      <c r="O68" s="7">
        <f t="shared" ref="O68:Q68" si="65">O64/O65</f>
        <v>56.539735099337747</v>
      </c>
      <c r="P68" s="7">
        <f t="shared" si="65"/>
        <v>39.498834498834498</v>
      </c>
      <c r="Q68" s="7">
        <f t="shared" si="65"/>
        <v>48.220551378446117</v>
      </c>
      <c r="R68" s="7">
        <f t="shared" ref="R68:V68" si="66">R64/R65</f>
        <v>252.85714285714286</v>
      </c>
      <c r="S68" s="7">
        <f t="shared" si="66"/>
        <v>313.41463414634148</v>
      </c>
      <c r="T68" s="7">
        <f t="shared" si="66"/>
        <v>31.592592592592595</v>
      </c>
      <c r="U68" s="7">
        <f t="shared" si="66"/>
        <v>64.980430528375734</v>
      </c>
      <c r="V68" s="7">
        <f>V64/V65</f>
        <v>1671.6666666666667</v>
      </c>
      <c r="W68" s="7">
        <f>W64/W65</f>
        <v>-158.05418719211826</v>
      </c>
    </row>
    <row r="69" spans="1:24" x14ac:dyDescent="0.25">
      <c r="K69" s="61"/>
      <c r="L69" s="49"/>
      <c r="M69" s="6" t="s">
        <v>76</v>
      </c>
      <c r="N69" s="7"/>
      <c r="O69" s="7">
        <f t="shared" ref="O69:R69" si="67">O64/O66</f>
        <v>4.7349985099091043</v>
      </c>
      <c r="P69" s="7">
        <f t="shared" si="67"/>
        <v>7.6235090051976293</v>
      </c>
      <c r="Q69" s="7">
        <f t="shared" si="67"/>
        <v>4.1165371349735569</v>
      </c>
      <c r="R69" s="7">
        <f t="shared" si="67"/>
        <v>1.2283738526420243</v>
      </c>
      <c r="S69" s="7">
        <f t="shared" ref="S69" si="68">S64/S66</f>
        <v>2.930145327057097</v>
      </c>
      <c r="T69" s="7">
        <f>T64/T66</f>
        <v>5.1534568364107542</v>
      </c>
      <c r="U69" s="7">
        <f>U64/U66</f>
        <v>6.0833380077603136</v>
      </c>
      <c r="V69" s="7">
        <f>V64/V66</f>
        <v>4.7338467845935819</v>
      </c>
      <c r="W69" s="7">
        <f>W64/W66</f>
        <v>6.4385135897353134</v>
      </c>
    </row>
    <row r="70" spans="1:24" x14ac:dyDescent="0.25">
      <c r="K70" s="61"/>
      <c r="L70" s="49"/>
      <c r="M70" s="6" t="s">
        <v>77</v>
      </c>
      <c r="N70" s="7"/>
      <c r="O70" s="7">
        <f t="shared" ref="O70:W70" si="69">C64/C13</f>
        <v>26.021158439489991</v>
      </c>
      <c r="P70" s="7">
        <f t="shared" si="69"/>
        <v>25.476335190741214</v>
      </c>
      <c r="Q70" s="7">
        <f t="shared" si="69"/>
        <v>19.260264317180383</v>
      </c>
      <c r="R70" s="7">
        <f t="shared" si="69"/>
        <v>9.1119615032080734</v>
      </c>
      <c r="S70" s="7">
        <f t="shared" si="69"/>
        <v>27.02533173099415</v>
      </c>
      <c r="T70" s="7">
        <f t="shared" si="69"/>
        <v>17.813248867752961</v>
      </c>
      <c r="U70" s="7">
        <f t="shared" si="69"/>
        <v>31.212022709302296</v>
      </c>
      <c r="V70" s="7">
        <f>J64/J13</f>
        <v>52.562681076680519</v>
      </c>
      <c r="W70" s="7">
        <f>K64/K13</f>
        <v>54.348603396866579</v>
      </c>
    </row>
    <row r="71" spans="1:24" x14ac:dyDescent="0.25">
      <c r="K71" s="61"/>
      <c r="L71" s="49"/>
      <c r="M71" s="6" t="s">
        <v>90</v>
      </c>
      <c r="N71" s="7"/>
      <c r="O71" s="7">
        <f>C4/SUM(O17:O22)</f>
        <v>72.246712407089774</v>
      </c>
      <c r="P71" s="7">
        <f>D4/SUM(P17:P22)</f>
        <v>135.83696005196492</v>
      </c>
      <c r="Q71" s="7">
        <f>E4/SUM(Q17:Q22)</f>
        <v>89.857887874837033</v>
      </c>
      <c r="R71" s="7">
        <f>F4/SUM(R17:R19)</f>
        <v>11.955637707948243</v>
      </c>
      <c r="S71" s="7">
        <f>G4/SUM(S17:S19)</f>
        <v>15.917788802267896</v>
      </c>
      <c r="T71" s="7">
        <f>H4/SUM(T17:T19)</f>
        <v>24.018720748829953</v>
      </c>
      <c r="U71" s="7">
        <f>I4/SUM(U17:U19)</f>
        <v>15.497150372643578</v>
      </c>
      <c r="V71" s="7">
        <f>J4/SUM(V17:V19)</f>
        <v>8.6187897339298321</v>
      </c>
      <c r="W71" s="7">
        <f>K4/SUM(W17:W19)</f>
        <v>8.7624669244860574</v>
      </c>
    </row>
    <row r="72" spans="1:24" x14ac:dyDescent="0.25">
      <c r="K72" s="61"/>
      <c r="L72" s="49"/>
      <c r="M72" s="6" t="s">
        <v>78</v>
      </c>
      <c r="N72" s="8"/>
      <c r="O72" s="8">
        <f t="shared" ref="O72:U72" si="70">C29/O6</f>
        <v>6.5116972135303514E-2</v>
      </c>
      <c r="P72" s="8">
        <f t="shared" si="70"/>
        <v>0.18131270397679547</v>
      </c>
      <c r="Q72" s="8">
        <f t="shared" si="70"/>
        <v>8.5536905035642874E-2</v>
      </c>
      <c r="R72" s="8">
        <f t="shared" si="70"/>
        <v>4.8375093029024135E-3</v>
      </c>
      <c r="S72" s="8">
        <f t="shared" si="70"/>
        <v>9.4143538329869072E-3</v>
      </c>
      <c r="T72" s="8">
        <f t="shared" si="70"/>
        <v>0.16304934672281574</v>
      </c>
      <c r="U72" s="8">
        <f t="shared" si="70"/>
        <v>9.3516699410609236E-2</v>
      </c>
      <c r="V72" s="8">
        <f>J29/V6</f>
        <v>2.8342949691267001E-3</v>
      </c>
      <c r="W72" s="8">
        <f>K29/W6</f>
        <v>-4.0778997202495629E-2</v>
      </c>
    </row>
    <row r="73" spans="1:24" x14ac:dyDescent="0.25">
      <c r="E73" s="61" t="s">
        <v>162</v>
      </c>
      <c r="K73" s="61"/>
      <c r="L73" s="49"/>
      <c r="M73" s="6" t="s">
        <v>79</v>
      </c>
      <c r="N73" s="8"/>
      <c r="O73" s="8">
        <f>(C21-C20+C19)/(O61-O51-O9)</f>
        <v>0.13475875650584071</v>
      </c>
      <c r="P73" s="8">
        <f>(D21-D20+D19)/(P61-P51-P9)</f>
        <v>0.2447953216374309</v>
      </c>
      <c r="Q73" s="8">
        <f>(E21-E20+E19)/(Q61-Q51-Q9)</f>
        <v>0.2003741197183122</v>
      </c>
      <c r="R73" s="8">
        <f>(-F20+F19)/(R61-R51-R9)</f>
        <v>6.6357150945532808E-2</v>
      </c>
      <c r="S73" s="8">
        <f>(G21-G20+G19)/(S61-S51-S9)</f>
        <v>3.2741526400737825E-2</v>
      </c>
      <c r="T73" s="8">
        <f>(H21-H20+H19)/(T61-T51-T9)</f>
        <v>0.21925849639546824</v>
      </c>
      <c r="U73" s="8">
        <f>(I21-I20+I19)/(U61-U51-U9)</f>
        <v>0.12673920799143792</v>
      </c>
      <c r="V73" s="8">
        <f>(J21-J20+J19)/(V61-V51-V9)</f>
        <v>1.1241830065359708E-2</v>
      </c>
      <c r="W73" s="8">
        <f>(K21-K20+K19)/(W61-W51-W9)</f>
        <v>-8.5761792246428943E-3</v>
      </c>
    </row>
    <row r="74" spans="1:24" x14ac:dyDescent="0.25">
      <c r="K74" s="61"/>
      <c r="L74" s="49"/>
      <c r="M74" s="6" t="s">
        <v>80</v>
      </c>
      <c r="N74" s="7"/>
      <c r="O74" s="7">
        <f t="shared" ref="O74:T74" si="71">O10/O6</f>
        <v>0.33452540604976905</v>
      </c>
      <c r="P74" s="7">
        <f t="shared" si="71"/>
        <v>3.9767919738909703E-2</v>
      </c>
      <c r="Q74" s="7">
        <f>Q10/Q6</f>
        <v>0</v>
      </c>
      <c r="R74" s="7">
        <f t="shared" si="71"/>
        <v>0.17898784420739272</v>
      </c>
      <c r="S74" s="7">
        <f t="shared" si="71"/>
        <v>0</v>
      </c>
      <c r="T74" s="7">
        <f t="shared" si="71"/>
        <v>4.0600367130979378E-2</v>
      </c>
      <c r="U74" s="7">
        <f>U10/U6</f>
        <v>9.2730844793713171E-2</v>
      </c>
      <c r="V74" s="7">
        <f>V10/V6</f>
        <v>0.37594898269055571</v>
      </c>
      <c r="W74" s="7">
        <f>W10/W6</f>
        <v>0.33656122229395302</v>
      </c>
    </row>
    <row r="75" spans="1:24" x14ac:dyDescent="0.25">
      <c r="K75" s="61"/>
      <c r="L75" s="49"/>
      <c r="M75" s="6" t="s">
        <v>81</v>
      </c>
      <c r="N75" s="7"/>
      <c r="O75" s="7">
        <f t="shared" ref="O75:T75" si="72">(O10-O36-O37)/O6</f>
        <v>0.1350022351363433</v>
      </c>
      <c r="P75" s="7">
        <f t="shared" si="72"/>
        <v>-0.43913936903179018</v>
      </c>
      <c r="Q75" s="7">
        <f t="shared" si="72"/>
        <v>-9.5309266498045525E-2</v>
      </c>
      <c r="R75" s="7">
        <f t="shared" si="72"/>
        <v>4.7134706028280886E-3</v>
      </c>
      <c r="S75" s="7">
        <f t="shared" si="72"/>
        <v>-0.10502506418877612</v>
      </c>
      <c r="T75" s="7">
        <f t="shared" si="72"/>
        <v>-7.7421444768383543E-2</v>
      </c>
      <c r="U75" s="7">
        <f>(U10-U36-U37)/U6</f>
        <v>-1.8762278978388988E-2</v>
      </c>
      <c r="V75" s="7">
        <f>(V10-V36-V37)/V6</f>
        <v>0.33141006174714038</v>
      </c>
      <c r="W75" s="7">
        <f>(W10-W36-W37)/W6</f>
        <v>0.28050355067785659</v>
      </c>
    </row>
    <row r="76" spans="1:24" x14ac:dyDescent="0.25">
      <c r="K76" s="61"/>
      <c r="L76" s="49"/>
      <c r="M76" s="6" t="s">
        <v>82</v>
      </c>
      <c r="N76" s="9"/>
      <c r="O76" s="9">
        <f t="shared" ref="O76:S76" si="73">O67/O64</f>
        <v>2.9282576866764276E-3</v>
      </c>
      <c r="P76" s="9">
        <f t="shared" si="73"/>
        <v>4.426084390675716E-3</v>
      </c>
      <c r="Q76" s="9">
        <f t="shared" si="73"/>
        <v>7.7962577962577958E-3</v>
      </c>
      <c r="R76" s="9">
        <f t="shared" si="73"/>
        <v>2.8248587570621469E-2</v>
      </c>
      <c r="S76" s="9">
        <f t="shared" si="73"/>
        <v>0</v>
      </c>
      <c r="T76" s="9">
        <f>T67/T64</f>
        <v>7.8155529503712382E-3</v>
      </c>
      <c r="U76" s="9">
        <f t="shared" ref="U76:V76" si="74">U67/U64</f>
        <v>6.0231892787230836E-3</v>
      </c>
      <c r="V76" s="9">
        <f>V67/V64</f>
        <v>3.9880358923230306E-3</v>
      </c>
      <c r="W76" s="9">
        <f>W67/W64</f>
        <v>0</v>
      </c>
    </row>
    <row r="77" spans="1:24" x14ac:dyDescent="0.25">
      <c r="K77" s="61"/>
      <c r="L77" s="49"/>
      <c r="M77" s="6" t="s">
        <v>83</v>
      </c>
      <c r="N77" s="7"/>
      <c r="O77" s="7">
        <f t="shared" ref="O77:W77" si="75">AVERAGE(N35:O35)/C4*365</f>
        <v>18.397389986506752</v>
      </c>
      <c r="P77" s="7">
        <f t="shared" si="75"/>
        <v>23.05020179704573</v>
      </c>
      <c r="Q77" s="7">
        <f t="shared" si="75"/>
        <v>28.233865585235264</v>
      </c>
      <c r="R77" s="7">
        <f t="shared" si="75"/>
        <v>48.086831323438474</v>
      </c>
      <c r="S77" s="7">
        <f t="shared" si="75"/>
        <v>57.049532502226178</v>
      </c>
      <c r="T77" s="7">
        <f t="shared" si="75"/>
        <v>37.232560405300084</v>
      </c>
      <c r="U77" s="7">
        <f t="shared" si="75"/>
        <v>42.128490197742508</v>
      </c>
      <c r="V77" s="7">
        <f>AVERAGE(U35:V35)/J4*365</f>
        <v>54.444869413178886</v>
      </c>
      <c r="W77" s="7">
        <f>AVERAGE(V35:W35)/K4*365</f>
        <v>57.11126596980256</v>
      </c>
    </row>
    <row r="78" spans="1:24" x14ac:dyDescent="0.25">
      <c r="K78" s="61"/>
      <c r="L78" s="49"/>
      <c r="M78" s="6" t="s">
        <v>84</v>
      </c>
      <c r="N78" s="7"/>
      <c r="O78" s="7">
        <f t="shared" ref="O78:W78" si="76">AVERAGE(N46:O46)/(SUM(C8:C12))*365</f>
        <v>40.681352723859973</v>
      </c>
      <c r="P78" s="7">
        <f t="shared" si="76"/>
        <v>53.119119807457878</v>
      </c>
      <c r="Q78" s="7">
        <f t="shared" si="76"/>
        <v>65.848949128777363</v>
      </c>
      <c r="R78" s="7">
        <f t="shared" si="76"/>
        <v>81.738731286065942</v>
      </c>
      <c r="S78" s="7">
        <f t="shared" si="76"/>
        <v>95.807220550798419</v>
      </c>
      <c r="T78" s="7">
        <f t="shared" si="76"/>
        <v>83.130749831279076</v>
      </c>
      <c r="U78" s="7">
        <f t="shared" si="76"/>
        <v>74.447049833687927</v>
      </c>
      <c r="V78" s="7">
        <f>AVERAGE(U46:V46)/(SUM(J8:J12))*365</f>
        <v>71.695697296084361</v>
      </c>
      <c r="W78" s="7">
        <f>AVERAGE(V46:W46)/(SUM(K8:K12))*365</f>
        <v>67.802140760363727</v>
      </c>
    </row>
    <row r="79" spans="1:24" x14ac:dyDescent="0.25">
      <c r="K79" s="61"/>
      <c r="L79" s="49"/>
      <c r="M79" s="6" t="s">
        <v>85</v>
      </c>
      <c r="N79" s="7"/>
      <c r="O79" s="7">
        <f t="shared" ref="O79:W79" si="77">AVERAGE(N32:O32)/(SUM(C8:C12))*365</f>
        <v>22.247229214635954</v>
      </c>
      <c r="P79" s="7">
        <f t="shared" si="77"/>
        <v>28.024706125618827</v>
      </c>
      <c r="Q79" s="7">
        <f t="shared" si="77"/>
        <v>34.452482582850131</v>
      </c>
      <c r="R79" s="7">
        <f t="shared" si="77"/>
        <v>45.866187805173318</v>
      </c>
      <c r="S79" s="7">
        <f t="shared" si="77"/>
        <v>57.127863920388791</v>
      </c>
      <c r="T79" s="7">
        <f t="shared" si="77"/>
        <v>54.374666998188459</v>
      </c>
      <c r="U79" s="7">
        <f t="shared" si="77"/>
        <v>59.533577057924546</v>
      </c>
      <c r="V79" s="7">
        <f>AVERAGE(U32:V32)/(SUM(J8:J12))*365</f>
        <v>59.927283181869178</v>
      </c>
      <c r="W79" s="7">
        <f>AVERAGE(V32:W32)/(SUM(K8:K12))*365</f>
        <v>52.187656619173765</v>
      </c>
    </row>
    <row r="80" spans="1:24" x14ac:dyDescent="0.25">
      <c r="K80" s="61"/>
      <c r="L80" s="49"/>
      <c r="M80" s="6" t="s">
        <v>86</v>
      </c>
      <c r="N80" s="7"/>
      <c r="O80" s="7">
        <f t="shared" ref="O80:R80" si="78">O77+O79-O78</f>
        <v>-3.6733522717270262E-2</v>
      </c>
      <c r="P80" s="7">
        <f t="shared" si="78"/>
        <v>-2.0442118847933202</v>
      </c>
      <c r="Q80" s="7">
        <f t="shared" si="78"/>
        <v>-3.1626009606919681</v>
      </c>
      <c r="R80" s="7">
        <f t="shared" si="78"/>
        <v>12.214287842545858</v>
      </c>
      <c r="S80" s="7">
        <f t="shared" ref="S80" si="79">S77+S79-S78</f>
        <v>18.370175871816556</v>
      </c>
      <c r="T80" s="7">
        <f>T77+T79-T78</f>
        <v>8.4764775722094612</v>
      </c>
      <c r="U80" s="7">
        <f t="shared" ref="U80:V80" si="80">U77+U79-U78</f>
        <v>27.215017421979127</v>
      </c>
      <c r="V80" s="7">
        <f>V77+V79-V78</f>
        <v>42.676455298963702</v>
      </c>
      <c r="W80" s="7">
        <f>W77+W79-W78</f>
        <v>41.496781828612598</v>
      </c>
    </row>
    <row r="81" spans="11:23" x14ac:dyDescent="0.25">
      <c r="K81" s="61"/>
      <c r="L81" s="49"/>
      <c r="M81" s="6" t="s">
        <v>87</v>
      </c>
      <c r="N81" s="7"/>
      <c r="O81" s="7">
        <f t="shared" ref="O81:U81" si="81">AVERAGE(N52:O52)/C4*365</f>
        <v>1.5627238157795851</v>
      </c>
      <c r="P81" s="7">
        <f t="shared" si="81"/>
        <v>1.410720348506362</v>
      </c>
      <c r="Q81" s="7">
        <f t="shared" si="81"/>
        <v>3.1676212620246273</v>
      </c>
      <c r="R81" s="7">
        <f t="shared" si="81"/>
        <v>42.133290816326522</v>
      </c>
      <c r="S81" s="7">
        <f t="shared" si="81"/>
        <v>46.600066785396237</v>
      </c>
      <c r="T81" s="7">
        <f t="shared" si="81"/>
        <v>40.883508703559357</v>
      </c>
      <c r="U81" s="7">
        <f t="shared" si="81"/>
        <v>48.246414325723478</v>
      </c>
      <c r="V81" s="7">
        <f>AVERAGE(U52:V52)/J4*365</f>
        <v>59.271117910610847</v>
      </c>
      <c r="W81" s="7">
        <f>AVERAGE(V52:W52)/K4*365</f>
        <v>52.596457607433216</v>
      </c>
    </row>
    <row r="82" spans="11:23" x14ac:dyDescent="0.25">
      <c r="K82" s="61"/>
      <c r="L82" s="49"/>
      <c r="M82" s="6" t="s">
        <v>88</v>
      </c>
      <c r="N82" s="8"/>
      <c r="O82" s="8">
        <f>C19/O10</f>
        <v>0.12516703786191538</v>
      </c>
      <c r="P82" s="8">
        <f>D19/P10</f>
        <v>0.43161094224924013</v>
      </c>
      <c r="Q82" s="118" t="s">
        <v>160</v>
      </c>
      <c r="R82" s="110">
        <f>F19/R10</f>
        <v>0.16354816354816354</v>
      </c>
      <c r="S82" s="119" t="s">
        <v>160</v>
      </c>
      <c r="T82" s="110">
        <f>H19/T10</f>
        <v>0.25531914893617019</v>
      </c>
      <c r="U82" s="110">
        <f>I19/U10</f>
        <v>0.14512711864406777</v>
      </c>
      <c r="V82" s="110">
        <f>J19/V10</f>
        <v>5.2773290253096398E-2</v>
      </c>
      <c r="W82" s="110">
        <f>K19/W10</f>
        <v>0.17135549872122766</v>
      </c>
    </row>
    <row r="83" spans="11:23" x14ac:dyDescent="0.25">
      <c r="K83" s="61"/>
      <c r="L83" s="49"/>
      <c r="M83" s="6" t="s">
        <v>89</v>
      </c>
      <c r="N83" s="7"/>
      <c r="O83" s="7">
        <f t="shared" ref="O83:T83" si="82">(C21+C19)/C19</f>
        <v>3.409252669039224</v>
      </c>
      <c r="P83" s="7">
        <f t="shared" si="82"/>
        <v>17.33802816901429</v>
      </c>
      <c r="Q83" s="7">
        <f t="shared" si="82"/>
        <v>35.682926829268823</v>
      </c>
      <c r="R83" s="7">
        <f t="shared" si="82"/>
        <v>0.99152542372881047</v>
      </c>
      <c r="S83" s="7">
        <f t="shared" si="82"/>
        <v>1.4947368421052627</v>
      </c>
      <c r="T83" s="7">
        <f t="shared" si="82"/>
        <v>22.687499999999964</v>
      </c>
      <c r="U83" s="7">
        <f t="shared" ref="U83" si="83">(I21+I19)/I19</f>
        <v>10.372262773722642</v>
      </c>
      <c r="V83" s="7">
        <f>(J21+J19)/J19</f>
        <v>0.65816326530613611</v>
      </c>
      <c r="W83" s="7">
        <f>(K21+K19)/K19</f>
        <v>-0.18283582089551187</v>
      </c>
    </row>
    <row r="84" spans="11:23" x14ac:dyDescent="0.25">
      <c r="K84" s="61"/>
    </row>
    <row r="85" spans="11:23" x14ac:dyDescent="0.25">
      <c r="K85" s="61"/>
      <c r="L85" s="142"/>
      <c r="M85" s="142"/>
      <c r="N85" s="142"/>
      <c r="O85" s="142"/>
      <c r="P85" s="142"/>
      <c r="Q85" s="142"/>
      <c r="R85" s="142"/>
      <c r="S85" s="142"/>
      <c r="T85" s="142"/>
      <c r="U85" s="142"/>
      <c r="V85" s="142"/>
    </row>
    <row r="86" spans="11:23" x14ac:dyDescent="0.25">
      <c r="K86" s="61"/>
      <c r="N86" s="63"/>
      <c r="O86" s="63"/>
      <c r="P86" s="63"/>
      <c r="Q86" s="63"/>
      <c r="R86" s="63"/>
      <c r="S86" s="64"/>
      <c r="T86" s="64"/>
      <c r="U86" s="64"/>
      <c r="V86" s="64"/>
    </row>
    <row r="87" spans="11:23" x14ac:dyDescent="0.25">
      <c r="K87" s="61"/>
      <c r="N87" s="63"/>
      <c r="O87" s="63"/>
      <c r="P87" s="63"/>
      <c r="Q87" s="63"/>
      <c r="R87" s="63"/>
      <c r="S87" s="63"/>
      <c r="T87" s="63"/>
      <c r="U87" s="63"/>
      <c r="V87" s="63"/>
    </row>
    <row r="88" spans="11:23" x14ac:dyDescent="0.25">
      <c r="K88" s="61"/>
    </row>
    <row r="89" spans="11:23" x14ac:dyDescent="0.25">
      <c r="K89" s="61"/>
    </row>
    <row r="90" spans="11:23" x14ac:dyDescent="0.25">
      <c r="K90" s="61"/>
    </row>
    <row r="91" spans="11:23" x14ac:dyDescent="0.25">
      <c r="K91" s="61"/>
    </row>
    <row r="92" spans="11:23" x14ac:dyDescent="0.25">
      <c r="K92" s="61"/>
    </row>
    <row r="93" spans="11:23" x14ac:dyDescent="0.25">
      <c r="K93" s="61"/>
    </row>
    <row r="94" spans="11:23" x14ac:dyDescent="0.25">
      <c r="K94" s="61"/>
    </row>
    <row r="95" spans="11:23" x14ac:dyDescent="0.25">
      <c r="K95" s="61"/>
    </row>
    <row r="96" spans="11:23" x14ac:dyDescent="0.25">
      <c r="K96" s="61"/>
    </row>
    <row r="97" spans="11:11" x14ac:dyDescent="0.25">
      <c r="K97" s="61"/>
    </row>
    <row r="98" spans="11:11" x14ac:dyDescent="0.25">
      <c r="K98" s="61"/>
    </row>
    <row r="99" spans="11:11" x14ac:dyDescent="0.25">
      <c r="K99" s="61"/>
    </row>
    <row r="100" spans="11:11" x14ac:dyDescent="0.25">
      <c r="K100" s="61"/>
    </row>
    <row r="101" spans="11:11" x14ac:dyDescent="0.25">
      <c r="K101" s="61"/>
    </row>
    <row r="102" spans="11:11" x14ac:dyDescent="0.25">
      <c r="K102" s="61"/>
    </row>
    <row r="103" spans="11:11" x14ac:dyDescent="0.25">
      <c r="K103" s="61"/>
    </row>
    <row r="104" spans="11:11" x14ac:dyDescent="0.25">
      <c r="K104" s="61"/>
    </row>
    <row r="105" spans="11:11" x14ac:dyDescent="0.25">
      <c r="K105" s="61"/>
    </row>
    <row r="106" spans="11:11" x14ac:dyDescent="0.25">
      <c r="K106" s="61"/>
    </row>
    <row r="107" spans="11:11" x14ac:dyDescent="0.25">
      <c r="K107" s="61"/>
    </row>
    <row r="108" spans="11:11" x14ac:dyDescent="0.25">
      <c r="K108" s="61"/>
    </row>
    <row r="109" spans="11:11" x14ac:dyDescent="0.25">
      <c r="K109" s="61"/>
    </row>
    <row r="110" spans="11:11" x14ac:dyDescent="0.25">
      <c r="K110" s="61"/>
    </row>
    <row r="111" spans="11:11" x14ac:dyDescent="0.25">
      <c r="K111" s="61"/>
    </row>
    <row r="112" spans="11:11" x14ac:dyDescent="0.25">
      <c r="K112" s="61"/>
    </row>
    <row r="113" spans="11:11" x14ac:dyDescent="0.25">
      <c r="K113" s="61"/>
    </row>
    <row r="114" spans="11:11" x14ac:dyDescent="0.25">
      <c r="K114" s="61"/>
    </row>
    <row r="115" spans="11:11" x14ac:dyDescent="0.25">
      <c r="K115" s="61"/>
    </row>
    <row r="116" spans="11:11" x14ac:dyDescent="0.25">
      <c r="K116" s="61"/>
    </row>
    <row r="117" spans="11:11" x14ac:dyDescent="0.25">
      <c r="K117" s="61"/>
    </row>
    <row r="118" spans="11:11" x14ac:dyDescent="0.25">
      <c r="K118" s="61"/>
    </row>
    <row r="119" spans="11:11" x14ac:dyDescent="0.25">
      <c r="K119" s="61"/>
    </row>
    <row r="120" spans="11:11" x14ac:dyDescent="0.25">
      <c r="K120" s="61"/>
    </row>
    <row r="121" spans="11:11" x14ac:dyDescent="0.25">
      <c r="K121" s="61"/>
    </row>
    <row r="122" spans="11:11" x14ac:dyDescent="0.25">
      <c r="K122" s="61"/>
    </row>
    <row r="123" spans="11:11" x14ac:dyDescent="0.25">
      <c r="K123" s="61"/>
    </row>
    <row r="124" spans="11:11" x14ac:dyDescent="0.25">
      <c r="K124" s="61"/>
    </row>
    <row r="125" spans="11:11" x14ac:dyDescent="0.25">
      <c r="K125" s="61"/>
    </row>
    <row r="126" spans="11:11" x14ac:dyDescent="0.25">
      <c r="K126" s="61"/>
    </row>
    <row r="127" spans="11:11" x14ac:dyDescent="0.25">
      <c r="K127" s="61"/>
    </row>
    <row r="128" spans="11:11" x14ac:dyDescent="0.25">
      <c r="K128" s="61"/>
    </row>
    <row r="129" spans="11:11" x14ac:dyDescent="0.25">
      <c r="K129" s="61"/>
    </row>
    <row r="130" spans="11:11" x14ac:dyDescent="0.25">
      <c r="K130" s="61"/>
    </row>
    <row r="131" spans="11:11" x14ac:dyDescent="0.25">
      <c r="K131" s="61"/>
    </row>
    <row r="132" spans="11:11" x14ac:dyDescent="0.25">
      <c r="K132" s="61"/>
    </row>
    <row r="133" spans="11:11" x14ac:dyDescent="0.25">
      <c r="K133" s="61"/>
    </row>
    <row r="134" spans="11:11" x14ac:dyDescent="0.25">
      <c r="K134" s="61"/>
    </row>
    <row r="135" spans="11:11" x14ac:dyDescent="0.25">
      <c r="K135" s="61"/>
    </row>
    <row r="136" spans="11:11" x14ac:dyDescent="0.25">
      <c r="K136" s="61"/>
    </row>
    <row r="137" spans="11:11" x14ac:dyDescent="0.25">
      <c r="K137" s="61"/>
    </row>
    <row r="138" spans="11:11" x14ac:dyDescent="0.25">
      <c r="K138" s="61"/>
    </row>
    <row r="139" spans="11:11" x14ac:dyDescent="0.25">
      <c r="K139" s="61"/>
    </row>
    <row r="140" spans="11:11" x14ac:dyDescent="0.25">
      <c r="K140" s="61"/>
    </row>
    <row r="141" spans="11:11" x14ac:dyDescent="0.25">
      <c r="K141" s="61"/>
    </row>
    <row r="142" spans="11:11" x14ac:dyDescent="0.25">
      <c r="K142" s="61"/>
    </row>
    <row r="143" spans="11:11" x14ac:dyDescent="0.25">
      <c r="K143" s="61"/>
    </row>
    <row r="144" spans="11:11" x14ac:dyDescent="0.25">
      <c r="K144" s="61"/>
    </row>
    <row r="145" spans="11:11" x14ac:dyDescent="0.25">
      <c r="K145" s="61"/>
    </row>
    <row r="146" spans="11:11" x14ac:dyDescent="0.25">
      <c r="K146" s="61"/>
    </row>
    <row r="147" spans="11:11" x14ac:dyDescent="0.25">
      <c r="K147" s="61"/>
    </row>
    <row r="148" spans="11:11" x14ac:dyDescent="0.25">
      <c r="K148" s="61"/>
    </row>
    <row r="149" spans="11:11" x14ac:dyDescent="0.25">
      <c r="K149" s="61"/>
    </row>
    <row r="150" spans="11:11" x14ac:dyDescent="0.25">
      <c r="K150" s="61"/>
    </row>
    <row r="151" spans="11:11" x14ac:dyDescent="0.25">
      <c r="K151" s="61"/>
    </row>
    <row r="152" spans="11:11" x14ac:dyDescent="0.25">
      <c r="K152" s="61"/>
    </row>
    <row r="153" spans="11:11" x14ac:dyDescent="0.25">
      <c r="K153" s="61"/>
    </row>
    <row r="154" spans="11:11" x14ac:dyDescent="0.25">
      <c r="K154" s="61"/>
    </row>
    <row r="155" spans="11:11" x14ac:dyDescent="0.25">
      <c r="K155" s="61"/>
    </row>
    <row r="156" spans="11:11" x14ac:dyDescent="0.25">
      <c r="K156" s="61"/>
    </row>
    <row r="157" spans="11:11" x14ac:dyDescent="0.25">
      <c r="K157" s="61"/>
    </row>
    <row r="158" spans="11:11" x14ac:dyDescent="0.25">
      <c r="K158" s="61"/>
    </row>
    <row r="159" spans="11:11" x14ac:dyDescent="0.25">
      <c r="K159" s="61"/>
    </row>
    <row r="160" spans="11:11" x14ac:dyDescent="0.25">
      <c r="K160" s="61"/>
    </row>
    <row r="161" spans="11:11" x14ac:dyDescent="0.25">
      <c r="K161" s="61"/>
    </row>
    <row r="162" spans="11:11" x14ac:dyDescent="0.25">
      <c r="K162" s="61"/>
    </row>
    <row r="163" spans="11:11" x14ac:dyDescent="0.25">
      <c r="K163" s="61"/>
    </row>
    <row r="164" spans="11:11" x14ac:dyDescent="0.25">
      <c r="K164" s="61"/>
    </row>
    <row r="165" spans="11:11" x14ac:dyDescent="0.25">
      <c r="K165" s="61"/>
    </row>
    <row r="166" spans="11:11" x14ac:dyDescent="0.25">
      <c r="K166" s="61"/>
    </row>
    <row r="167" spans="11:11" x14ac:dyDescent="0.25">
      <c r="K167" s="61"/>
    </row>
    <row r="168" spans="11:11" x14ac:dyDescent="0.25">
      <c r="K168" s="61"/>
    </row>
    <row r="169" spans="11:11" x14ac:dyDescent="0.25">
      <c r="K169" s="61"/>
    </row>
    <row r="170" spans="11:11" x14ac:dyDescent="0.25">
      <c r="K170" s="61"/>
    </row>
    <row r="171" spans="11:11" x14ac:dyDescent="0.25">
      <c r="K171" s="61"/>
    </row>
    <row r="172" spans="11:11" x14ac:dyDescent="0.25">
      <c r="K172" s="61"/>
    </row>
    <row r="173" spans="11:11" x14ac:dyDescent="0.25">
      <c r="K173" s="61"/>
    </row>
    <row r="174" spans="11:11" x14ac:dyDescent="0.25">
      <c r="K174" s="61"/>
    </row>
    <row r="175" spans="11:11" x14ac:dyDescent="0.25">
      <c r="K175" s="61"/>
    </row>
    <row r="176" spans="11:11" x14ac:dyDescent="0.25">
      <c r="K176" s="61"/>
    </row>
    <row r="177" spans="11:11" x14ac:dyDescent="0.25">
      <c r="K177" s="61"/>
    </row>
    <row r="178" spans="11:11" x14ac:dyDescent="0.25">
      <c r="K178" s="61"/>
    </row>
    <row r="179" spans="11:11" x14ac:dyDescent="0.25">
      <c r="K179" s="61"/>
    </row>
    <row r="180" spans="11:11" x14ac:dyDescent="0.25">
      <c r="K180" s="61"/>
    </row>
    <row r="181" spans="11:11" x14ac:dyDescent="0.25">
      <c r="K181" s="61"/>
    </row>
    <row r="182" spans="11:11" x14ac:dyDescent="0.25">
      <c r="K182" s="61"/>
    </row>
    <row r="183" spans="11:11" x14ac:dyDescent="0.25">
      <c r="K183" s="61"/>
    </row>
    <row r="184" spans="11:11" x14ac:dyDescent="0.25">
      <c r="K184" s="61"/>
    </row>
    <row r="185" spans="11:11" x14ac:dyDescent="0.25">
      <c r="K185" s="61"/>
    </row>
    <row r="186" spans="11:11" x14ac:dyDescent="0.25">
      <c r="K186" s="61"/>
    </row>
    <row r="187" spans="11:11" x14ac:dyDescent="0.25">
      <c r="K187" s="61"/>
    </row>
    <row r="188" spans="11:11" x14ac:dyDescent="0.25">
      <c r="K188" s="61"/>
    </row>
    <row r="189" spans="11:11" x14ac:dyDescent="0.25">
      <c r="K189" s="61"/>
    </row>
    <row r="190" spans="11:11" x14ac:dyDescent="0.25">
      <c r="K190" s="61"/>
    </row>
    <row r="191" spans="11:11" x14ac:dyDescent="0.25">
      <c r="K191" s="61"/>
    </row>
    <row r="192" spans="11:11" x14ac:dyDescent="0.25">
      <c r="K192" s="61"/>
    </row>
    <row r="193" spans="11:11" x14ac:dyDescent="0.25">
      <c r="K193" s="61"/>
    </row>
    <row r="194" spans="11:11" x14ac:dyDescent="0.25">
      <c r="K194" s="61"/>
    </row>
    <row r="195" spans="11:11" x14ac:dyDescent="0.25">
      <c r="K195" s="61"/>
    </row>
    <row r="196" spans="11:11" x14ac:dyDescent="0.25">
      <c r="K196" s="61"/>
    </row>
    <row r="197" spans="11:11" x14ac:dyDescent="0.25">
      <c r="K197" s="61"/>
    </row>
    <row r="198" spans="11:11" x14ac:dyDescent="0.25">
      <c r="K198" s="61"/>
    </row>
    <row r="199" spans="11:11" x14ac:dyDescent="0.25">
      <c r="K199" s="61"/>
    </row>
    <row r="200" spans="11:11" x14ac:dyDescent="0.25">
      <c r="K200" s="61"/>
    </row>
    <row r="201" spans="11:11" x14ac:dyDescent="0.25">
      <c r="K201" s="61"/>
    </row>
    <row r="202" spans="11:11" x14ac:dyDescent="0.25">
      <c r="K202" s="61"/>
    </row>
    <row r="203" spans="11:11" x14ac:dyDescent="0.25">
      <c r="K203" s="61"/>
    </row>
    <row r="204" spans="11:11" x14ac:dyDescent="0.25">
      <c r="K204" s="61"/>
    </row>
    <row r="205" spans="11:11" x14ac:dyDescent="0.25">
      <c r="K205" s="61"/>
    </row>
    <row r="206" spans="11:11" x14ac:dyDescent="0.25">
      <c r="K206" s="61"/>
    </row>
    <row r="207" spans="11:11" x14ac:dyDescent="0.25">
      <c r="K207" s="61"/>
    </row>
    <row r="208" spans="11:11" x14ac:dyDescent="0.25">
      <c r="K208" s="61"/>
    </row>
    <row r="209" spans="11:11" x14ac:dyDescent="0.25">
      <c r="K209" s="61"/>
    </row>
    <row r="210" spans="11:11" x14ac:dyDescent="0.25">
      <c r="K210" s="61"/>
    </row>
    <row r="211" spans="11:11" x14ac:dyDescent="0.25">
      <c r="K211" s="61"/>
    </row>
    <row r="212" spans="11:11" x14ac:dyDescent="0.25">
      <c r="K212" s="61"/>
    </row>
    <row r="213" spans="11:11" x14ac:dyDescent="0.25">
      <c r="K213" s="61"/>
    </row>
    <row r="214" spans="11:11" x14ac:dyDescent="0.25">
      <c r="K214" s="61"/>
    </row>
    <row r="215" spans="11:11" x14ac:dyDescent="0.25">
      <c r="K215" s="61"/>
    </row>
    <row r="216" spans="11:11" x14ac:dyDescent="0.25">
      <c r="K216" s="61"/>
    </row>
    <row r="217" spans="11:11" x14ac:dyDescent="0.25">
      <c r="K217" s="61"/>
    </row>
    <row r="218" spans="11:11" x14ac:dyDescent="0.25">
      <c r="K218" s="61"/>
    </row>
    <row r="219" spans="11:11" x14ac:dyDescent="0.25">
      <c r="K219" s="61"/>
    </row>
    <row r="220" spans="11:11" x14ac:dyDescent="0.25">
      <c r="K220" s="61"/>
    </row>
    <row r="221" spans="11:11" x14ac:dyDescent="0.25">
      <c r="K221" s="61"/>
    </row>
    <row r="222" spans="11:11" x14ac:dyDescent="0.25">
      <c r="K222" s="61"/>
    </row>
    <row r="223" spans="11:11" x14ac:dyDescent="0.25">
      <c r="K223" s="61"/>
    </row>
    <row r="224" spans="11:11" x14ac:dyDescent="0.25">
      <c r="K224" s="61"/>
    </row>
    <row r="225" spans="11:11" x14ac:dyDescent="0.25">
      <c r="K225" s="61"/>
    </row>
    <row r="226" spans="11:11" x14ac:dyDescent="0.25">
      <c r="K226" s="61"/>
    </row>
    <row r="227" spans="11:11" x14ac:dyDescent="0.25">
      <c r="K227" s="61"/>
    </row>
    <row r="228" spans="11:11" x14ac:dyDescent="0.25">
      <c r="K228" s="61"/>
    </row>
    <row r="229" spans="11:11" x14ac:dyDescent="0.25">
      <c r="K229" s="61"/>
    </row>
    <row r="230" spans="11:11" x14ac:dyDescent="0.25">
      <c r="K230" s="61"/>
    </row>
    <row r="231" spans="11:11" x14ac:dyDescent="0.25">
      <c r="K231" s="61"/>
    </row>
    <row r="232" spans="11:11" x14ac:dyDescent="0.25">
      <c r="K232" s="61"/>
    </row>
    <row r="233" spans="11:11" x14ac:dyDescent="0.25">
      <c r="K233" s="61"/>
    </row>
    <row r="234" spans="11:11" x14ac:dyDescent="0.25">
      <c r="K234" s="61"/>
    </row>
    <row r="235" spans="11:11" x14ac:dyDescent="0.25">
      <c r="K235" s="61"/>
    </row>
    <row r="236" spans="11:11" x14ac:dyDescent="0.25">
      <c r="K236" s="61"/>
    </row>
    <row r="237" spans="11:11" x14ac:dyDescent="0.25">
      <c r="K237" s="61"/>
    </row>
    <row r="238" spans="11:11" x14ac:dyDescent="0.25">
      <c r="K238" s="61"/>
    </row>
    <row r="239" spans="11:11" x14ac:dyDescent="0.25">
      <c r="K239" s="61"/>
    </row>
    <row r="240" spans="11:11" x14ac:dyDescent="0.25">
      <c r="K240" s="61"/>
    </row>
    <row r="241" spans="11:11" x14ac:dyDescent="0.25">
      <c r="K241" s="61"/>
    </row>
    <row r="242" spans="11:11" x14ac:dyDescent="0.25">
      <c r="K242" s="61"/>
    </row>
    <row r="243" spans="11:11" x14ac:dyDescent="0.25">
      <c r="K243" s="61"/>
    </row>
    <row r="244" spans="11:11" x14ac:dyDescent="0.25">
      <c r="K244" s="61"/>
    </row>
    <row r="245" spans="11:11" x14ac:dyDescent="0.25">
      <c r="K245" s="61"/>
    </row>
    <row r="246" spans="11:11" x14ac:dyDescent="0.25">
      <c r="K246" s="61"/>
    </row>
    <row r="247" spans="11:11" x14ac:dyDescent="0.25">
      <c r="K247" s="61"/>
    </row>
    <row r="248" spans="11:11" x14ac:dyDescent="0.25">
      <c r="K248" s="61"/>
    </row>
    <row r="249" spans="11:11" x14ac:dyDescent="0.25">
      <c r="K249" s="61"/>
    </row>
    <row r="250" spans="11:11" x14ac:dyDescent="0.25">
      <c r="K250" s="61"/>
    </row>
    <row r="251" spans="11:11" x14ac:dyDescent="0.25">
      <c r="K251" s="61"/>
    </row>
    <row r="252" spans="11:11" x14ac:dyDescent="0.25">
      <c r="K252" s="61"/>
    </row>
    <row r="253" spans="11:11" x14ac:dyDescent="0.25">
      <c r="K253" s="61"/>
    </row>
    <row r="254" spans="11:11" x14ac:dyDescent="0.25">
      <c r="K254" s="61"/>
    </row>
    <row r="255" spans="11:11" x14ac:dyDescent="0.25">
      <c r="K255" s="61"/>
    </row>
    <row r="256" spans="11:11" x14ac:dyDescent="0.25">
      <c r="K256" s="61"/>
    </row>
    <row r="257" spans="11:11" x14ac:dyDescent="0.25">
      <c r="K257" s="61"/>
    </row>
    <row r="258" spans="11:11" x14ac:dyDescent="0.25">
      <c r="K258" s="61"/>
    </row>
    <row r="259" spans="11:11" x14ac:dyDescent="0.25">
      <c r="K259" s="61"/>
    </row>
    <row r="260" spans="11:11" x14ac:dyDescent="0.25">
      <c r="K260" s="61"/>
    </row>
    <row r="261" spans="11:11" x14ac:dyDescent="0.25">
      <c r="K261" s="61"/>
    </row>
    <row r="262" spans="11:11" x14ac:dyDescent="0.25">
      <c r="K262" s="61"/>
    </row>
    <row r="263" spans="11:11" x14ac:dyDescent="0.25">
      <c r="K263" s="61"/>
    </row>
    <row r="264" spans="11:11" x14ac:dyDescent="0.25">
      <c r="K264" s="61"/>
    </row>
    <row r="265" spans="11:11" x14ac:dyDescent="0.25">
      <c r="K265" s="61"/>
    </row>
    <row r="266" spans="11:11" x14ac:dyDescent="0.25">
      <c r="K266" s="61"/>
    </row>
    <row r="267" spans="11:11" x14ac:dyDescent="0.25">
      <c r="K267" s="61"/>
    </row>
    <row r="268" spans="11:11" x14ac:dyDescent="0.25">
      <c r="K268" s="61"/>
    </row>
    <row r="269" spans="11:11" x14ac:dyDescent="0.25">
      <c r="K269" s="61"/>
    </row>
    <row r="270" spans="11:11" x14ac:dyDescent="0.25">
      <c r="K270" s="61"/>
    </row>
    <row r="271" spans="11:11" x14ac:dyDescent="0.25">
      <c r="K271" s="61"/>
    </row>
    <row r="272" spans="11:11" x14ac:dyDescent="0.25">
      <c r="K272" s="61"/>
    </row>
    <row r="273" spans="11:11" x14ac:dyDescent="0.25">
      <c r="K273" s="61"/>
    </row>
    <row r="274" spans="11:11" x14ac:dyDescent="0.25">
      <c r="K274" s="61"/>
    </row>
    <row r="275" spans="11:11" x14ac:dyDescent="0.25">
      <c r="K275" s="61"/>
    </row>
    <row r="276" spans="11:11" x14ac:dyDescent="0.25">
      <c r="K276" s="61"/>
    </row>
    <row r="277" spans="11:11" x14ac:dyDescent="0.25">
      <c r="K277" s="61"/>
    </row>
    <row r="278" spans="11:11" x14ac:dyDescent="0.25">
      <c r="K278" s="61"/>
    </row>
    <row r="279" spans="11:11" x14ac:dyDescent="0.25">
      <c r="K279" s="61"/>
    </row>
    <row r="280" spans="11:11" x14ac:dyDescent="0.25">
      <c r="K280" s="61"/>
    </row>
    <row r="281" spans="11:11" x14ac:dyDescent="0.25">
      <c r="K281" s="61"/>
    </row>
    <row r="282" spans="11:11" x14ac:dyDescent="0.25">
      <c r="K282" s="61"/>
    </row>
    <row r="283" spans="11:11" x14ac:dyDescent="0.25">
      <c r="K283" s="61"/>
    </row>
    <row r="284" spans="11:11" x14ac:dyDescent="0.25">
      <c r="K284" s="61"/>
    </row>
    <row r="285" spans="11:11" x14ac:dyDescent="0.25">
      <c r="K285" s="61"/>
    </row>
    <row r="286" spans="11:11" x14ac:dyDescent="0.25">
      <c r="K286" s="61"/>
    </row>
    <row r="287" spans="11:11" x14ac:dyDescent="0.25">
      <c r="K287" s="61"/>
    </row>
    <row r="288" spans="11:11" x14ac:dyDescent="0.25">
      <c r="K288" s="61"/>
    </row>
    <row r="289" spans="11:11" x14ac:dyDescent="0.25">
      <c r="K289" s="61"/>
    </row>
    <row r="290" spans="11:11" x14ac:dyDescent="0.25">
      <c r="K290" s="61"/>
    </row>
    <row r="291" spans="11:11" x14ac:dyDescent="0.25">
      <c r="K291" s="61"/>
    </row>
    <row r="292" spans="11:11" x14ac:dyDescent="0.25">
      <c r="K292" s="61"/>
    </row>
    <row r="293" spans="11:11" x14ac:dyDescent="0.25">
      <c r="K293" s="61"/>
    </row>
    <row r="294" spans="11:11" x14ac:dyDescent="0.25">
      <c r="K294" s="61"/>
    </row>
    <row r="295" spans="11:11" x14ac:dyDescent="0.25">
      <c r="K295" s="61"/>
    </row>
    <row r="296" spans="11:11" x14ac:dyDescent="0.25">
      <c r="K296" s="61"/>
    </row>
    <row r="297" spans="11:11" x14ac:dyDescent="0.25">
      <c r="K297" s="61"/>
    </row>
    <row r="298" spans="11:11" x14ac:dyDescent="0.25">
      <c r="K298" s="61"/>
    </row>
    <row r="299" spans="11:11" x14ac:dyDescent="0.25">
      <c r="K299" s="61"/>
    </row>
    <row r="300" spans="11:11" x14ac:dyDescent="0.25">
      <c r="K300" s="61"/>
    </row>
    <row r="301" spans="11:11" x14ac:dyDescent="0.25">
      <c r="K301" s="61"/>
    </row>
    <row r="302" spans="11:11" x14ac:dyDescent="0.25">
      <c r="K302" s="61"/>
    </row>
    <row r="303" spans="11:11" x14ac:dyDescent="0.25">
      <c r="K303" s="61"/>
    </row>
    <row r="304" spans="11:11" x14ac:dyDescent="0.25">
      <c r="K304" s="61"/>
    </row>
    <row r="305" spans="11:11" x14ac:dyDescent="0.25">
      <c r="K305" s="61"/>
    </row>
    <row r="306" spans="11:11" x14ac:dyDescent="0.25">
      <c r="K306" s="61"/>
    </row>
    <row r="307" spans="11:11" x14ac:dyDescent="0.25">
      <c r="K307" s="61"/>
    </row>
    <row r="308" spans="11:11" x14ac:dyDescent="0.25">
      <c r="K308" s="61"/>
    </row>
    <row r="309" spans="11:11" x14ac:dyDescent="0.25">
      <c r="K309" s="61"/>
    </row>
    <row r="310" spans="11:11" x14ac:dyDescent="0.25">
      <c r="K310" s="61"/>
    </row>
    <row r="311" spans="11:11" x14ac:dyDescent="0.25">
      <c r="K311" s="61"/>
    </row>
    <row r="312" spans="11:11" x14ac:dyDescent="0.25">
      <c r="K312" s="61"/>
    </row>
    <row r="313" spans="11:11" x14ac:dyDescent="0.25">
      <c r="K313" s="61"/>
    </row>
    <row r="314" spans="11:11" x14ac:dyDescent="0.25">
      <c r="K314" s="61"/>
    </row>
    <row r="315" spans="11:11" x14ac:dyDescent="0.25">
      <c r="K315" s="61"/>
    </row>
    <row r="316" spans="11:11" x14ac:dyDescent="0.25">
      <c r="K316" s="61"/>
    </row>
    <row r="317" spans="11:11" x14ac:dyDescent="0.25">
      <c r="K317" s="61"/>
    </row>
    <row r="318" spans="11:11" x14ac:dyDescent="0.25">
      <c r="K318" s="61"/>
    </row>
    <row r="319" spans="11:11" x14ac:dyDescent="0.25">
      <c r="K319" s="61"/>
    </row>
    <row r="320" spans="11:11" x14ac:dyDescent="0.25">
      <c r="K320" s="61"/>
    </row>
    <row r="321" spans="11:11" x14ac:dyDescent="0.25">
      <c r="K321" s="61"/>
    </row>
    <row r="322" spans="11:11" x14ac:dyDescent="0.25">
      <c r="K322" s="61"/>
    </row>
    <row r="323" spans="11:11" x14ac:dyDescent="0.25">
      <c r="K323" s="61"/>
    </row>
    <row r="324" spans="11:11" x14ac:dyDescent="0.25">
      <c r="K324" s="61"/>
    </row>
    <row r="325" spans="11:11" x14ac:dyDescent="0.25">
      <c r="K325" s="61"/>
    </row>
    <row r="326" spans="11:11" x14ac:dyDescent="0.25">
      <c r="K326" s="61"/>
    </row>
    <row r="327" spans="11:11" x14ac:dyDescent="0.25">
      <c r="K327" s="61"/>
    </row>
    <row r="328" spans="11:11" x14ac:dyDescent="0.25">
      <c r="K328" s="61"/>
    </row>
    <row r="329" spans="11:11" x14ac:dyDescent="0.25">
      <c r="K329" s="61"/>
    </row>
    <row r="330" spans="11:11" x14ac:dyDescent="0.25">
      <c r="K330" s="61"/>
    </row>
    <row r="331" spans="11:11" x14ac:dyDescent="0.25">
      <c r="K331" s="61"/>
    </row>
    <row r="332" spans="11:11" x14ac:dyDescent="0.25">
      <c r="K332" s="61"/>
    </row>
    <row r="333" spans="11:11" x14ac:dyDescent="0.25">
      <c r="K333" s="61"/>
    </row>
    <row r="334" spans="11:11" x14ac:dyDescent="0.25">
      <c r="K334" s="61"/>
    </row>
    <row r="335" spans="11:11" x14ac:dyDescent="0.25">
      <c r="K335" s="61"/>
    </row>
    <row r="336" spans="11:11" x14ac:dyDescent="0.25">
      <c r="K336" s="61"/>
    </row>
    <row r="337" spans="11:11" x14ac:dyDescent="0.25">
      <c r="K337" s="61"/>
    </row>
    <row r="338" spans="11:11" x14ac:dyDescent="0.25">
      <c r="K338" s="61"/>
    </row>
    <row r="339" spans="11:11" x14ac:dyDescent="0.25">
      <c r="K339" s="61"/>
    </row>
    <row r="340" spans="11:11" x14ac:dyDescent="0.25">
      <c r="K340" s="61"/>
    </row>
    <row r="341" spans="11:11" x14ac:dyDescent="0.25">
      <c r="K341" s="61"/>
    </row>
    <row r="342" spans="11:11" x14ac:dyDescent="0.25">
      <c r="K342" s="61"/>
    </row>
    <row r="343" spans="11:11" x14ac:dyDescent="0.25">
      <c r="K343" s="61"/>
    </row>
    <row r="344" spans="11:11" x14ac:dyDescent="0.25">
      <c r="K344" s="61"/>
    </row>
    <row r="345" spans="11:11" x14ac:dyDescent="0.25">
      <c r="K345" s="61"/>
    </row>
    <row r="346" spans="11:11" x14ac:dyDescent="0.25">
      <c r="K346" s="61"/>
    </row>
    <row r="347" spans="11:11" x14ac:dyDescent="0.25">
      <c r="K347" s="61"/>
    </row>
    <row r="348" spans="11:11" x14ac:dyDescent="0.25">
      <c r="K348" s="61"/>
    </row>
    <row r="349" spans="11:11" x14ac:dyDescent="0.25">
      <c r="K349" s="61"/>
    </row>
    <row r="350" spans="11:11" x14ac:dyDescent="0.25">
      <c r="K350" s="61"/>
    </row>
    <row r="351" spans="11:11" x14ac:dyDescent="0.25">
      <c r="K351" s="61"/>
    </row>
    <row r="352" spans="11:11" x14ac:dyDescent="0.25">
      <c r="K352" s="61"/>
    </row>
    <row r="353" spans="11:11" x14ac:dyDescent="0.25">
      <c r="K353" s="61"/>
    </row>
    <row r="354" spans="11:11" x14ac:dyDescent="0.25">
      <c r="K354" s="61"/>
    </row>
    <row r="355" spans="11:11" x14ac:dyDescent="0.25">
      <c r="K355" s="61"/>
    </row>
    <row r="356" spans="11:11" x14ac:dyDescent="0.25">
      <c r="K356" s="61"/>
    </row>
    <row r="357" spans="11:11" x14ac:dyDescent="0.25">
      <c r="K357" s="61"/>
    </row>
    <row r="358" spans="11:11" x14ac:dyDescent="0.25">
      <c r="K358" s="61"/>
    </row>
    <row r="359" spans="11:11" x14ac:dyDescent="0.25">
      <c r="K359" s="61"/>
    </row>
    <row r="360" spans="11:11" x14ac:dyDescent="0.25">
      <c r="K360" s="61"/>
    </row>
    <row r="361" spans="11:11" x14ac:dyDescent="0.25">
      <c r="K361" s="61"/>
    </row>
    <row r="362" spans="11:11" x14ac:dyDescent="0.25">
      <c r="K362" s="61"/>
    </row>
    <row r="363" spans="11:11" x14ac:dyDescent="0.25">
      <c r="K363" s="61"/>
    </row>
    <row r="364" spans="11:11" x14ac:dyDescent="0.25">
      <c r="K364" s="61"/>
    </row>
    <row r="365" spans="11:11" x14ac:dyDescent="0.25">
      <c r="K365" s="61"/>
    </row>
    <row r="366" spans="11:11" x14ac:dyDescent="0.25">
      <c r="K366" s="61"/>
    </row>
    <row r="367" spans="11:11" x14ac:dyDescent="0.25">
      <c r="K367" s="61"/>
    </row>
    <row r="368" spans="11:11" x14ac:dyDescent="0.25">
      <c r="K368" s="61"/>
    </row>
    <row r="369" spans="11:11" x14ac:dyDescent="0.25">
      <c r="K369" s="61"/>
    </row>
    <row r="370" spans="11:11" x14ac:dyDescent="0.25">
      <c r="K370" s="61"/>
    </row>
    <row r="371" spans="11:11" x14ac:dyDescent="0.25">
      <c r="K371" s="61"/>
    </row>
    <row r="372" spans="11:11" x14ac:dyDescent="0.25">
      <c r="K372" s="61"/>
    </row>
    <row r="373" spans="11:11" x14ac:dyDescent="0.25">
      <c r="K373" s="61"/>
    </row>
    <row r="374" spans="11:11" x14ac:dyDescent="0.25">
      <c r="K374" s="61"/>
    </row>
    <row r="375" spans="11:11" x14ac:dyDescent="0.25">
      <c r="K375" s="61"/>
    </row>
    <row r="376" spans="11:11" x14ac:dyDescent="0.25">
      <c r="K376" s="61"/>
    </row>
    <row r="377" spans="11:11" x14ac:dyDescent="0.25">
      <c r="K377" s="61"/>
    </row>
    <row r="378" spans="11:11" x14ac:dyDescent="0.25">
      <c r="K378" s="61"/>
    </row>
    <row r="379" spans="11:11" x14ac:dyDescent="0.25">
      <c r="K379" s="61"/>
    </row>
    <row r="380" spans="11:11" x14ac:dyDescent="0.25">
      <c r="K380" s="61"/>
    </row>
    <row r="381" spans="11:11" x14ac:dyDescent="0.25">
      <c r="K381" s="61"/>
    </row>
    <row r="382" spans="11:11" x14ac:dyDescent="0.25">
      <c r="K382" s="61"/>
    </row>
    <row r="383" spans="11:11" x14ac:dyDescent="0.25">
      <c r="K383" s="61"/>
    </row>
    <row r="384" spans="11:11" x14ac:dyDescent="0.25">
      <c r="K384" s="61"/>
    </row>
    <row r="385" spans="11:11" x14ac:dyDescent="0.25">
      <c r="K385" s="61"/>
    </row>
    <row r="386" spans="11:11" x14ac:dyDescent="0.25">
      <c r="K386" s="61"/>
    </row>
    <row r="387" spans="11:11" x14ac:dyDescent="0.25">
      <c r="K387" s="61"/>
    </row>
    <row r="388" spans="11:11" x14ac:dyDescent="0.25">
      <c r="K388" s="61"/>
    </row>
    <row r="389" spans="11:11" x14ac:dyDescent="0.25">
      <c r="K389" s="61"/>
    </row>
    <row r="390" spans="11:11" x14ac:dyDescent="0.25">
      <c r="K390" s="61"/>
    </row>
    <row r="391" spans="11:11" x14ac:dyDescent="0.25">
      <c r="K391" s="61"/>
    </row>
    <row r="392" spans="11:11" x14ac:dyDescent="0.25">
      <c r="K392" s="61"/>
    </row>
    <row r="393" spans="11:11" x14ac:dyDescent="0.25">
      <c r="K393" s="61"/>
    </row>
    <row r="394" spans="11:11" x14ac:dyDescent="0.25">
      <c r="K394" s="61"/>
    </row>
    <row r="395" spans="11:11" x14ac:dyDescent="0.25">
      <c r="K395" s="61"/>
    </row>
    <row r="396" spans="11:11" x14ac:dyDescent="0.25">
      <c r="K396" s="61"/>
    </row>
    <row r="397" spans="11:11" x14ac:dyDescent="0.25">
      <c r="K397" s="61"/>
    </row>
    <row r="398" spans="11:11" x14ac:dyDescent="0.25">
      <c r="K398" s="61"/>
    </row>
    <row r="399" spans="11:11" x14ac:dyDescent="0.25">
      <c r="K399" s="61"/>
    </row>
    <row r="400" spans="11:11" x14ac:dyDescent="0.25">
      <c r="K400" s="61"/>
    </row>
    <row r="401" spans="11:11" x14ac:dyDescent="0.25">
      <c r="K401" s="61"/>
    </row>
    <row r="402" spans="11:11" x14ac:dyDescent="0.25">
      <c r="K402" s="61"/>
    </row>
    <row r="403" spans="11:11" x14ac:dyDescent="0.25">
      <c r="K403" s="61"/>
    </row>
    <row r="404" spans="11:11" x14ac:dyDescent="0.25">
      <c r="K404" s="61"/>
    </row>
    <row r="405" spans="11:11" x14ac:dyDescent="0.25">
      <c r="K405" s="61"/>
    </row>
    <row r="406" spans="11:11" x14ac:dyDescent="0.25">
      <c r="K406" s="61"/>
    </row>
    <row r="407" spans="11:11" x14ac:dyDescent="0.25">
      <c r="K407" s="61"/>
    </row>
    <row r="408" spans="11:11" x14ac:dyDescent="0.25">
      <c r="K408" s="61"/>
    </row>
    <row r="409" spans="11:11" x14ac:dyDescent="0.25">
      <c r="K409" s="61"/>
    </row>
    <row r="410" spans="11:11" x14ac:dyDescent="0.25">
      <c r="K410" s="61"/>
    </row>
    <row r="411" spans="11:11" x14ac:dyDescent="0.25">
      <c r="K411" s="61"/>
    </row>
    <row r="412" spans="11:11" x14ac:dyDescent="0.25">
      <c r="K412" s="61"/>
    </row>
    <row r="413" spans="11:11" x14ac:dyDescent="0.25">
      <c r="K413" s="61"/>
    </row>
    <row r="414" spans="11:11" x14ac:dyDescent="0.25">
      <c r="K414" s="61"/>
    </row>
    <row r="415" spans="11:11" x14ac:dyDescent="0.25">
      <c r="K415" s="61"/>
    </row>
    <row r="416" spans="11:11" x14ac:dyDescent="0.25">
      <c r="K416" s="61"/>
    </row>
    <row r="417" spans="11:11" x14ac:dyDescent="0.25">
      <c r="K417" s="61"/>
    </row>
    <row r="418" spans="11:11" x14ac:dyDescent="0.25">
      <c r="K418" s="61"/>
    </row>
    <row r="419" spans="11:11" x14ac:dyDescent="0.25">
      <c r="K419" s="61"/>
    </row>
    <row r="420" spans="11:11" x14ac:dyDescent="0.25">
      <c r="K420" s="61"/>
    </row>
    <row r="421" spans="11:11" x14ac:dyDescent="0.25">
      <c r="K421" s="61"/>
    </row>
    <row r="422" spans="11:11" x14ac:dyDescent="0.25">
      <c r="K422" s="61"/>
    </row>
    <row r="423" spans="11:11" x14ac:dyDescent="0.25">
      <c r="K423" s="61"/>
    </row>
    <row r="424" spans="11:11" x14ac:dyDescent="0.25">
      <c r="K424" s="61"/>
    </row>
    <row r="425" spans="11:11" x14ac:dyDescent="0.25">
      <c r="K425" s="61"/>
    </row>
    <row r="426" spans="11:11" x14ac:dyDescent="0.25">
      <c r="K426" s="61"/>
    </row>
    <row r="427" spans="11:11" x14ac:dyDescent="0.25">
      <c r="K427" s="61"/>
    </row>
    <row r="428" spans="11:11" x14ac:dyDescent="0.25">
      <c r="K428" s="61"/>
    </row>
    <row r="429" spans="11:11" x14ac:dyDescent="0.25">
      <c r="K429" s="61"/>
    </row>
    <row r="430" spans="11:11" x14ac:dyDescent="0.25">
      <c r="K430" s="61"/>
    </row>
    <row r="431" spans="11:11" x14ac:dyDescent="0.25">
      <c r="K431" s="61"/>
    </row>
    <row r="432" spans="11:11" x14ac:dyDescent="0.25">
      <c r="K432" s="61"/>
    </row>
    <row r="433" spans="11:11" x14ac:dyDescent="0.25">
      <c r="K433" s="61"/>
    </row>
    <row r="434" spans="11:11" x14ac:dyDescent="0.25">
      <c r="K434" s="61"/>
    </row>
    <row r="435" spans="11:11" x14ac:dyDescent="0.25">
      <c r="K435" s="61"/>
    </row>
    <row r="436" spans="11:11" x14ac:dyDescent="0.25">
      <c r="K436" s="61"/>
    </row>
    <row r="437" spans="11:11" x14ac:dyDescent="0.25">
      <c r="K437" s="61"/>
    </row>
    <row r="438" spans="11:11" x14ac:dyDescent="0.25">
      <c r="K438" s="61"/>
    </row>
    <row r="439" spans="11:11" x14ac:dyDescent="0.25">
      <c r="K439" s="61"/>
    </row>
    <row r="440" spans="11:11" x14ac:dyDescent="0.25">
      <c r="K440" s="61"/>
    </row>
    <row r="441" spans="11:11" x14ac:dyDescent="0.25">
      <c r="K441" s="61"/>
    </row>
    <row r="442" spans="11:11" x14ac:dyDescent="0.25">
      <c r="K442" s="61"/>
    </row>
    <row r="443" spans="11:11" x14ac:dyDescent="0.25">
      <c r="K443" s="61"/>
    </row>
    <row r="444" spans="11:11" x14ac:dyDescent="0.25">
      <c r="K444" s="61"/>
    </row>
    <row r="445" spans="11:11" x14ac:dyDescent="0.25">
      <c r="K445" s="61"/>
    </row>
    <row r="446" spans="11:11" x14ac:dyDescent="0.25">
      <c r="K446" s="61"/>
    </row>
    <row r="447" spans="11:11" x14ac:dyDescent="0.25">
      <c r="K447" s="61"/>
    </row>
    <row r="448" spans="11:11" x14ac:dyDescent="0.25">
      <c r="K448" s="61"/>
    </row>
    <row r="449" spans="11:11" x14ac:dyDescent="0.25">
      <c r="K449" s="61"/>
    </row>
    <row r="450" spans="11:11" x14ac:dyDescent="0.25">
      <c r="K450" s="61"/>
    </row>
    <row r="451" spans="11:11" x14ac:dyDescent="0.25">
      <c r="K451" s="61"/>
    </row>
    <row r="452" spans="11:11" x14ac:dyDescent="0.25">
      <c r="K452" s="61"/>
    </row>
    <row r="453" spans="11:11" x14ac:dyDescent="0.25">
      <c r="K453" s="61"/>
    </row>
    <row r="454" spans="11:11" x14ac:dyDescent="0.25">
      <c r="K454" s="61"/>
    </row>
    <row r="455" spans="11:11" x14ac:dyDescent="0.25">
      <c r="K455" s="61"/>
    </row>
    <row r="456" spans="11:11" x14ac:dyDescent="0.25">
      <c r="K456" s="61"/>
    </row>
    <row r="457" spans="11:11" x14ac:dyDescent="0.25">
      <c r="K457" s="61"/>
    </row>
    <row r="458" spans="11:11" x14ac:dyDescent="0.25">
      <c r="K458" s="61"/>
    </row>
    <row r="459" spans="11:11" x14ac:dyDescent="0.25">
      <c r="K459" s="61"/>
    </row>
    <row r="460" spans="11:11" x14ac:dyDescent="0.25">
      <c r="K460" s="61"/>
    </row>
    <row r="461" spans="11:11" x14ac:dyDescent="0.25">
      <c r="K461" s="61"/>
    </row>
    <row r="462" spans="11:11" x14ac:dyDescent="0.25">
      <c r="K462" s="61"/>
    </row>
    <row r="463" spans="11:11" x14ac:dyDescent="0.25">
      <c r="K463" s="61"/>
    </row>
    <row r="464" spans="11:11" x14ac:dyDescent="0.25">
      <c r="K464" s="61"/>
    </row>
    <row r="465" spans="11:11" x14ac:dyDescent="0.25">
      <c r="K465" s="61"/>
    </row>
    <row r="466" spans="11:11" x14ac:dyDescent="0.25">
      <c r="K466" s="61"/>
    </row>
    <row r="467" spans="11:11" x14ac:dyDescent="0.25">
      <c r="K467" s="61"/>
    </row>
    <row r="468" spans="11:11" x14ac:dyDescent="0.25">
      <c r="K468" s="61"/>
    </row>
    <row r="469" spans="11:11" x14ac:dyDescent="0.25">
      <c r="K469" s="61"/>
    </row>
    <row r="470" spans="11:11" x14ac:dyDescent="0.25">
      <c r="K470" s="61"/>
    </row>
    <row r="471" spans="11:11" x14ac:dyDescent="0.25">
      <c r="K471" s="61"/>
    </row>
    <row r="472" spans="11:11" x14ac:dyDescent="0.25">
      <c r="K472" s="61"/>
    </row>
    <row r="473" spans="11:11" x14ac:dyDescent="0.25">
      <c r="K473" s="61"/>
    </row>
    <row r="474" spans="11:11" x14ac:dyDescent="0.25">
      <c r="K474" s="61"/>
    </row>
    <row r="475" spans="11:11" x14ac:dyDescent="0.25">
      <c r="K475" s="61"/>
    </row>
    <row r="476" spans="11:11" x14ac:dyDescent="0.25">
      <c r="K476" s="61"/>
    </row>
    <row r="477" spans="11:11" x14ac:dyDescent="0.25">
      <c r="K477" s="61"/>
    </row>
    <row r="478" spans="11:11" x14ac:dyDescent="0.25">
      <c r="K478" s="61"/>
    </row>
    <row r="479" spans="11:11" x14ac:dyDescent="0.25">
      <c r="K479" s="61"/>
    </row>
    <row r="480" spans="11:11" x14ac:dyDescent="0.25">
      <c r="K480" s="61"/>
    </row>
    <row r="481" spans="11:11" x14ac:dyDescent="0.25">
      <c r="K481" s="61"/>
    </row>
    <row r="482" spans="11:11" x14ac:dyDescent="0.25">
      <c r="K482" s="61"/>
    </row>
    <row r="483" spans="11:11" x14ac:dyDescent="0.25">
      <c r="K483" s="61"/>
    </row>
    <row r="484" spans="11:11" x14ac:dyDescent="0.25">
      <c r="K484" s="61"/>
    </row>
    <row r="485" spans="11:11" x14ac:dyDescent="0.25">
      <c r="K485" s="61"/>
    </row>
    <row r="486" spans="11:11" x14ac:dyDescent="0.25">
      <c r="K486" s="61"/>
    </row>
    <row r="487" spans="11:11" x14ac:dyDescent="0.25">
      <c r="K487" s="61"/>
    </row>
    <row r="488" spans="11:11" x14ac:dyDescent="0.25">
      <c r="K488" s="61"/>
    </row>
    <row r="489" spans="11:11" x14ac:dyDescent="0.25">
      <c r="K489" s="61"/>
    </row>
    <row r="490" spans="11:11" x14ac:dyDescent="0.25">
      <c r="K490" s="61"/>
    </row>
    <row r="491" spans="11:11" x14ac:dyDescent="0.25">
      <c r="K491" s="61"/>
    </row>
    <row r="492" spans="11:11" x14ac:dyDescent="0.25">
      <c r="K492" s="61"/>
    </row>
    <row r="493" spans="11:11" x14ac:dyDescent="0.25">
      <c r="K493" s="61"/>
    </row>
    <row r="494" spans="11:11" x14ac:dyDescent="0.25">
      <c r="K494" s="61"/>
    </row>
    <row r="495" spans="11:11" x14ac:dyDescent="0.25">
      <c r="K495" s="61"/>
    </row>
    <row r="496" spans="11:11" x14ac:dyDescent="0.25">
      <c r="K496" s="61"/>
    </row>
    <row r="497" spans="11:11" x14ac:dyDescent="0.25">
      <c r="K497" s="61"/>
    </row>
    <row r="498" spans="11:11" x14ac:dyDescent="0.25">
      <c r="K498" s="61"/>
    </row>
    <row r="499" spans="11:11" x14ac:dyDescent="0.25">
      <c r="K499" s="61"/>
    </row>
    <row r="500" spans="11:11" x14ac:dyDescent="0.25">
      <c r="K500" s="61"/>
    </row>
    <row r="501" spans="11:11" x14ac:dyDescent="0.25">
      <c r="K501" s="61"/>
    </row>
    <row r="502" spans="11:11" x14ac:dyDescent="0.25">
      <c r="K502" s="61"/>
    </row>
    <row r="503" spans="11:11" x14ac:dyDescent="0.25">
      <c r="K503" s="61"/>
    </row>
    <row r="504" spans="11:11" x14ac:dyDescent="0.25">
      <c r="K504" s="61"/>
    </row>
    <row r="505" spans="11:11" x14ac:dyDescent="0.25">
      <c r="K505" s="61"/>
    </row>
    <row r="506" spans="11:11" x14ac:dyDescent="0.25">
      <c r="K506" s="61"/>
    </row>
    <row r="507" spans="11:11" x14ac:dyDescent="0.25">
      <c r="K507" s="61"/>
    </row>
    <row r="508" spans="11:11" x14ac:dyDescent="0.25">
      <c r="K508" s="61"/>
    </row>
    <row r="509" spans="11:11" x14ac:dyDescent="0.25">
      <c r="K509" s="61"/>
    </row>
    <row r="510" spans="11:11" x14ac:dyDescent="0.25">
      <c r="K510" s="61"/>
    </row>
    <row r="511" spans="11:11" x14ac:dyDescent="0.25">
      <c r="K511" s="61"/>
    </row>
    <row r="512" spans="11:11" x14ac:dyDescent="0.25">
      <c r="K512" s="61"/>
    </row>
    <row r="513" spans="11:11" x14ac:dyDescent="0.25">
      <c r="K513" s="61"/>
    </row>
    <row r="514" spans="11:11" x14ac:dyDescent="0.25">
      <c r="K514" s="61"/>
    </row>
    <row r="515" spans="11:11" x14ac:dyDescent="0.25">
      <c r="K515" s="61"/>
    </row>
    <row r="516" spans="11:11" x14ac:dyDescent="0.25">
      <c r="K516" s="61"/>
    </row>
    <row r="517" spans="11:11" x14ac:dyDescent="0.25">
      <c r="K517" s="61"/>
    </row>
    <row r="518" spans="11:11" x14ac:dyDescent="0.25">
      <c r="K518" s="61"/>
    </row>
    <row r="519" spans="11:11" x14ac:dyDescent="0.25">
      <c r="K519" s="61"/>
    </row>
    <row r="520" spans="11:11" x14ac:dyDescent="0.25">
      <c r="K520" s="61"/>
    </row>
    <row r="521" spans="11:11" x14ac:dyDescent="0.25">
      <c r="K521" s="61"/>
    </row>
    <row r="522" spans="11:11" x14ac:dyDescent="0.25">
      <c r="K522" s="61"/>
    </row>
    <row r="523" spans="11:11" x14ac:dyDescent="0.25">
      <c r="K523" s="61"/>
    </row>
    <row r="524" spans="11:11" x14ac:dyDescent="0.25">
      <c r="K524" s="61"/>
    </row>
    <row r="525" spans="11:11" x14ac:dyDescent="0.25">
      <c r="K525" s="61"/>
    </row>
    <row r="526" spans="11:11" x14ac:dyDescent="0.25">
      <c r="K526" s="61"/>
    </row>
    <row r="527" spans="11:11" x14ac:dyDescent="0.25">
      <c r="K527" s="61"/>
    </row>
    <row r="528" spans="11:11" x14ac:dyDescent="0.25">
      <c r="K528" s="61"/>
    </row>
    <row r="529" spans="11:11" x14ac:dyDescent="0.25">
      <c r="K529" s="61"/>
    </row>
    <row r="530" spans="11:11" x14ac:dyDescent="0.25">
      <c r="K530" s="61"/>
    </row>
    <row r="531" spans="11:11" x14ac:dyDescent="0.25">
      <c r="K531" s="61"/>
    </row>
    <row r="532" spans="11:11" x14ac:dyDescent="0.25">
      <c r="K532" s="61"/>
    </row>
    <row r="533" spans="11:11" x14ac:dyDescent="0.25">
      <c r="K533" s="61"/>
    </row>
    <row r="534" spans="11:11" x14ac:dyDescent="0.25">
      <c r="K534" s="61"/>
    </row>
    <row r="535" spans="11:11" x14ac:dyDescent="0.25">
      <c r="K535" s="61"/>
    </row>
    <row r="536" spans="11:11" x14ac:dyDescent="0.25">
      <c r="K536" s="61"/>
    </row>
    <row r="537" spans="11:11" x14ac:dyDescent="0.25">
      <c r="K537" s="61"/>
    </row>
    <row r="538" spans="11:11" x14ac:dyDescent="0.25">
      <c r="K538" s="61"/>
    </row>
    <row r="539" spans="11:11" x14ac:dyDescent="0.25">
      <c r="K539" s="61"/>
    </row>
    <row r="540" spans="11:11" x14ac:dyDescent="0.25">
      <c r="K540" s="61"/>
    </row>
    <row r="541" spans="11:11" x14ac:dyDescent="0.25">
      <c r="K541" s="61"/>
    </row>
    <row r="542" spans="11:11" x14ac:dyDescent="0.25">
      <c r="K542" s="61"/>
    </row>
    <row r="543" spans="11:11" x14ac:dyDescent="0.25">
      <c r="K543" s="61"/>
    </row>
    <row r="544" spans="11:11" x14ac:dyDescent="0.25">
      <c r="K544" s="61"/>
    </row>
    <row r="545" spans="11:11" x14ac:dyDescent="0.25">
      <c r="K545" s="61"/>
    </row>
    <row r="546" spans="11:11" x14ac:dyDescent="0.25">
      <c r="K546" s="61"/>
    </row>
    <row r="547" spans="11:11" x14ac:dyDescent="0.25">
      <c r="K547" s="61"/>
    </row>
    <row r="548" spans="11:11" x14ac:dyDescent="0.25">
      <c r="K548" s="61"/>
    </row>
    <row r="549" spans="11:11" x14ac:dyDescent="0.25">
      <c r="K549" s="61"/>
    </row>
    <row r="550" spans="11:11" x14ac:dyDescent="0.25">
      <c r="K550" s="61"/>
    </row>
    <row r="551" spans="11:11" x14ac:dyDescent="0.25">
      <c r="K551" s="61"/>
    </row>
    <row r="552" spans="11:11" x14ac:dyDescent="0.25">
      <c r="K552" s="61"/>
    </row>
    <row r="553" spans="11:11" x14ac:dyDescent="0.25">
      <c r="K553" s="61"/>
    </row>
    <row r="554" spans="11:11" x14ac:dyDescent="0.25">
      <c r="K554" s="61"/>
    </row>
    <row r="555" spans="11:11" x14ac:dyDescent="0.25">
      <c r="K555" s="61"/>
    </row>
    <row r="556" spans="11:11" x14ac:dyDescent="0.25">
      <c r="K556" s="61"/>
    </row>
    <row r="557" spans="11:11" x14ac:dyDescent="0.25">
      <c r="K557" s="61"/>
    </row>
    <row r="558" spans="11:11" x14ac:dyDescent="0.25">
      <c r="K558" s="61"/>
    </row>
    <row r="559" spans="11:11" x14ac:dyDescent="0.25">
      <c r="K559" s="61"/>
    </row>
    <row r="560" spans="11:11" x14ac:dyDescent="0.25">
      <c r="K560" s="61"/>
    </row>
    <row r="561" spans="11:11" x14ac:dyDescent="0.25">
      <c r="K561" s="61"/>
    </row>
    <row r="562" spans="11:11" x14ac:dyDescent="0.25">
      <c r="K562" s="61"/>
    </row>
    <row r="563" spans="11:11" x14ac:dyDescent="0.25">
      <c r="K563" s="61"/>
    </row>
    <row r="564" spans="11:11" x14ac:dyDescent="0.25">
      <c r="K564" s="61"/>
    </row>
    <row r="565" spans="11:11" x14ac:dyDescent="0.25">
      <c r="K565" s="61"/>
    </row>
    <row r="566" spans="11:11" x14ac:dyDescent="0.25">
      <c r="K566" s="61"/>
    </row>
    <row r="567" spans="11:11" x14ac:dyDescent="0.25">
      <c r="K567" s="61"/>
    </row>
    <row r="568" spans="11:11" x14ac:dyDescent="0.25">
      <c r="K568" s="61"/>
    </row>
    <row r="569" spans="11:11" x14ac:dyDescent="0.25">
      <c r="K569" s="61"/>
    </row>
    <row r="570" spans="11:11" x14ac:dyDescent="0.25">
      <c r="K570" s="61"/>
    </row>
    <row r="571" spans="11:11" x14ac:dyDescent="0.25">
      <c r="K571" s="61"/>
    </row>
    <row r="572" spans="11:11" x14ac:dyDescent="0.25">
      <c r="K572" s="61"/>
    </row>
    <row r="573" spans="11:11" x14ac:dyDescent="0.25">
      <c r="K573" s="61"/>
    </row>
    <row r="574" spans="11:11" x14ac:dyDescent="0.25">
      <c r="K574" s="61"/>
    </row>
    <row r="575" spans="11:11" x14ac:dyDescent="0.25">
      <c r="K575" s="61"/>
    </row>
    <row r="576" spans="11:11" x14ac:dyDescent="0.25">
      <c r="K576" s="61"/>
    </row>
    <row r="577" spans="11:11" x14ac:dyDescent="0.25">
      <c r="K577" s="61"/>
    </row>
    <row r="578" spans="11:11" x14ac:dyDescent="0.25">
      <c r="K578" s="61"/>
    </row>
    <row r="579" spans="11:11" x14ac:dyDescent="0.25">
      <c r="K579" s="61"/>
    </row>
    <row r="580" spans="11:11" x14ac:dyDescent="0.25">
      <c r="K580" s="61"/>
    </row>
    <row r="581" spans="11:11" x14ac:dyDescent="0.25">
      <c r="K581" s="61"/>
    </row>
    <row r="582" spans="11:11" x14ac:dyDescent="0.25">
      <c r="K582" s="61"/>
    </row>
    <row r="583" spans="11:11" x14ac:dyDescent="0.25">
      <c r="K583" s="61"/>
    </row>
    <row r="584" spans="11:11" x14ac:dyDescent="0.25">
      <c r="K584" s="61"/>
    </row>
    <row r="585" spans="11:11" x14ac:dyDescent="0.25">
      <c r="K585" s="61"/>
    </row>
    <row r="586" spans="11:11" x14ac:dyDescent="0.25">
      <c r="K586" s="61"/>
    </row>
    <row r="587" spans="11:11" x14ac:dyDescent="0.25">
      <c r="K587" s="61"/>
    </row>
    <row r="588" spans="11:11" x14ac:dyDescent="0.25">
      <c r="K588" s="61"/>
    </row>
    <row r="589" spans="11:11" x14ac:dyDescent="0.25">
      <c r="K589" s="61"/>
    </row>
    <row r="590" spans="11:11" x14ac:dyDescent="0.25">
      <c r="K590" s="61"/>
    </row>
    <row r="591" spans="11:11" x14ac:dyDescent="0.25">
      <c r="K591" s="61"/>
    </row>
    <row r="592" spans="11:11" x14ac:dyDescent="0.25">
      <c r="K592" s="61"/>
    </row>
    <row r="593" spans="11:11" x14ac:dyDescent="0.25">
      <c r="K593" s="61"/>
    </row>
    <row r="594" spans="11:11" x14ac:dyDescent="0.25">
      <c r="K594" s="61"/>
    </row>
    <row r="595" spans="11:11" x14ac:dyDescent="0.25">
      <c r="K595" s="61"/>
    </row>
    <row r="596" spans="11:11" x14ac:dyDescent="0.25">
      <c r="K596" s="61"/>
    </row>
    <row r="597" spans="11:11" x14ac:dyDescent="0.25">
      <c r="K597" s="61"/>
    </row>
    <row r="598" spans="11:11" x14ac:dyDescent="0.25">
      <c r="K598" s="61"/>
    </row>
    <row r="599" spans="11:11" x14ac:dyDescent="0.25">
      <c r="K599" s="61"/>
    </row>
    <row r="600" spans="11:11" x14ac:dyDescent="0.25">
      <c r="K600" s="61"/>
    </row>
    <row r="601" spans="11:11" x14ac:dyDescent="0.25">
      <c r="K601" s="61"/>
    </row>
    <row r="602" spans="11:11" x14ac:dyDescent="0.25">
      <c r="K602" s="61"/>
    </row>
    <row r="603" spans="11:11" x14ac:dyDescent="0.25">
      <c r="K603" s="61"/>
    </row>
    <row r="604" spans="11:11" x14ac:dyDescent="0.25">
      <c r="K604" s="61"/>
    </row>
    <row r="605" spans="11:11" x14ac:dyDescent="0.25">
      <c r="K605" s="61"/>
    </row>
    <row r="606" spans="11:11" x14ac:dyDescent="0.25">
      <c r="K606" s="61"/>
    </row>
    <row r="607" spans="11:11" x14ac:dyDescent="0.25">
      <c r="K607" s="61"/>
    </row>
    <row r="608" spans="11:11" x14ac:dyDescent="0.25">
      <c r="K608" s="61"/>
    </row>
    <row r="609" spans="11:11" x14ac:dyDescent="0.25">
      <c r="K609" s="61"/>
    </row>
    <row r="610" spans="11:11" x14ac:dyDescent="0.25">
      <c r="K610" s="61"/>
    </row>
    <row r="611" spans="11:11" x14ac:dyDescent="0.25">
      <c r="K611" s="61"/>
    </row>
    <row r="612" spans="11:11" x14ac:dyDescent="0.25">
      <c r="K612" s="61"/>
    </row>
    <row r="613" spans="11:11" x14ac:dyDescent="0.25">
      <c r="K613" s="61"/>
    </row>
    <row r="614" spans="11:11" x14ac:dyDescent="0.25">
      <c r="K614" s="61"/>
    </row>
    <row r="615" spans="11:11" x14ac:dyDescent="0.25">
      <c r="K615" s="61"/>
    </row>
    <row r="616" spans="11:11" x14ac:dyDescent="0.25">
      <c r="K616" s="61"/>
    </row>
    <row r="617" spans="11:11" x14ac:dyDescent="0.25">
      <c r="K617" s="61"/>
    </row>
    <row r="618" spans="11:11" x14ac:dyDescent="0.25">
      <c r="K618" s="61"/>
    </row>
    <row r="619" spans="11:11" x14ac:dyDescent="0.25">
      <c r="K619" s="61"/>
    </row>
    <row r="620" spans="11:11" x14ac:dyDescent="0.25">
      <c r="K620" s="61"/>
    </row>
    <row r="621" spans="11:11" x14ac:dyDescent="0.25">
      <c r="K621" s="61"/>
    </row>
    <row r="622" spans="11:11" x14ac:dyDescent="0.25">
      <c r="K622" s="61"/>
    </row>
    <row r="623" spans="11:11" x14ac:dyDescent="0.25">
      <c r="K623" s="61"/>
    </row>
    <row r="624" spans="11:11" x14ac:dyDescent="0.25">
      <c r="K624" s="61"/>
    </row>
    <row r="625" spans="11:11" x14ac:dyDescent="0.25">
      <c r="K625" s="61"/>
    </row>
    <row r="626" spans="11:11" x14ac:dyDescent="0.25">
      <c r="K626" s="61"/>
    </row>
    <row r="627" spans="11:11" x14ac:dyDescent="0.25">
      <c r="K627" s="61"/>
    </row>
    <row r="628" spans="11:11" x14ac:dyDescent="0.25">
      <c r="K628" s="61"/>
    </row>
    <row r="629" spans="11:11" x14ac:dyDescent="0.25">
      <c r="K629" s="61"/>
    </row>
    <row r="630" spans="11:11" x14ac:dyDescent="0.25">
      <c r="K630" s="61"/>
    </row>
    <row r="631" spans="11:11" x14ac:dyDescent="0.25">
      <c r="K631" s="61"/>
    </row>
    <row r="632" spans="11:11" x14ac:dyDescent="0.25">
      <c r="K632" s="61"/>
    </row>
    <row r="633" spans="11:11" x14ac:dyDescent="0.25">
      <c r="K633" s="61"/>
    </row>
    <row r="634" spans="11:11" x14ac:dyDescent="0.25">
      <c r="K634" s="61"/>
    </row>
    <row r="635" spans="11:11" x14ac:dyDescent="0.25">
      <c r="K635" s="61"/>
    </row>
    <row r="636" spans="11:11" x14ac:dyDescent="0.25">
      <c r="K636" s="61"/>
    </row>
    <row r="637" spans="11:11" x14ac:dyDescent="0.25">
      <c r="K637" s="61"/>
    </row>
    <row r="638" spans="11:11" x14ac:dyDescent="0.25">
      <c r="K638" s="61"/>
    </row>
    <row r="639" spans="11:11" x14ac:dyDescent="0.25">
      <c r="K639" s="61"/>
    </row>
    <row r="640" spans="11:11" x14ac:dyDescent="0.25">
      <c r="K640" s="61"/>
    </row>
    <row r="641" spans="11:11" x14ac:dyDescent="0.25">
      <c r="K641" s="61"/>
    </row>
    <row r="642" spans="11:11" x14ac:dyDescent="0.25">
      <c r="K642" s="61"/>
    </row>
    <row r="643" spans="11:11" x14ac:dyDescent="0.25">
      <c r="K643" s="61"/>
    </row>
    <row r="644" spans="11:11" x14ac:dyDescent="0.25">
      <c r="K644" s="61"/>
    </row>
    <row r="645" spans="11:11" x14ac:dyDescent="0.25">
      <c r="K645" s="61"/>
    </row>
    <row r="646" spans="11:11" x14ac:dyDescent="0.25">
      <c r="K646" s="61"/>
    </row>
    <row r="647" spans="11:11" x14ac:dyDescent="0.25">
      <c r="K647" s="61"/>
    </row>
    <row r="648" spans="11:11" x14ac:dyDescent="0.25">
      <c r="K648" s="61"/>
    </row>
    <row r="649" spans="11:11" x14ac:dyDescent="0.25">
      <c r="K649" s="61"/>
    </row>
    <row r="650" spans="11:11" x14ac:dyDescent="0.25">
      <c r="K650" s="61"/>
    </row>
    <row r="651" spans="11:11" x14ac:dyDescent="0.25">
      <c r="K651" s="61"/>
    </row>
    <row r="652" spans="11:11" x14ac:dyDescent="0.25">
      <c r="K652" s="61"/>
    </row>
    <row r="653" spans="11:11" x14ac:dyDescent="0.25">
      <c r="K653" s="61"/>
    </row>
    <row r="654" spans="11:11" x14ac:dyDescent="0.25">
      <c r="K654" s="61"/>
    </row>
    <row r="655" spans="11:11" x14ac:dyDescent="0.25">
      <c r="K655" s="61"/>
    </row>
    <row r="656" spans="11:11" x14ac:dyDescent="0.25">
      <c r="K656" s="61"/>
    </row>
    <row r="657" spans="11:11" x14ac:dyDescent="0.25">
      <c r="K657" s="61"/>
    </row>
    <row r="658" spans="11:11" x14ac:dyDescent="0.25">
      <c r="K658" s="61"/>
    </row>
    <row r="659" spans="11:11" x14ac:dyDescent="0.25">
      <c r="K659" s="61"/>
    </row>
    <row r="660" spans="11:11" x14ac:dyDescent="0.25">
      <c r="K660" s="61"/>
    </row>
    <row r="661" spans="11:11" x14ac:dyDescent="0.25">
      <c r="K661" s="61"/>
    </row>
    <row r="662" spans="11:11" x14ac:dyDescent="0.25">
      <c r="K662" s="61"/>
    </row>
    <row r="663" spans="11:11" x14ac:dyDescent="0.25">
      <c r="K663" s="61"/>
    </row>
    <row r="664" spans="11:11" x14ac:dyDescent="0.25">
      <c r="K664" s="61"/>
    </row>
    <row r="665" spans="11:11" x14ac:dyDescent="0.25">
      <c r="K665" s="61"/>
    </row>
    <row r="666" spans="11:11" x14ac:dyDescent="0.25">
      <c r="K666" s="61"/>
    </row>
    <row r="667" spans="11:11" x14ac:dyDescent="0.25">
      <c r="K667" s="61"/>
    </row>
    <row r="668" spans="11:11" x14ac:dyDescent="0.25">
      <c r="K668" s="61"/>
    </row>
    <row r="669" spans="11:11" x14ac:dyDescent="0.25">
      <c r="K669" s="61"/>
    </row>
    <row r="670" spans="11:11" x14ac:dyDescent="0.25">
      <c r="K670" s="61"/>
    </row>
    <row r="671" spans="11:11" x14ac:dyDescent="0.25">
      <c r="K671" s="61"/>
    </row>
    <row r="672" spans="11:11" x14ac:dyDescent="0.25">
      <c r="K672" s="61"/>
    </row>
    <row r="673" spans="11:11" x14ac:dyDescent="0.25">
      <c r="K673" s="61"/>
    </row>
    <row r="674" spans="11:11" x14ac:dyDescent="0.25">
      <c r="K674" s="61"/>
    </row>
    <row r="675" spans="11:11" x14ac:dyDescent="0.25">
      <c r="K675" s="61"/>
    </row>
    <row r="676" spans="11:11" x14ac:dyDescent="0.25">
      <c r="K676" s="61"/>
    </row>
    <row r="677" spans="11:11" x14ac:dyDescent="0.25">
      <c r="K677" s="61"/>
    </row>
    <row r="678" spans="11:11" x14ac:dyDescent="0.25">
      <c r="K678" s="61"/>
    </row>
    <row r="679" spans="11:11" x14ac:dyDescent="0.25">
      <c r="K679" s="61"/>
    </row>
    <row r="680" spans="11:11" x14ac:dyDescent="0.25">
      <c r="K680" s="61"/>
    </row>
    <row r="681" spans="11:11" x14ac:dyDescent="0.25">
      <c r="K681" s="61"/>
    </row>
    <row r="682" spans="11:11" x14ac:dyDescent="0.25">
      <c r="K682" s="61"/>
    </row>
    <row r="683" spans="11:11" x14ac:dyDescent="0.25">
      <c r="K683" s="61"/>
    </row>
    <row r="684" spans="11:11" x14ac:dyDescent="0.25">
      <c r="K684" s="61"/>
    </row>
    <row r="685" spans="11:11" x14ac:dyDescent="0.25">
      <c r="K685" s="61"/>
    </row>
    <row r="686" spans="11:11" x14ac:dyDescent="0.25">
      <c r="K686" s="61"/>
    </row>
    <row r="687" spans="11:11" x14ac:dyDescent="0.25">
      <c r="K687" s="61"/>
    </row>
    <row r="688" spans="11:11" x14ac:dyDescent="0.25">
      <c r="K688" s="61"/>
    </row>
    <row r="689" spans="11:11" x14ac:dyDescent="0.25">
      <c r="K689" s="61"/>
    </row>
    <row r="690" spans="11:11" x14ac:dyDescent="0.25">
      <c r="K690" s="61"/>
    </row>
    <row r="691" spans="11:11" x14ac:dyDescent="0.25">
      <c r="K691" s="61"/>
    </row>
    <row r="692" spans="11:11" x14ac:dyDescent="0.25">
      <c r="K692" s="61"/>
    </row>
    <row r="693" spans="11:11" x14ac:dyDescent="0.25">
      <c r="K693" s="61"/>
    </row>
    <row r="694" spans="11:11" x14ac:dyDescent="0.25">
      <c r="K694" s="61"/>
    </row>
    <row r="695" spans="11:11" x14ac:dyDescent="0.25">
      <c r="K695" s="61"/>
    </row>
    <row r="696" spans="11:11" x14ac:dyDescent="0.25">
      <c r="K696" s="61"/>
    </row>
    <row r="697" spans="11:11" x14ac:dyDescent="0.25">
      <c r="K697" s="61"/>
    </row>
    <row r="698" spans="11:11" x14ac:dyDescent="0.25">
      <c r="K698" s="61"/>
    </row>
    <row r="699" spans="11:11" x14ac:dyDescent="0.25">
      <c r="K699" s="61"/>
    </row>
    <row r="700" spans="11:11" x14ac:dyDescent="0.25">
      <c r="K700" s="61"/>
    </row>
    <row r="701" spans="11:11" x14ac:dyDescent="0.25">
      <c r="K701" s="61"/>
    </row>
    <row r="702" spans="11:11" x14ac:dyDescent="0.25">
      <c r="K702" s="61"/>
    </row>
    <row r="703" spans="11:11" x14ac:dyDescent="0.25">
      <c r="K703" s="61"/>
    </row>
    <row r="704" spans="11:11" x14ac:dyDescent="0.25">
      <c r="K704" s="61"/>
    </row>
    <row r="705" spans="11:11" x14ac:dyDescent="0.25">
      <c r="K705" s="61"/>
    </row>
    <row r="706" spans="11:11" x14ac:dyDescent="0.25">
      <c r="K706" s="61"/>
    </row>
    <row r="707" spans="11:11" x14ac:dyDescent="0.25">
      <c r="K707" s="61"/>
    </row>
    <row r="708" spans="11:11" x14ac:dyDescent="0.25">
      <c r="K708" s="61"/>
    </row>
    <row r="709" spans="11:11" x14ac:dyDescent="0.25">
      <c r="K709" s="61"/>
    </row>
    <row r="710" spans="11:11" x14ac:dyDescent="0.25">
      <c r="K710" s="61"/>
    </row>
    <row r="711" spans="11:11" x14ac:dyDescent="0.25">
      <c r="K711" s="61"/>
    </row>
    <row r="712" spans="11:11" x14ac:dyDescent="0.25">
      <c r="K712" s="61"/>
    </row>
    <row r="713" spans="11:11" x14ac:dyDescent="0.25">
      <c r="K713" s="61"/>
    </row>
    <row r="714" spans="11:11" x14ac:dyDescent="0.25">
      <c r="K714" s="61"/>
    </row>
    <row r="715" spans="11:11" x14ac:dyDescent="0.25">
      <c r="K715" s="61"/>
    </row>
    <row r="716" spans="11:11" x14ac:dyDescent="0.25">
      <c r="K716" s="61"/>
    </row>
    <row r="717" spans="11:11" x14ac:dyDescent="0.25">
      <c r="K717" s="61"/>
    </row>
    <row r="718" spans="11:11" x14ac:dyDescent="0.25">
      <c r="K718" s="61"/>
    </row>
    <row r="719" spans="11:11" x14ac:dyDescent="0.25">
      <c r="K719" s="61"/>
    </row>
    <row r="720" spans="11:11" x14ac:dyDescent="0.25">
      <c r="K720" s="61"/>
    </row>
    <row r="721" spans="11:11" x14ac:dyDescent="0.25">
      <c r="K721" s="61"/>
    </row>
    <row r="722" spans="11:11" x14ac:dyDescent="0.25">
      <c r="K722" s="61"/>
    </row>
    <row r="723" spans="11:11" x14ac:dyDescent="0.25">
      <c r="K723" s="61"/>
    </row>
    <row r="724" spans="11:11" x14ac:dyDescent="0.25">
      <c r="K724" s="61"/>
    </row>
    <row r="725" spans="11:11" x14ac:dyDescent="0.25">
      <c r="K725" s="61"/>
    </row>
    <row r="726" spans="11:11" x14ac:dyDescent="0.25">
      <c r="K726" s="61"/>
    </row>
    <row r="727" spans="11:11" x14ac:dyDescent="0.25">
      <c r="K727" s="61"/>
    </row>
    <row r="728" spans="11:11" x14ac:dyDescent="0.25">
      <c r="K728" s="61"/>
    </row>
    <row r="729" spans="11:11" x14ac:dyDescent="0.25">
      <c r="K729" s="61"/>
    </row>
    <row r="730" spans="11:11" x14ac:dyDescent="0.25">
      <c r="K730" s="61"/>
    </row>
    <row r="731" spans="11:11" x14ac:dyDescent="0.25">
      <c r="K731" s="61"/>
    </row>
    <row r="732" spans="11:11" x14ac:dyDescent="0.25">
      <c r="K732" s="61"/>
    </row>
    <row r="733" spans="11:11" x14ac:dyDescent="0.25">
      <c r="K733" s="61"/>
    </row>
    <row r="734" spans="11:11" x14ac:dyDescent="0.25">
      <c r="K734" s="61"/>
    </row>
    <row r="735" spans="11:11" x14ac:dyDescent="0.25">
      <c r="K735" s="61"/>
    </row>
    <row r="736" spans="11:11" x14ac:dyDescent="0.25">
      <c r="K736" s="61"/>
    </row>
    <row r="737" spans="11:11" x14ac:dyDescent="0.25">
      <c r="K737" s="61"/>
    </row>
    <row r="738" spans="11:11" x14ac:dyDescent="0.25">
      <c r="K738" s="61"/>
    </row>
    <row r="739" spans="11:11" x14ac:dyDescent="0.25">
      <c r="K739" s="61"/>
    </row>
    <row r="740" spans="11:11" x14ac:dyDescent="0.25">
      <c r="K740" s="61"/>
    </row>
    <row r="741" spans="11:11" x14ac:dyDescent="0.25">
      <c r="K741" s="61"/>
    </row>
    <row r="742" spans="11:11" x14ac:dyDescent="0.25">
      <c r="K742" s="61"/>
    </row>
    <row r="743" spans="11:11" x14ac:dyDescent="0.25">
      <c r="K743" s="61"/>
    </row>
    <row r="744" spans="11:11" x14ac:dyDescent="0.25">
      <c r="K744" s="61"/>
    </row>
    <row r="745" spans="11:11" x14ac:dyDescent="0.25">
      <c r="K745" s="61"/>
    </row>
    <row r="746" spans="11:11" x14ac:dyDescent="0.25">
      <c r="K746" s="61"/>
    </row>
    <row r="747" spans="11:11" x14ac:dyDescent="0.25">
      <c r="K747" s="61"/>
    </row>
    <row r="748" spans="11:11" x14ac:dyDescent="0.25">
      <c r="K748" s="61"/>
    </row>
    <row r="749" spans="11:11" x14ac:dyDescent="0.25">
      <c r="K749" s="61"/>
    </row>
    <row r="750" spans="11:11" x14ac:dyDescent="0.25">
      <c r="K750" s="61"/>
    </row>
    <row r="751" spans="11:11" x14ac:dyDescent="0.25">
      <c r="K751" s="61"/>
    </row>
    <row r="752" spans="11:11" x14ac:dyDescent="0.25">
      <c r="K752" s="61"/>
    </row>
    <row r="753" spans="11:11" x14ac:dyDescent="0.25">
      <c r="K753" s="61"/>
    </row>
    <row r="754" spans="11:11" x14ac:dyDescent="0.25">
      <c r="K754" s="61"/>
    </row>
    <row r="755" spans="11:11" x14ac:dyDescent="0.25">
      <c r="K755" s="61"/>
    </row>
    <row r="756" spans="11:11" x14ac:dyDescent="0.25">
      <c r="K756" s="61"/>
    </row>
    <row r="757" spans="11:11" x14ac:dyDescent="0.25">
      <c r="K757" s="61"/>
    </row>
    <row r="758" spans="11:11" x14ac:dyDescent="0.25">
      <c r="K758" s="61"/>
    </row>
    <row r="759" spans="11:11" x14ac:dyDescent="0.25">
      <c r="K759" s="61"/>
    </row>
    <row r="760" spans="11:11" x14ac:dyDescent="0.25">
      <c r="K760" s="61"/>
    </row>
    <row r="761" spans="11:11" x14ac:dyDescent="0.25">
      <c r="K761" s="61"/>
    </row>
    <row r="762" spans="11:11" x14ac:dyDescent="0.25">
      <c r="K762" s="61"/>
    </row>
    <row r="763" spans="11:11" x14ac:dyDescent="0.25">
      <c r="K763" s="61"/>
    </row>
    <row r="764" spans="11:11" x14ac:dyDescent="0.25">
      <c r="K764" s="61"/>
    </row>
    <row r="765" spans="11:11" x14ac:dyDescent="0.25">
      <c r="K765" s="61"/>
    </row>
    <row r="766" spans="11:11" x14ac:dyDescent="0.25">
      <c r="K766" s="61"/>
    </row>
    <row r="767" spans="11:11" x14ac:dyDescent="0.25">
      <c r="K767" s="61"/>
    </row>
    <row r="768" spans="11:11" x14ac:dyDescent="0.25">
      <c r="K768" s="61"/>
    </row>
    <row r="769" spans="11:11" x14ac:dyDescent="0.25">
      <c r="K769" s="61"/>
    </row>
    <row r="770" spans="11:11" x14ac:dyDescent="0.25">
      <c r="K770" s="61"/>
    </row>
    <row r="771" spans="11:11" x14ac:dyDescent="0.25">
      <c r="K771" s="61"/>
    </row>
    <row r="772" spans="11:11" x14ac:dyDescent="0.25">
      <c r="K772" s="61"/>
    </row>
    <row r="773" spans="11:11" x14ac:dyDescent="0.25">
      <c r="K773" s="61"/>
    </row>
    <row r="774" spans="11:11" x14ac:dyDescent="0.25">
      <c r="K774" s="61"/>
    </row>
    <row r="775" spans="11:11" x14ac:dyDescent="0.25">
      <c r="K775" s="61"/>
    </row>
    <row r="776" spans="11:11" x14ac:dyDescent="0.25">
      <c r="K776" s="61"/>
    </row>
    <row r="777" spans="11:11" x14ac:dyDescent="0.25">
      <c r="K777" s="61"/>
    </row>
    <row r="778" spans="11:11" x14ac:dyDescent="0.25">
      <c r="K778" s="61"/>
    </row>
    <row r="779" spans="11:11" x14ac:dyDescent="0.25">
      <c r="K779" s="61"/>
    </row>
    <row r="780" spans="11:11" x14ac:dyDescent="0.25">
      <c r="K780" s="61"/>
    </row>
    <row r="781" spans="11:11" x14ac:dyDescent="0.25">
      <c r="K781" s="61"/>
    </row>
    <row r="782" spans="11:11" x14ac:dyDescent="0.25">
      <c r="K782" s="61"/>
    </row>
    <row r="783" spans="11:11" x14ac:dyDescent="0.25">
      <c r="K783" s="61"/>
    </row>
    <row r="784" spans="11:11" x14ac:dyDescent="0.25">
      <c r="K784" s="61"/>
    </row>
    <row r="785" spans="11:11" x14ac:dyDescent="0.25">
      <c r="K785" s="61"/>
    </row>
    <row r="786" spans="11:11" x14ac:dyDescent="0.25">
      <c r="K786" s="61"/>
    </row>
    <row r="787" spans="11:11" x14ac:dyDescent="0.25">
      <c r="K787" s="61"/>
    </row>
    <row r="788" spans="11:11" x14ac:dyDescent="0.25">
      <c r="K788" s="61"/>
    </row>
    <row r="789" spans="11:11" x14ac:dyDescent="0.25">
      <c r="K789" s="61"/>
    </row>
    <row r="790" spans="11:11" x14ac:dyDescent="0.25">
      <c r="K790" s="61"/>
    </row>
    <row r="791" spans="11:11" x14ac:dyDescent="0.25">
      <c r="K791" s="61"/>
    </row>
    <row r="792" spans="11:11" x14ac:dyDescent="0.25">
      <c r="K792" s="61"/>
    </row>
    <row r="793" spans="11:11" x14ac:dyDescent="0.25">
      <c r="K793" s="61"/>
    </row>
    <row r="794" spans="11:11" x14ac:dyDescent="0.25">
      <c r="K794" s="61"/>
    </row>
    <row r="795" spans="11:11" x14ac:dyDescent="0.25">
      <c r="K795" s="61"/>
    </row>
    <row r="796" spans="11:11" x14ac:dyDescent="0.25">
      <c r="K796" s="61"/>
    </row>
    <row r="797" spans="11:11" x14ac:dyDescent="0.25">
      <c r="K797" s="61"/>
    </row>
    <row r="798" spans="11:11" x14ac:dyDescent="0.25">
      <c r="K798" s="61"/>
    </row>
    <row r="799" spans="11:11" x14ac:dyDescent="0.25">
      <c r="K799" s="61"/>
    </row>
    <row r="800" spans="11:11" x14ac:dyDescent="0.25">
      <c r="K800" s="61"/>
    </row>
    <row r="801" spans="11:11" x14ac:dyDescent="0.25">
      <c r="K801" s="61"/>
    </row>
    <row r="802" spans="11:11" x14ac:dyDescent="0.25">
      <c r="K802" s="61"/>
    </row>
    <row r="803" spans="11:11" x14ac:dyDescent="0.25">
      <c r="K803" s="61"/>
    </row>
    <row r="804" spans="11:11" x14ac:dyDescent="0.25">
      <c r="K804" s="61"/>
    </row>
    <row r="805" spans="11:11" x14ac:dyDescent="0.25">
      <c r="K805" s="61"/>
    </row>
    <row r="806" spans="11:11" x14ac:dyDescent="0.25">
      <c r="K806" s="61"/>
    </row>
    <row r="807" spans="11:11" x14ac:dyDescent="0.25">
      <c r="K807" s="61"/>
    </row>
    <row r="808" spans="11:11" x14ac:dyDescent="0.25">
      <c r="K808" s="61"/>
    </row>
    <row r="809" spans="11:11" x14ac:dyDescent="0.25">
      <c r="K809" s="61"/>
    </row>
    <row r="810" spans="11:11" x14ac:dyDescent="0.25">
      <c r="K810" s="61"/>
    </row>
    <row r="811" spans="11:11" x14ac:dyDescent="0.25">
      <c r="K811" s="61"/>
    </row>
    <row r="812" spans="11:11" x14ac:dyDescent="0.25">
      <c r="K812" s="61"/>
    </row>
    <row r="813" spans="11:11" x14ac:dyDescent="0.25">
      <c r="K813" s="61"/>
    </row>
    <row r="814" spans="11:11" x14ac:dyDescent="0.25">
      <c r="K814" s="61"/>
    </row>
    <row r="815" spans="11:11" x14ac:dyDescent="0.25">
      <c r="K815" s="61"/>
    </row>
    <row r="816" spans="11:11" x14ac:dyDescent="0.25">
      <c r="K816" s="61"/>
    </row>
    <row r="817" spans="11:11" x14ac:dyDescent="0.25">
      <c r="K817" s="61"/>
    </row>
    <row r="818" spans="11:11" x14ac:dyDescent="0.25">
      <c r="K818" s="61"/>
    </row>
    <row r="819" spans="11:11" x14ac:dyDescent="0.25">
      <c r="K819" s="61"/>
    </row>
    <row r="820" spans="11:11" x14ac:dyDescent="0.25">
      <c r="K820" s="61"/>
    </row>
    <row r="821" spans="11:11" x14ac:dyDescent="0.25">
      <c r="K821" s="61"/>
    </row>
    <row r="822" spans="11:11" x14ac:dyDescent="0.25">
      <c r="K822" s="61"/>
    </row>
    <row r="823" spans="11:11" x14ac:dyDescent="0.25">
      <c r="K823" s="61"/>
    </row>
    <row r="824" spans="11:11" x14ac:dyDescent="0.25">
      <c r="K824" s="61"/>
    </row>
    <row r="825" spans="11:11" x14ac:dyDescent="0.25">
      <c r="K825" s="61"/>
    </row>
    <row r="826" spans="11:11" x14ac:dyDescent="0.25">
      <c r="K826" s="61"/>
    </row>
    <row r="827" spans="11:11" x14ac:dyDescent="0.25">
      <c r="K827" s="61"/>
    </row>
    <row r="828" spans="11:11" x14ac:dyDescent="0.25">
      <c r="K828" s="61"/>
    </row>
    <row r="829" spans="11:11" x14ac:dyDescent="0.25">
      <c r="K829" s="61"/>
    </row>
    <row r="830" spans="11:11" x14ac:dyDescent="0.25">
      <c r="K830" s="61"/>
    </row>
    <row r="831" spans="11:11" x14ac:dyDescent="0.25">
      <c r="K831" s="61"/>
    </row>
    <row r="832" spans="11:11" x14ac:dyDescent="0.25">
      <c r="K832" s="61"/>
    </row>
    <row r="833" spans="11:11" x14ac:dyDescent="0.25">
      <c r="K833" s="61"/>
    </row>
    <row r="834" spans="11:11" x14ac:dyDescent="0.25">
      <c r="K834" s="61"/>
    </row>
    <row r="835" spans="11:11" x14ac:dyDescent="0.25">
      <c r="K835" s="61"/>
    </row>
    <row r="836" spans="11:11" x14ac:dyDescent="0.25">
      <c r="K836" s="61"/>
    </row>
    <row r="837" spans="11:11" x14ac:dyDescent="0.25">
      <c r="K837" s="61"/>
    </row>
    <row r="838" spans="11:11" x14ac:dyDescent="0.25">
      <c r="K838" s="61"/>
    </row>
    <row r="839" spans="11:11" x14ac:dyDescent="0.25">
      <c r="K839" s="61"/>
    </row>
    <row r="840" spans="11:11" x14ac:dyDescent="0.25">
      <c r="K840" s="61"/>
    </row>
    <row r="841" spans="11:11" x14ac:dyDescent="0.25">
      <c r="K841" s="61"/>
    </row>
    <row r="842" spans="11:11" x14ac:dyDescent="0.25">
      <c r="K842" s="61"/>
    </row>
    <row r="843" spans="11:11" x14ac:dyDescent="0.25">
      <c r="K843" s="61"/>
    </row>
    <row r="844" spans="11:11" x14ac:dyDescent="0.25">
      <c r="K844" s="61"/>
    </row>
    <row r="845" spans="11:11" x14ac:dyDescent="0.25">
      <c r="K845" s="61"/>
    </row>
    <row r="846" spans="11:11" x14ac:dyDescent="0.25">
      <c r="K846" s="61"/>
    </row>
    <row r="847" spans="11:11" x14ac:dyDescent="0.25">
      <c r="K847" s="61"/>
    </row>
    <row r="848" spans="11:11" x14ac:dyDescent="0.25">
      <c r="K848" s="61"/>
    </row>
    <row r="849" spans="11:11" x14ac:dyDescent="0.25">
      <c r="K849" s="61"/>
    </row>
    <row r="850" spans="11:11" x14ac:dyDescent="0.25">
      <c r="K850" s="61"/>
    </row>
    <row r="851" spans="11:11" x14ac:dyDescent="0.25">
      <c r="K851" s="61"/>
    </row>
    <row r="852" spans="11:11" x14ac:dyDescent="0.25">
      <c r="K852" s="61"/>
    </row>
    <row r="853" spans="11:11" x14ac:dyDescent="0.25">
      <c r="K853" s="61"/>
    </row>
    <row r="854" spans="11:11" x14ac:dyDescent="0.25">
      <c r="K854" s="61"/>
    </row>
    <row r="855" spans="11:11" x14ac:dyDescent="0.25">
      <c r="K855" s="61"/>
    </row>
    <row r="856" spans="11:11" x14ac:dyDescent="0.25">
      <c r="K856" s="61"/>
    </row>
    <row r="857" spans="11:11" x14ac:dyDescent="0.25">
      <c r="K857" s="61"/>
    </row>
    <row r="858" spans="11:11" x14ac:dyDescent="0.25">
      <c r="K858" s="61"/>
    </row>
    <row r="859" spans="11:11" x14ac:dyDescent="0.25">
      <c r="K859" s="61"/>
    </row>
    <row r="860" spans="11:11" x14ac:dyDescent="0.25">
      <c r="K860" s="61"/>
    </row>
    <row r="861" spans="11:11" x14ac:dyDescent="0.25">
      <c r="K861" s="61"/>
    </row>
    <row r="862" spans="11:11" x14ac:dyDescent="0.25">
      <c r="K862" s="61"/>
    </row>
    <row r="863" spans="11:11" x14ac:dyDescent="0.25">
      <c r="K863" s="61"/>
    </row>
    <row r="864" spans="11:11" x14ac:dyDescent="0.25">
      <c r="K864" s="61"/>
    </row>
    <row r="865" spans="11:11" x14ac:dyDescent="0.25">
      <c r="K865" s="61"/>
    </row>
    <row r="866" spans="11:11" x14ac:dyDescent="0.25">
      <c r="K866" s="61"/>
    </row>
    <row r="867" spans="11:11" x14ac:dyDescent="0.25">
      <c r="K867" s="61"/>
    </row>
    <row r="868" spans="11:11" x14ac:dyDescent="0.25">
      <c r="K868" s="61"/>
    </row>
    <row r="869" spans="11:11" x14ac:dyDescent="0.25">
      <c r="K869" s="61"/>
    </row>
    <row r="870" spans="11:11" x14ac:dyDescent="0.25">
      <c r="K870" s="61"/>
    </row>
    <row r="871" spans="11:11" x14ac:dyDescent="0.25">
      <c r="K871" s="61"/>
    </row>
    <row r="872" spans="11:11" x14ac:dyDescent="0.25">
      <c r="K872" s="61"/>
    </row>
    <row r="873" spans="11:11" x14ac:dyDescent="0.25">
      <c r="K873" s="61"/>
    </row>
    <row r="874" spans="11:11" x14ac:dyDescent="0.25">
      <c r="K874" s="61"/>
    </row>
    <row r="875" spans="11:11" x14ac:dyDescent="0.25">
      <c r="K875" s="61"/>
    </row>
    <row r="876" spans="11:11" x14ac:dyDescent="0.25">
      <c r="K876" s="61"/>
    </row>
    <row r="877" spans="11:11" x14ac:dyDescent="0.25">
      <c r="K877" s="61"/>
    </row>
    <row r="878" spans="11:11" x14ac:dyDescent="0.25">
      <c r="K878" s="61"/>
    </row>
    <row r="879" spans="11:11" x14ac:dyDescent="0.25">
      <c r="K879" s="61"/>
    </row>
    <row r="880" spans="11:11" x14ac:dyDescent="0.25">
      <c r="K880" s="61"/>
    </row>
    <row r="881" spans="11:11" x14ac:dyDescent="0.25">
      <c r="K881" s="61"/>
    </row>
    <row r="882" spans="11:11" x14ac:dyDescent="0.25">
      <c r="K882" s="61"/>
    </row>
    <row r="883" spans="11:11" x14ac:dyDescent="0.25">
      <c r="K883" s="61"/>
    </row>
    <row r="884" spans="11:11" x14ac:dyDescent="0.25">
      <c r="K884" s="61"/>
    </row>
    <row r="885" spans="11:11" x14ac:dyDescent="0.25">
      <c r="K885" s="61"/>
    </row>
    <row r="886" spans="11:11" x14ac:dyDescent="0.25">
      <c r="K886" s="61"/>
    </row>
    <row r="887" spans="11:11" x14ac:dyDescent="0.25">
      <c r="K887" s="61"/>
    </row>
    <row r="888" spans="11:11" x14ac:dyDescent="0.25">
      <c r="K888" s="61"/>
    </row>
    <row r="889" spans="11:11" x14ac:dyDescent="0.25">
      <c r="K889" s="61"/>
    </row>
    <row r="890" spans="11:11" x14ac:dyDescent="0.25">
      <c r="K890" s="61"/>
    </row>
    <row r="891" spans="11:11" x14ac:dyDescent="0.25">
      <c r="K891" s="61"/>
    </row>
    <row r="892" spans="11:11" x14ac:dyDescent="0.25">
      <c r="K892" s="61"/>
    </row>
    <row r="893" spans="11:11" x14ac:dyDescent="0.25">
      <c r="K893" s="61"/>
    </row>
    <row r="894" spans="11:11" x14ac:dyDescent="0.25">
      <c r="K894" s="61"/>
    </row>
    <row r="895" spans="11:11" x14ac:dyDescent="0.25">
      <c r="K895" s="61"/>
    </row>
    <row r="896" spans="11:11" x14ac:dyDescent="0.25">
      <c r="K896" s="61"/>
    </row>
    <row r="897" spans="11:11" x14ac:dyDescent="0.25">
      <c r="K897" s="61"/>
    </row>
    <row r="898" spans="11:11" x14ac:dyDescent="0.25">
      <c r="K898" s="61"/>
    </row>
    <row r="899" spans="11:11" x14ac:dyDescent="0.25">
      <c r="K899" s="61"/>
    </row>
    <row r="900" spans="11:11" x14ac:dyDescent="0.25">
      <c r="K900" s="61"/>
    </row>
    <row r="901" spans="11:11" x14ac:dyDescent="0.25">
      <c r="K901" s="61"/>
    </row>
    <row r="902" spans="11:11" x14ac:dyDescent="0.25">
      <c r="K902" s="61"/>
    </row>
    <row r="903" spans="11:11" x14ac:dyDescent="0.25">
      <c r="K903" s="61"/>
    </row>
    <row r="904" spans="11:11" x14ac:dyDescent="0.25">
      <c r="K904" s="61"/>
    </row>
    <row r="905" spans="11:11" x14ac:dyDescent="0.25">
      <c r="K905" s="61"/>
    </row>
    <row r="906" spans="11:11" x14ac:dyDescent="0.25">
      <c r="K906" s="61"/>
    </row>
    <row r="907" spans="11:11" x14ac:dyDescent="0.25">
      <c r="K907" s="61"/>
    </row>
    <row r="908" spans="11:11" x14ac:dyDescent="0.25">
      <c r="K908" s="61"/>
    </row>
    <row r="909" spans="11:11" x14ac:dyDescent="0.25">
      <c r="K909" s="61"/>
    </row>
    <row r="910" spans="11:11" x14ac:dyDescent="0.25">
      <c r="K910" s="61"/>
    </row>
    <row r="911" spans="11:11" x14ac:dyDescent="0.25">
      <c r="K911" s="61"/>
    </row>
    <row r="912" spans="11:11" x14ac:dyDescent="0.25">
      <c r="K912" s="61"/>
    </row>
    <row r="913" spans="11:11" x14ac:dyDescent="0.25">
      <c r="K913" s="61"/>
    </row>
    <row r="914" spans="11:11" x14ac:dyDescent="0.25">
      <c r="K914" s="61"/>
    </row>
    <row r="915" spans="11:11" x14ac:dyDescent="0.25">
      <c r="K915" s="61"/>
    </row>
    <row r="916" spans="11:11" x14ac:dyDescent="0.25">
      <c r="K916" s="61"/>
    </row>
    <row r="917" spans="11:11" x14ac:dyDescent="0.25">
      <c r="K917" s="61"/>
    </row>
    <row r="918" spans="11:11" x14ac:dyDescent="0.25">
      <c r="K918" s="61"/>
    </row>
    <row r="919" spans="11:11" x14ac:dyDescent="0.25">
      <c r="K919" s="61"/>
    </row>
    <row r="920" spans="11:11" x14ac:dyDescent="0.25">
      <c r="K920" s="61"/>
    </row>
    <row r="921" spans="11:11" x14ac:dyDescent="0.25">
      <c r="K921" s="61"/>
    </row>
    <row r="922" spans="11:11" x14ac:dyDescent="0.25">
      <c r="K922" s="61"/>
    </row>
    <row r="923" spans="11:11" x14ac:dyDescent="0.25">
      <c r="K923" s="61"/>
    </row>
    <row r="924" spans="11:11" x14ac:dyDescent="0.25">
      <c r="K924" s="61"/>
    </row>
    <row r="925" spans="11:11" x14ac:dyDescent="0.25">
      <c r="K925" s="61"/>
    </row>
    <row r="926" spans="11:11" x14ac:dyDescent="0.25">
      <c r="K926" s="61"/>
    </row>
    <row r="927" spans="11:11" x14ac:dyDescent="0.25">
      <c r="K927" s="61"/>
    </row>
    <row r="928" spans="11:11" x14ac:dyDescent="0.25">
      <c r="K928" s="61"/>
    </row>
    <row r="929" spans="11:11" x14ac:dyDescent="0.25">
      <c r="K929" s="61"/>
    </row>
    <row r="930" spans="11:11" x14ac:dyDescent="0.25">
      <c r="K930" s="61"/>
    </row>
    <row r="931" spans="11:11" x14ac:dyDescent="0.25">
      <c r="K931" s="61"/>
    </row>
    <row r="932" spans="11:11" x14ac:dyDescent="0.25">
      <c r="K932" s="61"/>
    </row>
    <row r="933" spans="11:11" x14ac:dyDescent="0.25">
      <c r="K933" s="61"/>
    </row>
    <row r="934" spans="11:11" x14ac:dyDescent="0.25">
      <c r="K934" s="61"/>
    </row>
    <row r="935" spans="11:11" x14ac:dyDescent="0.25">
      <c r="K935" s="61"/>
    </row>
    <row r="936" spans="11:11" x14ac:dyDescent="0.25">
      <c r="K936" s="61"/>
    </row>
    <row r="937" spans="11:11" x14ac:dyDescent="0.25">
      <c r="K937" s="61"/>
    </row>
    <row r="938" spans="11:11" x14ac:dyDescent="0.25">
      <c r="K938" s="61"/>
    </row>
    <row r="939" spans="11:11" x14ac:dyDescent="0.25">
      <c r="K939" s="61"/>
    </row>
    <row r="940" spans="11:11" x14ac:dyDescent="0.25">
      <c r="K940" s="61"/>
    </row>
    <row r="941" spans="11:11" x14ac:dyDescent="0.25">
      <c r="K941" s="61"/>
    </row>
    <row r="942" spans="11:11" x14ac:dyDescent="0.25">
      <c r="K942" s="61"/>
    </row>
    <row r="943" spans="11:11" x14ac:dyDescent="0.25">
      <c r="K943" s="61"/>
    </row>
    <row r="944" spans="11:11" x14ac:dyDescent="0.25">
      <c r="K944" s="61"/>
    </row>
    <row r="945" spans="11:11" x14ac:dyDescent="0.25">
      <c r="K945" s="61"/>
    </row>
    <row r="946" spans="11:11" x14ac:dyDescent="0.25">
      <c r="K946" s="61"/>
    </row>
    <row r="947" spans="11:11" x14ac:dyDescent="0.25">
      <c r="K947" s="61"/>
    </row>
    <row r="948" spans="11:11" x14ac:dyDescent="0.25">
      <c r="K948" s="61"/>
    </row>
    <row r="949" spans="11:11" x14ac:dyDescent="0.25">
      <c r="K949" s="61"/>
    </row>
    <row r="950" spans="11:11" x14ac:dyDescent="0.25">
      <c r="K950" s="61"/>
    </row>
    <row r="951" spans="11:11" x14ac:dyDescent="0.25">
      <c r="K951" s="61"/>
    </row>
    <row r="952" spans="11:11" x14ac:dyDescent="0.25">
      <c r="K952" s="61"/>
    </row>
    <row r="953" spans="11:11" x14ac:dyDescent="0.25">
      <c r="K953" s="61"/>
    </row>
    <row r="954" spans="11:11" x14ac:dyDescent="0.25">
      <c r="K954" s="61"/>
    </row>
    <row r="955" spans="11:11" x14ac:dyDescent="0.25">
      <c r="K955" s="61"/>
    </row>
    <row r="956" spans="11:11" x14ac:dyDescent="0.25">
      <c r="K956" s="61"/>
    </row>
    <row r="957" spans="11:11" x14ac:dyDescent="0.25">
      <c r="K957" s="61"/>
    </row>
    <row r="958" spans="11:11" x14ac:dyDescent="0.25">
      <c r="K958" s="61"/>
    </row>
    <row r="959" spans="11:11" x14ac:dyDescent="0.25">
      <c r="K959" s="61"/>
    </row>
    <row r="960" spans="11:11" x14ac:dyDescent="0.25">
      <c r="K960" s="61"/>
    </row>
    <row r="961" spans="11:11" x14ac:dyDescent="0.25">
      <c r="K961" s="61"/>
    </row>
    <row r="962" spans="11:11" x14ac:dyDescent="0.25">
      <c r="K962" s="61"/>
    </row>
    <row r="963" spans="11:11" x14ac:dyDescent="0.25">
      <c r="K963" s="61"/>
    </row>
    <row r="964" spans="11:11" x14ac:dyDescent="0.25">
      <c r="K964" s="61"/>
    </row>
    <row r="965" spans="11:11" x14ac:dyDescent="0.25">
      <c r="K965" s="61"/>
    </row>
    <row r="966" spans="11:11" x14ac:dyDescent="0.25">
      <c r="K966" s="61"/>
    </row>
    <row r="967" spans="11:11" x14ac:dyDescent="0.25">
      <c r="K967" s="61"/>
    </row>
    <row r="968" spans="11:11" x14ac:dyDescent="0.25">
      <c r="K968" s="61"/>
    </row>
    <row r="969" spans="11:11" x14ac:dyDescent="0.25">
      <c r="K969" s="61"/>
    </row>
    <row r="970" spans="11:11" x14ac:dyDescent="0.25">
      <c r="K970" s="61"/>
    </row>
    <row r="971" spans="11:11" x14ac:dyDescent="0.25">
      <c r="K971" s="61"/>
    </row>
    <row r="972" spans="11:11" x14ac:dyDescent="0.25">
      <c r="K972" s="61"/>
    </row>
    <row r="973" spans="11:11" x14ac:dyDescent="0.25">
      <c r="K973" s="61"/>
    </row>
    <row r="974" spans="11:11" x14ac:dyDescent="0.25">
      <c r="K974" s="61"/>
    </row>
    <row r="975" spans="11:11" x14ac:dyDescent="0.25">
      <c r="K975" s="61"/>
    </row>
    <row r="976" spans="11:11" x14ac:dyDescent="0.25">
      <c r="K976" s="61"/>
    </row>
    <row r="977" spans="11:11" x14ac:dyDescent="0.25">
      <c r="K977" s="61"/>
    </row>
    <row r="978" spans="11:11" x14ac:dyDescent="0.25">
      <c r="K978" s="61"/>
    </row>
    <row r="979" spans="11:11" x14ac:dyDescent="0.25">
      <c r="K979" s="61"/>
    </row>
    <row r="980" spans="11:11" x14ac:dyDescent="0.25">
      <c r="K980" s="61"/>
    </row>
    <row r="981" spans="11:11" x14ac:dyDescent="0.25">
      <c r="K981" s="61"/>
    </row>
    <row r="982" spans="11:11" x14ac:dyDescent="0.25">
      <c r="K982" s="61"/>
    </row>
    <row r="983" spans="11:11" x14ac:dyDescent="0.25">
      <c r="K983" s="61"/>
    </row>
    <row r="984" spans="11:11" x14ac:dyDescent="0.25">
      <c r="K984" s="61"/>
    </row>
    <row r="985" spans="11:11" x14ac:dyDescent="0.25">
      <c r="K985" s="61"/>
    </row>
    <row r="986" spans="11:11" x14ac:dyDescent="0.25">
      <c r="K986" s="61"/>
    </row>
    <row r="987" spans="11:11" x14ac:dyDescent="0.25">
      <c r="K987" s="61"/>
    </row>
    <row r="988" spans="11:11" x14ac:dyDescent="0.25">
      <c r="K988" s="61"/>
    </row>
    <row r="989" spans="11:11" x14ac:dyDescent="0.25">
      <c r="K989" s="61"/>
    </row>
    <row r="990" spans="11:11" x14ac:dyDescent="0.25">
      <c r="K990" s="61"/>
    </row>
    <row r="991" spans="11:11" x14ac:dyDescent="0.25">
      <c r="K991" s="61"/>
    </row>
    <row r="992" spans="11:11" x14ac:dyDescent="0.25">
      <c r="K992" s="61"/>
    </row>
    <row r="993" spans="11:11" x14ac:dyDescent="0.25">
      <c r="K993" s="61"/>
    </row>
    <row r="994" spans="11:11" x14ac:dyDescent="0.25">
      <c r="K994" s="61"/>
    </row>
    <row r="995" spans="11:11" x14ac:dyDescent="0.25">
      <c r="K995" s="61"/>
    </row>
    <row r="996" spans="11:11" x14ac:dyDescent="0.25">
      <c r="K996" s="61"/>
    </row>
    <row r="997" spans="11:11" x14ac:dyDescent="0.25">
      <c r="K997" s="61"/>
    </row>
    <row r="998" spans="11:11" x14ac:dyDescent="0.25">
      <c r="K998" s="61"/>
    </row>
    <row r="999" spans="11:11" x14ac:dyDescent="0.25">
      <c r="K999" s="61"/>
    </row>
    <row r="1000" spans="11:11" x14ac:dyDescent="0.25">
      <c r="K1000" s="61"/>
    </row>
    <row r="1001" spans="11:11" x14ac:dyDescent="0.25">
      <c r="K1001" s="61"/>
    </row>
    <row r="1002" spans="11:11" x14ac:dyDescent="0.25">
      <c r="K1002" s="61"/>
    </row>
    <row r="1003" spans="11:11" x14ac:dyDescent="0.25">
      <c r="K1003" s="61"/>
    </row>
    <row r="1004" spans="11:11" x14ac:dyDescent="0.25">
      <c r="K1004" s="61"/>
    </row>
    <row r="1005" spans="11:11" x14ac:dyDescent="0.25">
      <c r="K1005" s="61"/>
    </row>
    <row r="1006" spans="11:11" x14ac:dyDescent="0.25">
      <c r="K1006" s="61"/>
    </row>
    <row r="1007" spans="11:11" x14ac:dyDescent="0.25">
      <c r="K1007" s="61"/>
    </row>
    <row r="1008" spans="11:11" x14ac:dyDescent="0.25">
      <c r="K1008" s="61"/>
    </row>
    <row r="1009" spans="11:11" x14ac:dyDescent="0.25">
      <c r="K1009" s="61"/>
    </row>
    <row r="1010" spans="11:11" x14ac:dyDescent="0.25">
      <c r="K1010" s="61"/>
    </row>
    <row r="1011" spans="11:11" x14ac:dyDescent="0.25">
      <c r="K1011" s="61"/>
    </row>
    <row r="1012" spans="11:11" x14ac:dyDescent="0.25">
      <c r="K1012" s="61"/>
    </row>
    <row r="1013" spans="11:11" x14ac:dyDescent="0.25">
      <c r="K1013" s="61"/>
    </row>
    <row r="1014" spans="11:11" x14ac:dyDescent="0.25">
      <c r="K1014" s="61"/>
    </row>
    <row r="1015" spans="11:11" x14ac:dyDescent="0.25">
      <c r="K1015" s="61"/>
    </row>
    <row r="1016" spans="11:11" x14ac:dyDescent="0.25">
      <c r="K1016" s="61"/>
    </row>
    <row r="1017" spans="11:11" x14ac:dyDescent="0.25">
      <c r="K1017" s="61"/>
    </row>
    <row r="1018" spans="11:11" x14ac:dyDescent="0.25">
      <c r="K1018" s="61"/>
    </row>
    <row r="1019" spans="11:11" x14ac:dyDescent="0.25">
      <c r="K1019" s="61"/>
    </row>
    <row r="1020" spans="11:11" x14ac:dyDescent="0.25">
      <c r="K1020" s="61"/>
    </row>
    <row r="1021" spans="11:11" x14ac:dyDescent="0.25">
      <c r="K1021" s="61"/>
    </row>
    <row r="1022" spans="11:11" x14ac:dyDescent="0.25">
      <c r="K1022" s="61"/>
    </row>
    <row r="1023" spans="11:11" x14ac:dyDescent="0.25">
      <c r="K1023" s="61"/>
    </row>
    <row r="1024" spans="11:11" x14ac:dyDescent="0.25">
      <c r="K1024" s="61"/>
    </row>
    <row r="1025" spans="11:11" x14ac:dyDescent="0.25">
      <c r="K1025" s="61"/>
    </row>
    <row r="1026" spans="11:11" x14ac:dyDescent="0.25">
      <c r="K1026" s="61"/>
    </row>
    <row r="1027" spans="11:11" x14ac:dyDescent="0.25">
      <c r="K1027" s="61"/>
    </row>
    <row r="1028" spans="11:11" x14ac:dyDescent="0.25">
      <c r="K1028" s="61"/>
    </row>
    <row r="1029" spans="11:11" x14ac:dyDescent="0.25">
      <c r="K1029" s="61"/>
    </row>
    <row r="1030" spans="11:11" x14ac:dyDescent="0.25">
      <c r="K1030" s="61"/>
    </row>
    <row r="1031" spans="11:11" x14ac:dyDescent="0.25">
      <c r="K1031" s="61"/>
    </row>
    <row r="1032" spans="11:11" x14ac:dyDescent="0.25">
      <c r="K1032" s="61"/>
    </row>
    <row r="1033" spans="11:11" x14ac:dyDescent="0.25">
      <c r="K1033" s="61"/>
    </row>
    <row r="1034" spans="11:11" x14ac:dyDescent="0.25">
      <c r="K1034" s="61"/>
    </row>
    <row r="1035" spans="11:11" x14ac:dyDescent="0.25">
      <c r="K1035" s="61"/>
    </row>
    <row r="1036" spans="11:11" x14ac:dyDescent="0.25">
      <c r="K1036" s="61"/>
    </row>
    <row r="1037" spans="11:11" x14ac:dyDescent="0.25">
      <c r="K1037" s="61"/>
    </row>
    <row r="1038" spans="11:11" x14ac:dyDescent="0.25">
      <c r="K1038" s="61"/>
    </row>
    <row r="1039" spans="11:11" x14ac:dyDescent="0.25">
      <c r="K1039" s="61"/>
    </row>
    <row r="1040" spans="11:11" x14ac:dyDescent="0.25">
      <c r="K1040" s="61"/>
    </row>
    <row r="1041" spans="11:11" x14ac:dyDescent="0.25">
      <c r="K1041" s="61"/>
    </row>
    <row r="1042" spans="11:11" x14ac:dyDescent="0.25">
      <c r="K1042" s="61"/>
    </row>
    <row r="1043" spans="11:11" x14ac:dyDescent="0.25">
      <c r="K1043" s="61"/>
    </row>
    <row r="1044" spans="11:11" x14ac:dyDescent="0.25">
      <c r="K1044" s="61"/>
    </row>
    <row r="1045" spans="11:11" x14ac:dyDescent="0.25">
      <c r="K1045" s="61"/>
    </row>
    <row r="1046" spans="11:11" x14ac:dyDescent="0.25">
      <c r="K1046" s="61"/>
    </row>
    <row r="1047" spans="11:11" x14ac:dyDescent="0.25">
      <c r="K1047" s="61"/>
    </row>
    <row r="1048" spans="11:11" x14ac:dyDescent="0.25">
      <c r="K1048" s="61"/>
    </row>
    <row r="1049" spans="11:11" x14ac:dyDescent="0.25">
      <c r="K1049" s="61"/>
    </row>
    <row r="1050" spans="11:11" x14ac:dyDescent="0.25">
      <c r="K1050" s="61"/>
    </row>
    <row r="1051" spans="11:11" x14ac:dyDescent="0.25">
      <c r="K1051" s="61"/>
    </row>
    <row r="1052" spans="11:11" x14ac:dyDescent="0.25">
      <c r="K1052" s="61"/>
    </row>
    <row r="1053" spans="11:11" x14ac:dyDescent="0.25">
      <c r="K1053" s="61"/>
    </row>
    <row r="1054" spans="11:11" x14ac:dyDescent="0.25">
      <c r="K1054" s="61"/>
    </row>
    <row r="1055" spans="11:11" x14ac:dyDescent="0.25">
      <c r="K1055" s="61"/>
    </row>
    <row r="1056" spans="11:11" x14ac:dyDescent="0.25">
      <c r="K1056" s="61"/>
    </row>
    <row r="1057" spans="11:11" x14ac:dyDescent="0.25">
      <c r="K1057" s="61"/>
    </row>
    <row r="1058" spans="11:11" x14ac:dyDescent="0.25">
      <c r="K1058" s="61"/>
    </row>
    <row r="1059" spans="11:11" x14ac:dyDescent="0.25">
      <c r="K1059" s="61"/>
    </row>
    <row r="1060" spans="11:11" x14ac:dyDescent="0.25">
      <c r="K1060" s="61"/>
    </row>
    <row r="1061" spans="11:11" x14ac:dyDescent="0.25">
      <c r="K1061" s="61"/>
    </row>
    <row r="1062" spans="11:11" x14ac:dyDescent="0.25">
      <c r="K1062" s="61"/>
    </row>
    <row r="1063" spans="11:11" x14ac:dyDescent="0.25">
      <c r="K1063" s="61"/>
    </row>
    <row r="1064" spans="11:11" x14ac:dyDescent="0.25">
      <c r="K1064" s="61"/>
    </row>
    <row r="1065" spans="11:11" x14ac:dyDescent="0.25">
      <c r="K1065" s="61"/>
    </row>
    <row r="1066" spans="11:11" x14ac:dyDescent="0.25">
      <c r="K1066" s="61"/>
    </row>
    <row r="1067" spans="11:11" x14ac:dyDescent="0.25">
      <c r="K1067" s="61"/>
    </row>
    <row r="1068" spans="11:11" x14ac:dyDescent="0.25">
      <c r="K1068" s="61"/>
    </row>
    <row r="1069" spans="11:11" x14ac:dyDescent="0.25">
      <c r="K1069" s="61"/>
    </row>
    <row r="1070" spans="11:11" x14ac:dyDescent="0.25">
      <c r="K1070" s="61"/>
    </row>
    <row r="1071" spans="11:11" x14ac:dyDescent="0.25">
      <c r="K1071" s="61"/>
    </row>
    <row r="1072" spans="11:11" x14ac:dyDescent="0.25">
      <c r="K1072" s="61"/>
    </row>
    <row r="1073" spans="11:11" x14ac:dyDescent="0.25">
      <c r="K1073" s="61"/>
    </row>
    <row r="1074" spans="11:11" x14ac:dyDescent="0.25">
      <c r="K1074" s="61"/>
    </row>
    <row r="1075" spans="11:11" x14ac:dyDescent="0.25">
      <c r="K1075" s="61"/>
    </row>
    <row r="1076" spans="11:11" x14ac:dyDescent="0.25">
      <c r="K1076" s="61"/>
    </row>
    <row r="1077" spans="11:11" x14ac:dyDescent="0.25">
      <c r="K1077" s="61"/>
    </row>
    <row r="1078" spans="11:11" x14ac:dyDescent="0.25">
      <c r="K1078" s="61"/>
    </row>
    <row r="1079" spans="11:11" x14ac:dyDescent="0.25">
      <c r="K1079" s="61"/>
    </row>
    <row r="1080" spans="11:11" x14ac:dyDescent="0.25">
      <c r="K1080" s="61"/>
    </row>
    <row r="1081" spans="11:11" x14ac:dyDescent="0.25">
      <c r="K1081" s="61"/>
    </row>
    <row r="1082" spans="11:11" x14ac:dyDescent="0.25">
      <c r="K1082" s="61"/>
    </row>
    <row r="1083" spans="11:11" x14ac:dyDescent="0.25">
      <c r="K1083" s="61"/>
    </row>
    <row r="1084" spans="11:11" x14ac:dyDescent="0.25">
      <c r="K1084" s="61"/>
    </row>
    <row r="1085" spans="11:11" x14ac:dyDescent="0.25">
      <c r="K1085" s="61"/>
    </row>
    <row r="1086" spans="11:11" x14ac:dyDescent="0.25">
      <c r="K1086" s="61"/>
    </row>
    <row r="1087" spans="11:11" x14ac:dyDescent="0.25">
      <c r="K1087" s="61"/>
    </row>
    <row r="1088" spans="11:11" x14ac:dyDescent="0.25">
      <c r="K1088" s="61"/>
    </row>
    <row r="1089" spans="11:11" x14ac:dyDescent="0.25">
      <c r="K1089" s="61"/>
    </row>
    <row r="1090" spans="11:11" x14ac:dyDescent="0.25">
      <c r="K1090" s="61"/>
    </row>
    <row r="1091" spans="11:11" x14ac:dyDescent="0.25">
      <c r="K1091" s="61"/>
    </row>
    <row r="1092" spans="11:11" x14ac:dyDescent="0.25">
      <c r="K1092" s="61"/>
    </row>
    <row r="1093" spans="11:11" x14ac:dyDescent="0.25">
      <c r="K1093" s="61"/>
    </row>
    <row r="1094" spans="11:11" x14ac:dyDescent="0.25">
      <c r="K1094" s="61"/>
    </row>
    <row r="1095" spans="11:11" x14ac:dyDescent="0.25">
      <c r="K1095" s="61"/>
    </row>
    <row r="1096" spans="11:11" x14ac:dyDescent="0.25">
      <c r="K1096" s="61"/>
    </row>
    <row r="1097" spans="11:11" x14ac:dyDescent="0.25">
      <c r="K1097" s="61"/>
    </row>
    <row r="1098" spans="11:11" x14ac:dyDescent="0.25">
      <c r="K1098" s="61"/>
    </row>
    <row r="1099" spans="11:11" x14ac:dyDescent="0.25">
      <c r="K1099" s="61"/>
    </row>
    <row r="1100" spans="11:11" x14ac:dyDescent="0.25">
      <c r="K1100" s="61"/>
    </row>
    <row r="1101" spans="11:11" x14ac:dyDescent="0.25">
      <c r="K1101" s="61"/>
    </row>
    <row r="1102" spans="11:11" x14ac:dyDescent="0.25">
      <c r="K1102" s="61"/>
    </row>
    <row r="1103" spans="11:11" x14ac:dyDescent="0.25">
      <c r="K1103" s="61"/>
    </row>
    <row r="1104" spans="11:11" x14ac:dyDescent="0.25">
      <c r="K1104" s="61"/>
    </row>
    <row r="1105" spans="11:11" x14ac:dyDescent="0.25">
      <c r="K1105" s="61"/>
    </row>
    <row r="1106" spans="11:11" x14ac:dyDescent="0.25">
      <c r="K1106" s="61"/>
    </row>
    <row r="1107" spans="11:11" x14ac:dyDescent="0.25">
      <c r="K1107" s="61"/>
    </row>
    <row r="1108" spans="11:11" x14ac:dyDescent="0.25">
      <c r="K1108" s="61"/>
    </row>
    <row r="1109" spans="11:11" x14ac:dyDescent="0.25">
      <c r="K1109" s="61"/>
    </row>
    <row r="1110" spans="11:11" x14ac:dyDescent="0.25">
      <c r="K1110" s="61"/>
    </row>
    <row r="1111" spans="11:11" x14ac:dyDescent="0.25">
      <c r="K1111" s="61"/>
    </row>
    <row r="1112" spans="11:11" x14ac:dyDescent="0.25">
      <c r="K1112" s="61"/>
    </row>
    <row r="1113" spans="11:11" x14ac:dyDescent="0.25">
      <c r="K1113" s="61"/>
    </row>
    <row r="1114" spans="11:11" x14ac:dyDescent="0.25">
      <c r="K1114" s="61"/>
    </row>
    <row r="1115" spans="11:11" x14ac:dyDescent="0.25">
      <c r="K1115" s="61"/>
    </row>
    <row r="1116" spans="11:11" x14ac:dyDescent="0.25">
      <c r="K1116" s="61"/>
    </row>
    <row r="1117" spans="11:11" x14ac:dyDescent="0.25">
      <c r="K1117" s="61"/>
    </row>
    <row r="1118" spans="11:11" x14ac:dyDescent="0.25">
      <c r="K1118" s="61"/>
    </row>
    <row r="1119" spans="11:11" x14ac:dyDescent="0.25">
      <c r="K1119" s="61"/>
    </row>
    <row r="1120" spans="11:11" x14ac:dyDescent="0.25">
      <c r="K1120" s="61"/>
    </row>
    <row r="1121" spans="11:11" x14ac:dyDescent="0.25">
      <c r="K1121" s="61"/>
    </row>
    <row r="1122" spans="11:11" x14ac:dyDescent="0.25">
      <c r="K1122" s="61"/>
    </row>
    <row r="1123" spans="11:11" x14ac:dyDescent="0.25">
      <c r="K1123" s="61"/>
    </row>
    <row r="1124" spans="11:11" x14ac:dyDescent="0.25">
      <c r="K1124" s="61"/>
    </row>
    <row r="1125" spans="11:11" x14ac:dyDescent="0.25">
      <c r="K1125" s="61"/>
    </row>
    <row r="1126" spans="11:11" x14ac:dyDescent="0.25">
      <c r="K1126" s="61"/>
    </row>
    <row r="1127" spans="11:11" x14ac:dyDescent="0.25">
      <c r="K1127" s="61"/>
    </row>
    <row r="1128" spans="11:11" x14ac:dyDescent="0.25">
      <c r="K1128" s="61"/>
    </row>
    <row r="1129" spans="11:11" x14ac:dyDescent="0.25">
      <c r="K1129" s="61"/>
    </row>
    <row r="1130" spans="11:11" x14ac:dyDescent="0.25">
      <c r="K1130" s="61"/>
    </row>
    <row r="1131" spans="11:11" x14ac:dyDescent="0.25">
      <c r="K1131" s="61"/>
    </row>
    <row r="1132" spans="11:11" x14ac:dyDescent="0.25">
      <c r="K1132" s="61"/>
    </row>
    <row r="1133" spans="11:11" x14ac:dyDescent="0.25">
      <c r="K1133" s="61"/>
    </row>
    <row r="1134" spans="11:11" x14ac:dyDescent="0.25">
      <c r="K1134" s="61"/>
    </row>
    <row r="1135" spans="11:11" x14ac:dyDescent="0.25">
      <c r="K1135" s="61"/>
    </row>
    <row r="1136" spans="11:11" x14ac:dyDescent="0.25">
      <c r="K1136" s="61"/>
    </row>
    <row r="1137" spans="11:11" x14ac:dyDescent="0.25">
      <c r="K1137" s="61"/>
    </row>
    <row r="1138" spans="11:11" x14ac:dyDescent="0.25">
      <c r="K1138" s="61"/>
    </row>
    <row r="1139" spans="11:11" x14ac:dyDescent="0.25">
      <c r="K1139" s="61"/>
    </row>
    <row r="1140" spans="11:11" x14ac:dyDescent="0.25">
      <c r="K1140" s="61"/>
    </row>
    <row r="1141" spans="11:11" x14ac:dyDescent="0.25">
      <c r="K1141" s="61"/>
    </row>
    <row r="1142" spans="11:11" x14ac:dyDescent="0.25">
      <c r="K1142" s="61"/>
    </row>
    <row r="1143" spans="11:11" x14ac:dyDescent="0.25">
      <c r="K1143" s="61"/>
    </row>
    <row r="1144" spans="11:11" x14ac:dyDescent="0.25">
      <c r="K1144" s="61"/>
    </row>
    <row r="1145" spans="11:11" x14ac:dyDescent="0.25">
      <c r="K1145" s="61"/>
    </row>
    <row r="1146" spans="11:11" x14ac:dyDescent="0.25">
      <c r="K1146" s="61"/>
    </row>
    <row r="1147" spans="11:11" x14ac:dyDescent="0.25">
      <c r="K1147" s="61"/>
    </row>
    <row r="1148" spans="11:11" x14ac:dyDescent="0.25">
      <c r="K1148" s="61"/>
    </row>
    <row r="1149" spans="11:11" x14ac:dyDescent="0.25">
      <c r="K1149" s="61"/>
    </row>
    <row r="1150" spans="11:11" x14ac:dyDescent="0.25">
      <c r="K1150" s="61"/>
    </row>
    <row r="1151" spans="11:11" x14ac:dyDescent="0.25">
      <c r="K1151" s="61"/>
    </row>
    <row r="1152" spans="11:11" x14ac:dyDescent="0.25">
      <c r="K1152" s="61"/>
    </row>
    <row r="1153" spans="11:11" x14ac:dyDescent="0.25">
      <c r="K1153" s="61"/>
    </row>
    <row r="1154" spans="11:11" x14ac:dyDescent="0.25">
      <c r="K1154" s="61"/>
    </row>
    <row r="1155" spans="11:11" x14ac:dyDescent="0.25">
      <c r="K1155" s="61"/>
    </row>
    <row r="1156" spans="11:11" x14ac:dyDescent="0.25">
      <c r="K1156" s="61"/>
    </row>
    <row r="1157" spans="11:11" x14ac:dyDescent="0.25">
      <c r="K1157" s="61"/>
    </row>
    <row r="1158" spans="11:11" x14ac:dyDescent="0.25">
      <c r="K1158" s="61"/>
    </row>
    <row r="1159" spans="11:11" x14ac:dyDescent="0.25">
      <c r="K1159" s="61"/>
    </row>
    <row r="1160" spans="11:11" x14ac:dyDescent="0.25">
      <c r="K1160" s="61"/>
    </row>
    <row r="1161" spans="11:11" x14ac:dyDescent="0.25">
      <c r="K1161" s="61"/>
    </row>
    <row r="1162" spans="11:11" x14ac:dyDescent="0.25">
      <c r="K1162" s="61"/>
    </row>
    <row r="1163" spans="11:11" x14ac:dyDescent="0.25">
      <c r="K1163" s="61"/>
    </row>
    <row r="1164" spans="11:11" x14ac:dyDescent="0.25">
      <c r="K1164" s="61"/>
    </row>
    <row r="1165" spans="11:11" x14ac:dyDescent="0.25">
      <c r="K1165" s="61"/>
    </row>
    <row r="1166" spans="11:11" x14ac:dyDescent="0.25">
      <c r="K1166" s="61"/>
    </row>
    <row r="1167" spans="11:11" x14ac:dyDescent="0.25">
      <c r="K1167" s="61"/>
    </row>
    <row r="1168" spans="11:11" x14ac:dyDescent="0.25">
      <c r="K1168" s="61"/>
    </row>
    <row r="1169" spans="11:11" x14ac:dyDescent="0.25">
      <c r="K1169" s="61"/>
    </row>
    <row r="1170" spans="11:11" x14ac:dyDescent="0.25">
      <c r="K1170" s="61"/>
    </row>
    <row r="1171" spans="11:11" x14ac:dyDescent="0.25">
      <c r="K1171" s="61"/>
    </row>
    <row r="1172" spans="11:11" x14ac:dyDescent="0.25">
      <c r="K1172" s="61"/>
    </row>
    <row r="1173" spans="11:11" x14ac:dyDescent="0.25">
      <c r="K1173" s="61"/>
    </row>
    <row r="1174" spans="11:11" x14ac:dyDescent="0.25">
      <c r="K1174" s="61"/>
    </row>
    <row r="1175" spans="11:11" x14ac:dyDescent="0.25">
      <c r="K1175" s="61"/>
    </row>
    <row r="1176" spans="11:11" x14ac:dyDescent="0.25">
      <c r="K1176" s="61"/>
    </row>
    <row r="1177" spans="11:11" x14ac:dyDescent="0.25">
      <c r="K1177" s="61"/>
    </row>
    <row r="1178" spans="11:11" x14ac:dyDescent="0.25">
      <c r="K1178" s="61"/>
    </row>
    <row r="1179" spans="11:11" x14ac:dyDescent="0.25">
      <c r="K1179" s="61"/>
    </row>
    <row r="1180" spans="11:11" x14ac:dyDescent="0.25">
      <c r="K1180" s="61"/>
    </row>
    <row r="1181" spans="11:11" x14ac:dyDescent="0.25">
      <c r="K1181" s="61"/>
    </row>
    <row r="1182" spans="11:11" x14ac:dyDescent="0.25">
      <c r="K1182" s="61"/>
    </row>
    <row r="1183" spans="11:11" x14ac:dyDescent="0.25">
      <c r="K1183" s="61"/>
    </row>
    <row r="1184" spans="11:11" x14ac:dyDescent="0.25">
      <c r="K1184" s="61"/>
    </row>
    <row r="1185" spans="11:11" x14ac:dyDescent="0.25">
      <c r="K1185" s="61"/>
    </row>
    <row r="1186" spans="11:11" x14ac:dyDescent="0.25">
      <c r="K1186" s="61"/>
    </row>
    <row r="1187" spans="11:11" x14ac:dyDescent="0.25">
      <c r="K1187" s="61"/>
    </row>
    <row r="1188" spans="11:11" x14ac:dyDescent="0.25">
      <c r="K1188" s="61"/>
    </row>
    <row r="1189" spans="11:11" x14ac:dyDescent="0.25">
      <c r="K1189" s="61"/>
    </row>
    <row r="1190" spans="11:11" x14ac:dyDescent="0.25">
      <c r="K1190" s="61"/>
    </row>
    <row r="1191" spans="11:11" x14ac:dyDescent="0.25">
      <c r="K1191" s="61"/>
    </row>
    <row r="1192" spans="11:11" x14ac:dyDescent="0.25">
      <c r="K1192" s="61"/>
    </row>
    <row r="1193" spans="11:11" x14ac:dyDescent="0.25">
      <c r="K1193" s="61"/>
    </row>
    <row r="1194" spans="11:11" x14ac:dyDescent="0.25">
      <c r="K1194" s="61"/>
    </row>
    <row r="1195" spans="11:11" x14ac:dyDescent="0.25">
      <c r="K1195" s="61"/>
    </row>
    <row r="1196" spans="11:11" x14ac:dyDescent="0.25">
      <c r="K1196" s="61"/>
    </row>
    <row r="1197" spans="11:11" x14ac:dyDescent="0.25">
      <c r="K1197" s="61"/>
    </row>
    <row r="1198" spans="11:11" x14ac:dyDescent="0.25">
      <c r="K1198" s="61"/>
    </row>
    <row r="1199" spans="11:11" x14ac:dyDescent="0.25">
      <c r="K1199" s="61"/>
    </row>
    <row r="1200" spans="11:11" x14ac:dyDescent="0.25">
      <c r="K1200" s="61"/>
    </row>
    <row r="1201" spans="11:11" x14ac:dyDescent="0.25">
      <c r="K1201" s="61"/>
    </row>
    <row r="1202" spans="11:11" x14ac:dyDescent="0.25">
      <c r="K1202" s="61"/>
    </row>
    <row r="1203" spans="11:11" x14ac:dyDescent="0.25">
      <c r="K1203" s="61"/>
    </row>
    <row r="1204" spans="11:11" x14ac:dyDescent="0.25">
      <c r="K1204" s="61"/>
    </row>
    <row r="1205" spans="11:11" x14ac:dyDescent="0.25">
      <c r="K1205" s="61"/>
    </row>
    <row r="1206" spans="11:11" x14ac:dyDescent="0.25">
      <c r="K1206" s="61"/>
    </row>
    <row r="1207" spans="11:11" x14ac:dyDescent="0.25">
      <c r="K1207" s="61"/>
    </row>
    <row r="1208" spans="11:11" x14ac:dyDescent="0.25">
      <c r="K1208" s="61"/>
    </row>
    <row r="1209" spans="11:11" x14ac:dyDescent="0.25">
      <c r="K1209" s="61"/>
    </row>
    <row r="1210" spans="11:11" x14ac:dyDescent="0.25">
      <c r="K1210" s="61"/>
    </row>
    <row r="1211" spans="11:11" x14ac:dyDescent="0.25">
      <c r="K1211" s="61"/>
    </row>
    <row r="1212" spans="11:11" x14ac:dyDescent="0.25">
      <c r="K1212" s="61"/>
    </row>
    <row r="1213" spans="11:11" x14ac:dyDescent="0.25">
      <c r="K1213" s="61"/>
    </row>
    <row r="1214" spans="11:11" x14ac:dyDescent="0.25">
      <c r="K1214" s="61"/>
    </row>
    <row r="1215" spans="11:11" x14ac:dyDescent="0.25">
      <c r="K1215" s="61"/>
    </row>
    <row r="1216" spans="11:11" x14ac:dyDescent="0.25">
      <c r="K1216" s="61"/>
    </row>
    <row r="1217" spans="11:11" x14ac:dyDescent="0.25">
      <c r="K1217" s="61"/>
    </row>
    <row r="1218" spans="11:11" x14ac:dyDescent="0.25">
      <c r="K1218" s="61"/>
    </row>
    <row r="1219" spans="11:11" x14ac:dyDescent="0.25">
      <c r="K1219" s="61"/>
    </row>
    <row r="1220" spans="11:11" x14ac:dyDescent="0.25">
      <c r="K1220" s="61"/>
    </row>
    <row r="1221" spans="11:11" x14ac:dyDescent="0.25">
      <c r="K1221" s="61"/>
    </row>
    <row r="1222" spans="11:11" x14ac:dyDescent="0.25">
      <c r="K1222" s="61"/>
    </row>
    <row r="1223" spans="11:11" x14ac:dyDescent="0.25">
      <c r="K1223" s="61"/>
    </row>
    <row r="1224" spans="11:11" x14ac:dyDescent="0.25">
      <c r="K1224" s="61"/>
    </row>
    <row r="1225" spans="11:11" x14ac:dyDescent="0.25">
      <c r="K1225" s="61"/>
    </row>
    <row r="1226" spans="11:11" x14ac:dyDescent="0.25">
      <c r="K1226" s="61"/>
    </row>
    <row r="1227" spans="11:11" x14ac:dyDescent="0.25">
      <c r="K1227" s="61"/>
    </row>
    <row r="1228" spans="11:11" x14ac:dyDescent="0.25">
      <c r="K1228" s="61"/>
    </row>
    <row r="1229" spans="11:11" x14ac:dyDescent="0.25">
      <c r="K1229" s="61"/>
    </row>
    <row r="1230" spans="11:11" x14ac:dyDescent="0.25">
      <c r="K1230" s="61"/>
    </row>
    <row r="1231" spans="11:11" x14ac:dyDescent="0.25">
      <c r="K1231" s="61"/>
    </row>
    <row r="1232" spans="11:11" x14ac:dyDescent="0.25">
      <c r="K1232" s="61"/>
    </row>
    <row r="1233" spans="11:11" x14ac:dyDescent="0.25">
      <c r="K1233" s="61"/>
    </row>
    <row r="1234" spans="11:11" x14ac:dyDescent="0.25">
      <c r="K1234" s="61"/>
    </row>
    <row r="1235" spans="11:11" x14ac:dyDescent="0.25">
      <c r="K1235" s="61"/>
    </row>
    <row r="1236" spans="11:11" x14ac:dyDescent="0.25">
      <c r="K1236" s="61"/>
    </row>
    <row r="1237" spans="11:11" x14ac:dyDescent="0.25">
      <c r="K1237" s="61"/>
    </row>
    <row r="1238" spans="11:11" x14ac:dyDescent="0.25">
      <c r="K1238" s="61"/>
    </row>
    <row r="1239" spans="11:11" x14ac:dyDescent="0.25">
      <c r="K1239" s="61"/>
    </row>
    <row r="1240" spans="11:11" x14ac:dyDescent="0.25">
      <c r="K1240" s="61"/>
    </row>
    <row r="1241" spans="11:11" x14ac:dyDescent="0.25">
      <c r="K1241" s="61"/>
    </row>
    <row r="1242" spans="11:11" x14ac:dyDescent="0.25">
      <c r="K1242" s="61"/>
    </row>
    <row r="1243" spans="11:11" x14ac:dyDescent="0.25">
      <c r="K1243" s="61"/>
    </row>
    <row r="1244" spans="11:11" x14ac:dyDescent="0.25">
      <c r="K1244" s="61"/>
    </row>
    <row r="1245" spans="11:11" x14ac:dyDescent="0.25">
      <c r="K1245" s="61"/>
    </row>
    <row r="1246" spans="11:11" x14ac:dyDescent="0.25">
      <c r="K1246" s="61"/>
    </row>
    <row r="1247" spans="11:11" x14ac:dyDescent="0.25">
      <c r="K1247" s="61"/>
    </row>
    <row r="1248" spans="11:11" x14ac:dyDescent="0.25">
      <c r="K1248" s="61"/>
    </row>
    <row r="1249" spans="11:11" x14ac:dyDescent="0.25">
      <c r="K1249" s="61"/>
    </row>
    <row r="1250" spans="11:11" x14ac:dyDescent="0.25">
      <c r="K1250" s="61"/>
    </row>
    <row r="1251" spans="11:11" x14ac:dyDescent="0.25">
      <c r="K1251" s="61"/>
    </row>
    <row r="1252" spans="11:11" x14ac:dyDescent="0.25">
      <c r="K1252" s="61"/>
    </row>
    <row r="1253" spans="11:11" x14ac:dyDescent="0.25">
      <c r="K1253" s="61"/>
    </row>
    <row r="1254" spans="11:11" x14ac:dyDescent="0.25">
      <c r="K1254" s="61"/>
    </row>
    <row r="1255" spans="11:11" x14ac:dyDescent="0.25">
      <c r="K1255" s="61"/>
    </row>
    <row r="1256" spans="11:11" x14ac:dyDescent="0.25">
      <c r="K1256" s="61"/>
    </row>
    <row r="1257" spans="11:11" x14ac:dyDescent="0.25">
      <c r="K1257" s="61"/>
    </row>
    <row r="1258" spans="11:11" x14ac:dyDescent="0.25">
      <c r="K1258" s="61"/>
    </row>
    <row r="1259" spans="11:11" x14ac:dyDescent="0.25">
      <c r="K1259" s="61"/>
    </row>
    <row r="1260" spans="11:11" x14ac:dyDescent="0.25">
      <c r="K1260" s="61"/>
    </row>
    <row r="1261" spans="11:11" x14ac:dyDescent="0.25">
      <c r="K1261" s="61"/>
    </row>
    <row r="1262" spans="11:11" x14ac:dyDescent="0.25">
      <c r="K1262" s="61"/>
    </row>
    <row r="1263" spans="11:11" x14ac:dyDescent="0.25">
      <c r="K1263" s="61"/>
    </row>
    <row r="1264" spans="11:11" x14ac:dyDescent="0.25">
      <c r="K1264" s="61"/>
    </row>
    <row r="1265" spans="11:11" x14ac:dyDescent="0.25">
      <c r="K1265" s="61"/>
    </row>
    <row r="1266" spans="11:11" x14ac:dyDescent="0.25">
      <c r="K1266" s="61"/>
    </row>
    <row r="1267" spans="11:11" x14ac:dyDescent="0.25">
      <c r="K1267" s="61"/>
    </row>
    <row r="1268" spans="11:11" x14ac:dyDescent="0.25">
      <c r="K1268" s="61"/>
    </row>
    <row r="1269" spans="11:11" x14ac:dyDescent="0.25">
      <c r="K1269" s="61"/>
    </row>
    <row r="1270" spans="11:11" x14ac:dyDescent="0.25">
      <c r="K1270" s="61"/>
    </row>
    <row r="1271" spans="11:11" x14ac:dyDescent="0.25">
      <c r="K1271" s="61"/>
    </row>
    <row r="1272" spans="11:11" x14ac:dyDescent="0.25">
      <c r="K1272" s="61"/>
    </row>
    <row r="1273" spans="11:11" x14ac:dyDescent="0.25">
      <c r="K1273" s="61"/>
    </row>
    <row r="1274" spans="11:11" x14ac:dyDescent="0.25">
      <c r="K1274" s="61"/>
    </row>
    <row r="1275" spans="11:11" x14ac:dyDescent="0.25">
      <c r="K1275" s="61"/>
    </row>
    <row r="1276" spans="11:11" x14ac:dyDescent="0.25">
      <c r="K1276" s="61"/>
    </row>
    <row r="1277" spans="11:11" x14ac:dyDescent="0.25">
      <c r="K1277" s="61"/>
    </row>
    <row r="1278" spans="11:11" x14ac:dyDescent="0.25">
      <c r="K1278" s="61"/>
    </row>
    <row r="1279" spans="11:11" x14ac:dyDescent="0.25">
      <c r="K1279" s="61"/>
    </row>
    <row r="1280" spans="11:11" x14ac:dyDescent="0.25">
      <c r="K1280" s="61"/>
    </row>
    <row r="1281" spans="11:11" x14ac:dyDescent="0.25">
      <c r="K1281" s="61"/>
    </row>
    <row r="1282" spans="11:11" x14ac:dyDescent="0.25">
      <c r="K1282" s="61"/>
    </row>
    <row r="1283" spans="11:11" x14ac:dyDescent="0.25">
      <c r="K1283" s="61"/>
    </row>
    <row r="1284" spans="11:11" x14ac:dyDescent="0.25">
      <c r="K1284" s="61"/>
    </row>
    <row r="1285" spans="11:11" x14ac:dyDescent="0.25">
      <c r="K1285" s="61"/>
    </row>
    <row r="1286" spans="11:11" x14ac:dyDescent="0.25">
      <c r="K1286" s="61"/>
    </row>
    <row r="1287" spans="11:11" x14ac:dyDescent="0.25">
      <c r="K1287" s="61"/>
    </row>
    <row r="1288" spans="11:11" x14ac:dyDescent="0.25">
      <c r="K1288" s="61"/>
    </row>
    <row r="1289" spans="11:11" x14ac:dyDescent="0.25">
      <c r="K1289" s="61"/>
    </row>
    <row r="1290" spans="11:11" x14ac:dyDescent="0.25">
      <c r="K1290" s="61"/>
    </row>
    <row r="1291" spans="11:11" x14ac:dyDescent="0.25">
      <c r="K1291" s="61"/>
    </row>
    <row r="1292" spans="11:11" x14ac:dyDescent="0.25">
      <c r="K1292" s="61"/>
    </row>
    <row r="1293" spans="11:11" x14ac:dyDescent="0.25">
      <c r="K1293" s="61"/>
    </row>
    <row r="1294" spans="11:11" x14ac:dyDescent="0.25">
      <c r="K1294" s="61"/>
    </row>
    <row r="1295" spans="11:11" x14ac:dyDescent="0.25">
      <c r="K1295" s="61"/>
    </row>
    <row r="1296" spans="11:11" x14ac:dyDescent="0.25">
      <c r="K1296" s="61"/>
    </row>
    <row r="1297" spans="11:11" x14ac:dyDescent="0.25">
      <c r="K1297" s="61"/>
    </row>
    <row r="1298" spans="11:11" x14ac:dyDescent="0.25">
      <c r="K1298" s="61"/>
    </row>
    <row r="1299" spans="11:11" x14ac:dyDescent="0.25">
      <c r="K1299" s="61"/>
    </row>
    <row r="1300" spans="11:11" x14ac:dyDescent="0.25">
      <c r="K1300" s="61"/>
    </row>
    <row r="1301" spans="11:11" x14ac:dyDescent="0.25">
      <c r="K1301" s="61"/>
    </row>
    <row r="1302" spans="11:11" x14ac:dyDescent="0.25">
      <c r="K1302" s="61"/>
    </row>
    <row r="1303" spans="11:11" x14ac:dyDescent="0.25">
      <c r="K1303" s="61"/>
    </row>
    <row r="1304" spans="11:11" x14ac:dyDescent="0.25">
      <c r="K1304" s="61"/>
    </row>
    <row r="1305" spans="11:11" x14ac:dyDescent="0.25">
      <c r="K1305" s="61"/>
    </row>
    <row r="1306" spans="11:11" x14ac:dyDescent="0.25">
      <c r="K1306" s="61"/>
    </row>
    <row r="1307" spans="11:11" x14ac:dyDescent="0.25">
      <c r="K1307" s="61"/>
    </row>
    <row r="1308" spans="11:11" x14ac:dyDescent="0.25">
      <c r="K1308" s="61"/>
    </row>
    <row r="1309" spans="11:11" x14ac:dyDescent="0.25">
      <c r="K1309" s="61"/>
    </row>
    <row r="1310" spans="11:11" x14ac:dyDescent="0.25">
      <c r="K1310" s="61"/>
    </row>
    <row r="1311" spans="11:11" x14ac:dyDescent="0.25">
      <c r="K1311" s="61"/>
    </row>
    <row r="1312" spans="11:11" x14ac:dyDescent="0.25">
      <c r="K1312" s="61"/>
    </row>
    <row r="1313" spans="11:11" x14ac:dyDescent="0.25">
      <c r="K1313" s="61"/>
    </row>
    <row r="1314" spans="11:11" x14ac:dyDescent="0.25">
      <c r="K1314" s="61"/>
    </row>
    <row r="1315" spans="11:11" x14ac:dyDescent="0.25">
      <c r="K1315" s="61"/>
    </row>
    <row r="1316" spans="11:11" x14ac:dyDescent="0.25">
      <c r="K1316" s="61"/>
    </row>
    <row r="1317" spans="11:11" x14ac:dyDescent="0.25">
      <c r="K1317" s="61"/>
    </row>
    <row r="1318" spans="11:11" x14ac:dyDescent="0.25">
      <c r="K1318" s="61"/>
    </row>
    <row r="1319" spans="11:11" x14ac:dyDescent="0.25">
      <c r="K1319" s="61"/>
    </row>
    <row r="1320" spans="11:11" x14ac:dyDescent="0.25">
      <c r="K1320" s="61"/>
    </row>
    <row r="1321" spans="11:11" x14ac:dyDescent="0.25">
      <c r="K1321" s="61"/>
    </row>
    <row r="1322" spans="11:11" x14ac:dyDescent="0.25">
      <c r="K1322" s="61"/>
    </row>
    <row r="1323" spans="11:11" x14ac:dyDescent="0.25">
      <c r="K1323" s="61"/>
    </row>
    <row r="1324" spans="11:11" x14ac:dyDescent="0.25">
      <c r="K1324" s="61"/>
    </row>
    <row r="1325" spans="11:11" x14ac:dyDescent="0.25">
      <c r="K1325" s="61"/>
    </row>
    <row r="1326" spans="11:11" x14ac:dyDescent="0.25">
      <c r="K1326" s="61"/>
    </row>
    <row r="1327" spans="11:11" x14ac:dyDescent="0.25">
      <c r="K1327" s="61"/>
    </row>
    <row r="1328" spans="11:11" x14ac:dyDescent="0.25">
      <c r="K1328" s="61"/>
    </row>
    <row r="1329" spans="11:11" x14ac:dyDescent="0.25">
      <c r="K1329" s="61"/>
    </row>
    <row r="1330" spans="11:11" x14ac:dyDescent="0.25">
      <c r="K1330" s="61"/>
    </row>
    <row r="1331" spans="11:11" x14ac:dyDescent="0.25">
      <c r="K1331" s="61"/>
    </row>
    <row r="1332" spans="11:11" x14ac:dyDescent="0.25">
      <c r="K1332" s="61"/>
    </row>
    <row r="1333" spans="11:11" x14ac:dyDescent="0.25">
      <c r="K1333" s="61"/>
    </row>
    <row r="1334" spans="11:11" x14ac:dyDescent="0.25">
      <c r="K1334" s="61"/>
    </row>
    <row r="1335" spans="11:11" x14ac:dyDescent="0.25">
      <c r="K1335" s="61"/>
    </row>
    <row r="1336" spans="11:11" x14ac:dyDescent="0.25">
      <c r="K1336" s="61"/>
    </row>
    <row r="1337" spans="11:11" x14ac:dyDescent="0.25">
      <c r="K1337" s="61"/>
    </row>
    <row r="1338" spans="11:11" x14ac:dyDescent="0.25">
      <c r="K1338" s="61"/>
    </row>
    <row r="1339" spans="11:11" x14ac:dyDescent="0.25">
      <c r="K1339" s="61"/>
    </row>
    <row r="1340" spans="11:11" x14ac:dyDescent="0.25">
      <c r="K1340" s="61"/>
    </row>
    <row r="1341" spans="11:11" x14ac:dyDescent="0.25">
      <c r="K1341" s="61"/>
    </row>
    <row r="1342" spans="11:11" x14ac:dyDescent="0.25">
      <c r="K1342" s="61"/>
    </row>
    <row r="1343" spans="11:11" x14ac:dyDescent="0.25">
      <c r="K1343" s="61"/>
    </row>
    <row r="1344" spans="11:11" x14ac:dyDescent="0.25">
      <c r="K1344" s="61"/>
    </row>
    <row r="1345" spans="11:11" x14ac:dyDescent="0.25">
      <c r="K1345" s="61"/>
    </row>
    <row r="1346" spans="11:11" x14ac:dyDescent="0.25">
      <c r="K1346" s="61"/>
    </row>
    <row r="1347" spans="11:11" x14ac:dyDescent="0.25">
      <c r="K1347" s="61"/>
    </row>
    <row r="1348" spans="11:11" x14ac:dyDescent="0.25">
      <c r="K1348" s="61"/>
    </row>
    <row r="1349" spans="11:11" x14ac:dyDescent="0.25">
      <c r="K1349" s="61"/>
    </row>
    <row r="1350" spans="11:11" x14ac:dyDescent="0.25">
      <c r="K1350" s="61"/>
    </row>
    <row r="1351" spans="11:11" x14ac:dyDescent="0.25">
      <c r="K1351" s="61"/>
    </row>
    <row r="1352" spans="11:11" x14ac:dyDescent="0.25">
      <c r="K1352" s="61"/>
    </row>
    <row r="1353" spans="11:11" x14ac:dyDescent="0.25">
      <c r="K1353" s="61"/>
    </row>
    <row r="1354" spans="11:11" x14ac:dyDescent="0.25">
      <c r="K1354" s="61"/>
    </row>
    <row r="1355" spans="11:11" x14ac:dyDescent="0.25">
      <c r="K1355" s="61"/>
    </row>
    <row r="1356" spans="11:11" x14ac:dyDescent="0.25">
      <c r="K1356" s="61"/>
    </row>
    <row r="1357" spans="11:11" x14ac:dyDescent="0.25">
      <c r="K1357" s="61"/>
    </row>
    <row r="1358" spans="11:11" x14ac:dyDescent="0.25">
      <c r="K1358" s="61"/>
    </row>
    <row r="1359" spans="11:11" x14ac:dyDescent="0.25">
      <c r="K1359" s="61"/>
    </row>
    <row r="1360" spans="11:11" x14ac:dyDescent="0.25">
      <c r="K1360" s="61"/>
    </row>
    <row r="1361" spans="11:11" x14ac:dyDescent="0.25">
      <c r="K1361" s="61"/>
    </row>
    <row r="1362" spans="11:11" x14ac:dyDescent="0.25">
      <c r="K1362" s="61"/>
    </row>
    <row r="1363" spans="11:11" x14ac:dyDescent="0.25">
      <c r="K1363" s="61"/>
    </row>
    <row r="1364" spans="11:11" x14ac:dyDescent="0.25">
      <c r="K1364" s="61"/>
    </row>
    <row r="1365" spans="11:11" x14ac:dyDescent="0.25">
      <c r="K1365" s="61"/>
    </row>
    <row r="1366" spans="11:11" x14ac:dyDescent="0.25">
      <c r="K1366" s="61"/>
    </row>
    <row r="1367" spans="11:11" x14ac:dyDescent="0.25">
      <c r="K1367" s="61"/>
    </row>
    <row r="1368" spans="11:11" x14ac:dyDescent="0.25">
      <c r="K1368" s="61"/>
    </row>
    <row r="1369" spans="11:11" x14ac:dyDescent="0.25">
      <c r="K1369" s="61"/>
    </row>
    <row r="1370" spans="11:11" x14ac:dyDescent="0.25">
      <c r="K1370" s="61"/>
    </row>
    <row r="1371" spans="11:11" x14ac:dyDescent="0.25">
      <c r="K1371" s="61"/>
    </row>
    <row r="1372" spans="11:11" x14ac:dyDescent="0.25">
      <c r="K1372" s="61"/>
    </row>
    <row r="1373" spans="11:11" x14ac:dyDescent="0.25">
      <c r="K1373" s="61"/>
    </row>
    <row r="1374" spans="11:11" x14ac:dyDescent="0.25">
      <c r="K1374" s="61"/>
    </row>
    <row r="1375" spans="11:11" x14ac:dyDescent="0.25">
      <c r="K1375" s="61"/>
    </row>
    <row r="1376" spans="11:11" x14ac:dyDescent="0.25">
      <c r="K1376" s="61"/>
    </row>
    <row r="1377" spans="11:11" x14ac:dyDescent="0.25">
      <c r="K1377" s="61"/>
    </row>
    <row r="1378" spans="11:11" x14ac:dyDescent="0.25">
      <c r="K1378" s="61"/>
    </row>
    <row r="1379" spans="11:11" x14ac:dyDescent="0.25">
      <c r="K1379" s="61"/>
    </row>
    <row r="1380" spans="11:11" x14ac:dyDescent="0.25">
      <c r="K1380" s="61"/>
    </row>
    <row r="1381" spans="11:11" x14ac:dyDescent="0.25">
      <c r="K1381" s="61"/>
    </row>
    <row r="1382" spans="11:11" x14ac:dyDescent="0.25">
      <c r="K1382" s="61"/>
    </row>
    <row r="1383" spans="11:11" x14ac:dyDescent="0.25">
      <c r="K1383" s="61"/>
    </row>
    <row r="1384" spans="11:11" x14ac:dyDescent="0.25">
      <c r="K1384" s="61"/>
    </row>
    <row r="1385" spans="11:11" x14ac:dyDescent="0.25">
      <c r="K1385" s="61"/>
    </row>
    <row r="1386" spans="11:11" x14ac:dyDescent="0.25">
      <c r="K1386" s="61"/>
    </row>
    <row r="1387" spans="11:11" x14ac:dyDescent="0.25">
      <c r="K1387" s="61"/>
    </row>
    <row r="1388" spans="11:11" x14ac:dyDescent="0.25">
      <c r="K1388" s="61"/>
    </row>
    <row r="1389" spans="11:11" x14ac:dyDescent="0.25">
      <c r="K1389" s="61"/>
    </row>
    <row r="1390" spans="11:11" x14ac:dyDescent="0.25">
      <c r="K1390" s="61"/>
    </row>
    <row r="1391" spans="11:11" x14ac:dyDescent="0.25">
      <c r="K1391" s="61"/>
    </row>
    <row r="1392" spans="11:11" x14ac:dyDescent="0.25">
      <c r="K1392" s="61"/>
    </row>
    <row r="1393" spans="11:11" x14ac:dyDescent="0.25">
      <c r="K1393" s="61"/>
    </row>
    <row r="1394" spans="11:11" x14ac:dyDescent="0.25">
      <c r="K1394" s="61"/>
    </row>
    <row r="1395" spans="11:11" x14ac:dyDescent="0.25">
      <c r="K1395" s="61"/>
    </row>
    <row r="1396" spans="11:11" x14ac:dyDescent="0.25">
      <c r="K1396" s="61"/>
    </row>
    <row r="1397" spans="11:11" x14ac:dyDescent="0.25">
      <c r="K1397" s="61"/>
    </row>
    <row r="1398" spans="11:11" x14ac:dyDescent="0.25">
      <c r="K1398" s="61"/>
    </row>
    <row r="1399" spans="11:11" x14ac:dyDescent="0.25">
      <c r="K1399" s="61"/>
    </row>
    <row r="1400" spans="11:11" x14ac:dyDescent="0.25">
      <c r="K1400" s="61"/>
    </row>
    <row r="1401" spans="11:11" x14ac:dyDescent="0.25">
      <c r="K1401" s="61"/>
    </row>
    <row r="1402" spans="11:11" x14ac:dyDescent="0.25">
      <c r="K1402" s="61"/>
    </row>
    <row r="1403" spans="11:11" x14ac:dyDescent="0.25">
      <c r="K1403" s="61"/>
    </row>
    <row r="1404" spans="11:11" x14ac:dyDescent="0.25">
      <c r="K1404" s="61"/>
    </row>
    <row r="1405" spans="11:11" x14ac:dyDescent="0.25">
      <c r="K1405" s="61"/>
    </row>
    <row r="1406" spans="11:11" x14ac:dyDescent="0.25">
      <c r="K1406" s="61"/>
    </row>
    <row r="1407" spans="11:11" x14ac:dyDescent="0.25">
      <c r="K1407" s="61"/>
    </row>
    <row r="1408" spans="11:11" x14ac:dyDescent="0.25">
      <c r="K1408" s="61"/>
    </row>
    <row r="1409" spans="11:11" x14ac:dyDescent="0.25">
      <c r="K1409" s="61"/>
    </row>
    <row r="1410" spans="11:11" x14ac:dyDescent="0.25">
      <c r="K1410" s="61"/>
    </row>
    <row r="1411" spans="11:11" x14ac:dyDescent="0.25">
      <c r="K1411" s="61"/>
    </row>
    <row r="1412" spans="11:11" x14ac:dyDescent="0.25">
      <c r="K1412" s="61"/>
    </row>
    <row r="1413" spans="11:11" x14ac:dyDescent="0.25">
      <c r="K1413" s="61"/>
    </row>
    <row r="1414" spans="11:11" x14ac:dyDescent="0.25">
      <c r="K1414" s="61"/>
    </row>
    <row r="1415" spans="11:11" x14ac:dyDescent="0.25">
      <c r="K1415" s="61"/>
    </row>
    <row r="1416" spans="11:11" x14ac:dyDescent="0.25">
      <c r="K1416" s="61"/>
    </row>
    <row r="1417" spans="11:11" x14ac:dyDescent="0.25">
      <c r="K1417" s="61"/>
    </row>
    <row r="1418" spans="11:11" x14ac:dyDescent="0.25">
      <c r="K1418" s="61"/>
    </row>
    <row r="1419" spans="11:11" x14ac:dyDescent="0.25">
      <c r="K1419" s="61"/>
    </row>
    <row r="1420" spans="11:11" x14ac:dyDescent="0.25">
      <c r="K1420" s="61"/>
    </row>
    <row r="1421" spans="11:11" x14ac:dyDescent="0.25">
      <c r="K1421" s="61"/>
    </row>
    <row r="1422" spans="11:11" x14ac:dyDescent="0.25">
      <c r="K1422" s="61"/>
    </row>
    <row r="1423" spans="11:11" x14ac:dyDescent="0.25">
      <c r="K1423" s="61"/>
    </row>
    <row r="1424" spans="11:11" x14ac:dyDescent="0.25">
      <c r="K1424" s="61"/>
    </row>
    <row r="1425" spans="11:11" x14ac:dyDescent="0.25">
      <c r="K1425" s="61"/>
    </row>
    <row r="1426" spans="11:11" x14ac:dyDescent="0.25">
      <c r="K1426" s="61"/>
    </row>
    <row r="1427" spans="11:11" x14ac:dyDescent="0.25">
      <c r="K1427" s="61"/>
    </row>
    <row r="1428" spans="11:11" x14ac:dyDescent="0.25">
      <c r="K1428" s="61"/>
    </row>
    <row r="1429" spans="11:11" x14ac:dyDescent="0.25">
      <c r="K1429" s="61"/>
    </row>
    <row r="1430" spans="11:11" x14ac:dyDescent="0.25">
      <c r="K1430" s="61"/>
    </row>
    <row r="1431" spans="11:11" x14ac:dyDescent="0.25">
      <c r="K1431" s="61"/>
    </row>
    <row r="1432" spans="11:11" x14ac:dyDescent="0.25">
      <c r="K1432" s="61"/>
    </row>
    <row r="1433" spans="11:11" x14ac:dyDescent="0.25">
      <c r="K1433" s="61"/>
    </row>
    <row r="1434" spans="11:11" x14ac:dyDescent="0.25">
      <c r="K1434" s="61"/>
    </row>
    <row r="1435" spans="11:11" x14ac:dyDescent="0.25">
      <c r="K1435" s="61"/>
    </row>
    <row r="1436" spans="11:11" x14ac:dyDescent="0.25">
      <c r="K1436" s="61"/>
    </row>
    <row r="1437" spans="11:11" x14ac:dyDescent="0.25">
      <c r="K1437" s="61"/>
    </row>
    <row r="1438" spans="11:11" x14ac:dyDescent="0.25">
      <c r="K1438" s="61"/>
    </row>
    <row r="1439" spans="11:11" x14ac:dyDescent="0.25">
      <c r="K1439" s="61"/>
    </row>
    <row r="1440" spans="11:11" x14ac:dyDescent="0.25">
      <c r="K1440" s="61"/>
    </row>
    <row r="1441" spans="11:11" x14ac:dyDescent="0.25">
      <c r="K1441" s="61"/>
    </row>
    <row r="1442" spans="11:11" x14ac:dyDescent="0.25">
      <c r="K1442" s="61"/>
    </row>
    <row r="1443" spans="11:11" x14ac:dyDescent="0.25">
      <c r="K1443" s="61"/>
    </row>
    <row r="1444" spans="11:11" x14ac:dyDescent="0.25">
      <c r="K1444" s="61"/>
    </row>
    <row r="1445" spans="11:11" x14ac:dyDescent="0.25">
      <c r="K1445" s="61"/>
    </row>
    <row r="1446" spans="11:11" x14ac:dyDescent="0.25">
      <c r="K1446" s="61"/>
    </row>
    <row r="1447" spans="11:11" x14ac:dyDescent="0.25">
      <c r="K1447" s="61"/>
    </row>
    <row r="1448" spans="11:11" x14ac:dyDescent="0.25">
      <c r="K1448" s="61"/>
    </row>
    <row r="1449" spans="11:11" x14ac:dyDescent="0.25">
      <c r="K1449" s="61"/>
    </row>
    <row r="1450" spans="11:11" x14ac:dyDescent="0.25">
      <c r="K1450" s="61"/>
    </row>
    <row r="1451" spans="11:11" x14ac:dyDescent="0.25">
      <c r="K1451" s="61"/>
    </row>
    <row r="1452" spans="11:11" x14ac:dyDescent="0.25">
      <c r="K1452" s="61"/>
    </row>
    <row r="1453" spans="11:11" x14ac:dyDescent="0.25">
      <c r="K1453" s="61"/>
    </row>
    <row r="1454" spans="11:11" x14ac:dyDescent="0.25">
      <c r="K1454" s="61"/>
    </row>
    <row r="1455" spans="11:11" x14ac:dyDescent="0.25">
      <c r="K1455" s="61"/>
    </row>
    <row r="1456" spans="11:11" x14ac:dyDescent="0.25">
      <c r="K1456" s="61"/>
    </row>
    <row r="1457" spans="11:11" x14ac:dyDescent="0.25">
      <c r="K1457" s="61"/>
    </row>
    <row r="1458" spans="11:11" x14ac:dyDescent="0.25">
      <c r="K1458" s="61"/>
    </row>
    <row r="1459" spans="11:11" x14ac:dyDescent="0.25">
      <c r="K1459" s="61"/>
    </row>
    <row r="1460" spans="11:11" x14ac:dyDescent="0.25">
      <c r="K1460" s="61"/>
    </row>
    <row r="1461" spans="11:11" x14ac:dyDescent="0.25">
      <c r="K1461" s="61"/>
    </row>
    <row r="1462" spans="11:11" x14ac:dyDescent="0.25">
      <c r="K1462" s="61"/>
    </row>
    <row r="1463" spans="11:11" x14ac:dyDescent="0.25">
      <c r="K1463" s="61"/>
    </row>
    <row r="1464" spans="11:11" x14ac:dyDescent="0.25">
      <c r="K1464" s="61"/>
    </row>
    <row r="1465" spans="11:11" x14ac:dyDescent="0.25">
      <c r="K1465" s="61"/>
    </row>
    <row r="1466" spans="11:11" x14ac:dyDescent="0.25">
      <c r="K1466" s="61"/>
    </row>
    <row r="1467" spans="11:11" x14ac:dyDescent="0.25">
      <c r="K1467" s="61"/>
    </row>
    <row r="1468" spans="11:11" x14ac:dyDescent="0.25">
      <c r="K1468" s="61"/>
    </row>
    <row r="1469" spans="11:11" x14ac:dyDescent="0.25">
      <c r="K1469" s="61"/>
    </row>
    <row r="1470" spans="11:11" x14ac:dyDescent="0.25">
      <c r="K1470" s="61"/>
    </row>
    <row r="1471" spans="11:11" x14ac:dyDescent="0.25">
      <c r="K1471" s="61"/>
    </row>
    <row r="1472" spans="11:11" x14ac:dyDescent="0.25">
      <c r="K1472" s="61"/>
    </row>
    <row r="1473" spans="11:11" x14ac:dyDescent="0.25">
      <c r="K1473" s="61"/>
    </row>
    <row r="1474" spans="11:11" x14ac:dyDescent="0.25">
      <c r="K1474" s="61"/>
    </row>
    <row r="1475" spans="11:11" x14ac:dyDescent="0.25">
      <c r="K1475" s="61"/>
    </row>
    <row r="1476" spans="11:11" x14ac:dyDescent="0.25">
      <c r="K1476" s="61"/>
    </row>
    <row r="1477" spans="11:11" x14ac:dyDescent="0.25">
      <c r="K1477" s="61"/>
    </row>
    <row r="1478" spans="11:11" x14ac:dyDescent="0.25">
      <c r="K1478" s="61"/>
    </row>
    <row r="1479" spans="11:11" x14ac:dyDescent="0.25">
      <c r="K1479" s="61"/>
    </row>
    <row r="1480" spans="11:11" x14ac:dyDescent="0.25">
      <c r="K1480" s="61"/>
    </row>
    <row r="1481" spans="11:11" x14ac:dyDescent="0.25">
      <c r="K1481" s="61"/>
    </row>
    <row r="1482" spans="11:11" x14ac:dyDescent="0.25">
      <c r="K1482" s="61"/>
    </row>
    <row r="1483" spans="11:11" x14ac:dyDescent="0.25">
      <c r="K1483" s="61"/>
    </row>
    <row r="1484" spans="11:11" x14ac:dyDescent="0.25">
      <c r="K1484" s="61"/>
    </row>
    <row r="1485" spans="11:11" x14ac:dyDescent="0.25">
      <c r="K1485" s="61"/>
    </row>
    <row r="1486" spans="11:11" x14ac:dyDescent="0.25">
      <c r="K1486" s="61"/>
    </row>
    <row r="1487" spans="11:11" x14ac:dyDescent="0.25">
      <c r="K1487" s="61"/>
    </row>
    <row r="1488" spans="11:11" x14ac:dyDescent="0.25">
      <c r="K1488" s="61"/>
    </row>
    <row r="1489" spans="11:11" x14ac:dyDescent="0.25">
      <c r="K1489" s="61"/>
    </row>
    <row r="1490" spans="11:11" x14ac:dyDescent="0.25">
      <c r="K1490" s="61"/>
    </row>
    <row r="1491" spans="11:11" x14ac:dyDescent="0.25">
      <c r="K1491" s="61"/>
    </row>
    <row r="1492" spans="11:11" x14ac:dyDescent="0.25">
      <c r="K1492" s="61"/>
    </row>
    <row r="1493" spans="11:11" x14ac:dyDescent="0.25">
      <c r="K1493" s="61"/>
    </row>
    <row r="1494" spans="11:11" x14ac:dyDescent="0.25">
      <c r="K1494" s="61"/>
    </row>
    <row r="1495" spans="11:11" x14ac:dyDescent="0.25">
      <c r="K1495" s="61"/>
    </row>
    <row r="1496" spans="11:11" x14ac:dyDescent="0.25">
      <c r="K1496" s="61"/>
    </row>
    <row r="1497" spans="11:11" x14ac:dyDescent="0.25">
      <c r="K1497" s="61"/>
    </row>
    <row r="1498" spans="11:11" x14ac:dyDescent="0.25">
      <c r="K1498" s="61"/>
    </row>
    <row r="1499" spans="11:11" x14ac:dyDescent="0.25">
      <c r="K1499" s="61"/>
    </row>
    <row r="1500" spans="11:11" x14ac:dyDescent="0.25">
      <c r="K1500" s="61"/>
    </row>
    <row r="1501" spans="11:11" x14ac:dyDescent="0.25">
      <c r="K1501" s="61"/>
    </row>
    <row r="1502" spans="11:11" x14ac:dyDescent="0.25">
      <c r="K1502" s="61"/>
    </row>
    <row r="1503" spans="11:11" x14ac:dyDescent="0.25">
      <c r="K1503" s="61"/>
    </row>
    <row r="1504" spans="11:11" x14ac:dyDescent="0.25">
      <c r="K1504" s="61"/>
    </row>
    <row r="1505" spans="11:11" x14ac:dyDescent="0.25">
      <c r="K1505" s="61"/>
    </row>
    <row r="1506" spans="11:11" x14ac:dyDescent="0.25">
      <c r="K1506" s="61"/>
    </row>
    <row r="1507" spans="11:11" x14ac:dyDescent="0.25">
      <c r="K1507" s="61"/>
    </row>
    <row r="1508" spans="11:11" x14ac:dyDescent="0.25">
      <c r="K1508" s="61"/>
    </row>
    <row r="1509" spans="11:11" x14ac:dyDescent="0.25">
      <c r="K1509" s="61"/>
    </row>
    <row r="1510" spans="11:11" x14ac:dyDescent="0.25">
      <c r="K1510" s="61"/>
    </row>
    <row r="1511" spans="11:11" x14ac:dyDescent="0.25">
      <c r="K1511" s="61"/>
    </row>
    <row r="1512" spans="11:11" x14ac:dyDescent="0.25">
      <c r="K1512" s="61"/>
    </row>
    <row r="1513" spans="11:11" x14ac:dyDescent="0.25">
      <c r="K1513" s="61"/>
    </row>
    <row r="1514" spans="11:11" x14ac:dyDescent="0.25">
      <c r="K1514" s="61"/>
    </row>
    <row r="1515" spans="11:11" x14ac:dyDescent="0.25">
      <c r="K1515" s="61"/>
    </row>
    <row r="1516" spans="11:11" x14ac:dyDescent="0.25">
      <c r="K1516" s="61"/>
    </row>
    <row r="1517" spans="11:11" x14ac:dyDescent="0.25">
      <c r="K1517" s="61"/>
    </row>
    <row r="1518" spans="11:11" x14ac:dyDescent="0.25">
      <c r="K1518" s="61"/>
    </row>
    <row r="1519" spans="11:11" x14ac:dyDescent="0.25">
      <c r="K1519" s="61"/>
    </row>
    <row r="1520" spans="11:11" x14ac:dyDescent="0.25">
      <c r="K1520" s="61"/>
    </row>
    <row r="1521" spans="11:11" x14ac:dyDescent="0.25">
      <c r="K1521" s="61"/>
    </row>
    <row r="1522" spans="11:11" x14ac:dyDescent="0.25">
      <c r="K1522" s="61"/>
    </row>
    <row r="1523" spans="11:11" x14ac:dyDescent="0.25">
      <c r="K1523" s="61"/>
    </row>
    <row r="1524" spans="11:11" x14ac:dyDescent="0.25">
      <c r="K1524" s="61"/>
    </row>
    <row r="1525" spans="11:11" x14ac:dyDescent="0.25">
      <c r="K1525" s="61"/>
    </row>
    <row r="1526" spans="11:11" x14ac:dyDescent="0.25">
      <c r="K1526" s="61"/>
    </row>
    <row r="1527" spans="11:11" x14ac:dyDescent="0.25">
      <c r="K1527" s="61"/>
    </row>
    <row r="1528" spans="11:11" x14ac:dyDescent="0.25">
      <c r="K1528" s="61"/>
    </row>
    <row r="1529" spans="11:11" x14ac:dyDescent="0.25">
      <c r="K1529" s="61"/>
    </row>
    <row r="1530" spans="11:11" x14ac:dyDescent="0.25">
      <c r="K1530" s="61"/>
    </row>
    <row r="1531" spans="11:11" x14ac:dyDescent="0.25">
      <c r="K1531" s="61"/>
    </row>
    <row r="1532" spans="11:11" x14ac:dyDescent="0.25">
      <c r="K1532" s="61"/>
    </row>
    <row r="1533" spans="11:11" x14ac:dyDescent="0.25">
      <c r="K1533" s="61"/>
    </row>
    <row r="1534" spans="11:11" x14ac:dyDescent="0.25">
      <c r="K1534" s="61"/>
    </row>
    <row r="1535" spans="11:11" x14ac:dyDescent="0.25">
      <c r="K1535" s="61"/>
    </row>
    <row r="1536" spans="11:11" x14ac:dyDescent="0.25">
      <c r="K1536" s="61"/>
    </row>
    <row r="1537" spans="11:11" x14ac:dyDescent="0.25">
      <c r="K1537" s="61"/>
    </row>
    <row r="1538" spans="11:11" x14ac:dyDescent="0.25">
      <c r="K1538" s="61"/>
    </row>
    <row r="1539" spans="11:11" x14ac:dyDescent="0.25">
      <c r="K1539" s="61"/>
    </row>
    <row r="1540" spans="11:11" x14ac:dyDescent="0.25">
      <c r="K1540" s="61"/>
    </row>
    <row r="1541" spans="11:11" x14ac:dyDescent="0.25">
      <c r="K1541" s="61"/>
    </row>
    <row r="1542" spans="11:11" x14ac:dyDescent="0.25">
      <c r="K1542" s="61"/>
    </row>
    <row r="1543" spans="11:11" x14ac:dyDescent="0.25">
      <c r="K1543" s="61"/>
    </row>
    <row r="1544" spans="11:11" x14ac:dyDescent="0.25">
      <c r="K1544" s="61"/>
    </row>
    <row r="1545" spans="11:11" x14ac:dyDescent="0.25">
      <c r="K1545" s="61"/>
    </row>
    <row r="1546" spans="11:11" x14ac:dyDescent="0.25">
      <c r="K1546" s="61"/>
    </row>
    <row r="1547" spans="11:11" x14ac:dyDescent="0.25">
      <c r="K1547" s="61"/>
    </row>
    <row r="1548" spans="11:11" x14ac:dyDescent="0.25">
      <c r="K1548" s="61"/>
    </row>
    <row r="1549" spans="11:11" x14ac:dyDescent="0.25">
      <c r="K1549" s="61"/>
    </row>
    <row r="1550" spans="11:11" x14ac:dyDescent="0.25">
      <c r="K1550" s="61"/>
    </row>
    <row r="1551" spans="11:11" x14ac:dyDescent="0.25">
      <c r="K1551" s="61"/>
    </row>
    <row r="1552" spans="11:11" x14ac:dyDescent="0.25">
      <c r="K1552" s="61"/>
    </row>
    <row r="1553" spans="11:11" x14ac:dyDescent="0.25">
      <c r="K1553" s="61"/>
    </row>
    <row r="1554" spans="11:11" x14ac:dyDescent="0.25">
      <c r="K1554" s="61"/>
    </row>
    <row r="1555" spans="11:11" x14ac:dyDescent="0.25">
      <c r="K1555" s="61"/>
    </row>
    <row r="1556" spans="11:11" x14ac:dyDescent="0.25">
      <c r="K1556" s="61"/>
    </row>
    <row r="1557" spans="11:11" x14ac:dyDescent="0.25">
      <c r="K1557" s="61"/>
    </row>
    <row r="1558" spans="11:11" x14ac:dyDescent="0.25">
      <c r="K1558" s="61"/>
    </row>
    <row r="1559" spans="11:11" x14ac:dyDescent="0.25">
      <c r="K1559" s="61"/>
    </row>
    <row r="1560" spans="11:11" x14ac:dyDescent="0.25">
      <c r="K1560" s="61"/>
    </row>
    <row r="1561" spans="11:11" x14ac:dyDescent="0.25">
      <c r="K1561" s="61"/>
    </row>
    <row r="1562" spans="11:11" x14ac:dyDescent="0.25">
      <c r="K1562" s="61"/>
    </row>
    <row r="1563" spans="11:11" x14ac:dyDescent="0.25">
      <c r="K1563" s="61"/>
    </row>
    <row r="1564" spans="11:11" x14ac:dyDescent="0.25">
      <c r="K1564" s="61"/>
    </row>
    <row r="1565" spans="11:11" x14ac:dyDescent="0.25">
      <c r="K1565" s="61"/>
    </row>
    <row r="1566" spans="11:11" x14ac:dyDescent="0.25">
      <c r="K1566" s="61"/>
    </row>
    <row r="1567" spans="11:11" x14ac:dyDescent="0.25">
      <c r="K1567" s="61"/>
    </row>
    <row r="1568" spans="11:11" x14ac:dyDescent="0.25">
      <c r="K1568" s="61"/>
    </row>
    <row r="1569" spans="11:11" x14ac:dyDescent="0.25">
      <c r="K1569" s="61"/>
    </row>
    <row r="1570" spans="11:11" x14ac:dyDescent="0.25">
      <c r="K1570" s="61"/>
    </row>
    <row r="1571" spans="11:11" x14ac:dyDescent="0.25">
      <c r="K1571" s="61"/>
    </row>
    <row r="1572" spans="11:11" x14ac:dyDescent="0.25">
      <c r="K1572" s="61"/>
    </row>
    <row r="1573" spans="11:11" x14ac:dyDescent="0.25">
      <c r="K1573" s="61"/>
    </row>
    <row r="1574" spans="11:11" x14ac:dyDescent="0.25">
      <c r="K1574" s="61"/>
    </row>
    <row r="1575" spans="11:11" x14ac:dyDescent="0.25">
      <c r="K1575" s="61"/>
    </row>
    <row r="1576" spans="11:11" x14ac:dyDescent="0.25">
      <c r="K1576" s="61"/>
    </row>
    <row r="1577" spans="11:11" x14ac:dyDescent="0.25">
      <c r="K1577" s="61"/>
    </row>
    <row r="1578" spans="11:11" x14ac:dyDescent="0.25">
      <c r="K1578" s="61"/>
    </row>
    <row r="1579" spans="11:11" x14ac:dyDescent="0.25">
      <c r="K1579" s="61"/>
    </row>
    <row r="1580" spans="11:11" x14ac:dyDescent="0.25">
      <c r="K1580" s="61"/>
    </row>
    <row r="1581" spans="11:11" x14ac:dyDescent="0.25">
      <c r="K1581" s="61"/>
    </row>
    <row r="1582" spans="11:11" x14ac:dyDescent="0.25">
      <c r="K1582" s="61"/>
    </row>
    <row r="1583" spans="11:11" x14ac:dyDescent="0.25">
      <c r="K1583" s="61"/>
    </row>
    <row r="1584" spans="11:11" x14ac:dyDescent="0.25">
      <c r="K1584" s="61"/>
    </row>
    <row r="1585" spans="11:11" x14ac:dyDescent="0.25">
      <c r="K1585" s="61"/>
    </row>
    <row r="1586" spans="11:11" x14ac:dyDescent="0.25">
      <c r="K1586" s="61"/>
    </row>
    <row r="1587" spans="11:11" x14ac:dyDescent="0.25">
      <c r="K1587" s="61"/>
    </row>
    <row r="1588" spans="11:11" x14ac:dyDescent="0.25">
      <c r="K1588" s="61"/>
    </row>
    <row r="1589" spans="11:11" x14ac:dyDescent="0.25">
      <c r="K1589" s="61"/>
    </row>
    <row r="1590" spans="11:11" x14ac:dyDescent="0.25">
      <c r="K1590" s="61"/>
    </row>
    <row r="1591" spans="11:11" x14ac:dyDescent="0.25">
      <c r="K1591" s="61"/>
    </row>
    <row r="1592" spans="11:11" x14ac:dyDescent="0.25">
      <c r="K1592" s="61"/>
    </row>
    <row r="1593" spans="11:11" x14ac:dyDescent="0.25">
      <c r="K1593" s="61"/>
    </row>
    <row r="1594" spans="11:11" x14ac:dyDescent="0.25">
      <c r="K1594" s="61"/>
    </row>
    <row r="1595" spans="11:11" x14ac:dyDescent="0.25">
      <c r="K1595" s="61"/>
    </row>
    <row r="1596" spans="11:11" x14ac:dyDescent="0.25">
      <c r="K1596" s="61"/>
    </row>
    <row r="1597" spans="11:11" x14ac:dyDescent="0.25">
      <c r="K1597" s="61"/>
    </row>
    <row r="1598" spans="11:11" x14ac:dyDescent="0.25">
      <c r="K1598" s="61"/>
    </row>
    <row r="1599" spans="11:11" x14ac:dyDescent="0.25">
      <c r="K1599" s="61"/>
    </row>
    <row r="1600" spans="11:11" x14ac:dyDescent="0.25">
      <c r="K1600" s="61"/>
    </row>
    <row r="1601" spans="11:11" x14ac:dyDescent="0.25">
      <c r="K1601" s="61"/>
    </row>
    <row r="1602" spans="11:11" x14ac:dyDescent="0.25">
      <c r="K1602" s="61"/>
    </row>
    <row r="1603" spans="11:11" x14ac:dyDescent="0.25">
      <c r="K1603" s="61"/>
    </row>
    <row r="1604" spans="11:11" x14ac:dyDescent="0.25">
      <c r="K1604" s="61"/>
    </row>
    <row r="1605" spans="11:11" x14ac:dyDescent="0.25">
      <c r="K1605" s="61"/>
    </row>
    <row r="1606" spans="11:11" x14ac:dyDescent="0.25">
      <c r="K1606" s="61"/>
    </row>
    <row r="1607" spans="11:11" x14ac:dyDescent="0.25">
      <c r="K1607" s="61"/>
    </row>
    <row r="1608" spans="11:11" x14ac:dyDescent="0.25">
      <c r="K1608" s="61"/>
    </row>
    <row r="1609" spans="11:11" x14ac:dyDescent="0.25">
      <c r="K1609" s="61"/>
    </row>
    <row r="1610" spans="11:11" x14ac:dyDescent="0.25">
      <c r="K1610" s="61"/>
    </row>
    <row r="1611" spans="11:11" x14ac:dyDescent="0.25">
      <c r="K1611" s="61"/>
    </row>
    <row r="1612" spans="11:11" x14ac:dyDescent="0.25">
      <c r="K1612" s="61"/>
    </row>
    <row r="1613" spans="11:11" x14ac:dyDescent="0.25">
      <c r="K1613" s="61"/>
    </row>
    <row r="1614" spans="11:11" x14ac:dyDescent="0.25">
      <c r="K1614" s="61"/>
    </row>
    <row r="1615" spans="11:11" x14ac:dyDescent="0.25">
      <c r="K1615" s="61"/>
    </row>
    <row r="1616" spans="11:11" x14ac:dyDescent="0.25">
      <c r="K1616" s="61"/>
    </row>
    <row r="1617" spans="11:11" x14ac:dyDescent="0.25">
      <c r="K1617" s="61"/>
    </row>
    <row r="1618" spans="11:11" x14ac:dyDescent="0.25">
      <c r="K1618" s="61"/>
    </row>
    <row r="1619" spans="11:11" x14ac:dyDescent="0.25">
      <c r="K1619" s="61"/>
    </row>
    <row r="1620" spans="11:11" x14ac:dyDescent="0.25">
      <c r="K1620" s="61"/>
    </row>
    <row r="1621" spans="11:11" x14ac:dyDescent="0.25">
      <c r="K1621" s="61"/>
    </row>
    <row r="1622" spans="11:11" x14ac:dyDescent="0.25">
      <c r="K1622" s="61"/>
    </row>
    <row r="1623" spans="11:11" x14ac:dyDescent="0.25">
      <c r="K1623" s="61"/>
    </row>
    <row r="1624" spans="11:11" x14ac:dyDescent="0.25">
      <c r="K1624" s="61"/>
    </row>
    <row r="1625" spans="11:11" x14ac:dyDescent="0.25">
      <c r="K1625" s="61"/>
    </row>
    <row r="1626" spans="11:11" x14ac:dyDescent="0.25">
      <c r="K1626" s="61"/>
    </row>
    <row r="1627" spans="11:11" x14ac:dyDescent="0.25">
      <c r="K1627" s="61"/>
    </row>
    <row r="1628" spans="11:11" x14ac:dyDescent="0.25">
      <c r="K1628" s="61"/>
    </row>
    <row r="1629" spans="11:11" x14ac:dyDescent="0.25">
      <c r="K1629" s="61"/>
    </row>
    <row r="1630" spans="11:11" x14ac:dyDescent="0.25">
      <c r="K1630" s="61"/>
    </row>
    <row r="1631" spans="11:11" x14ac:dyDescent="0.25">
      <c r="K1631" s="61"/>
    </row>
    <row r="1632" spans="11:11" x14ac:dyDescent="0.25">
      <c r="K1632" s="61"/>
    </row>
    <row r="1633" spans="11:11" x14ac:dyDescent="0.25">
      <c r="K1633" s="61"/>
    </row>
    <row r="1634" spans="11:11" x14ac:dyDescent="0.25">
      <c r="K1634" s="61"/>
    </row>
    <row r="1635" spans="11:11" x14ac:dyDescent="0.25">
      <c r="K1635" s="61"/>
    </row>
    <row r="1636" spans="11:11" x14ac:dyDescent="0.25">
      <c r="K1636" s="61"/>
    </row>
    <row r="1637" spans="11:11" x14ac:dyDescent="0.25">
      <c r="K1637" s="61"/>
    </row>
    <row r="1638" spans="11:11" x14ac:dyDescent="0.25">
      <c r="K1638" s="61"/>
    </row>
    <row r="1639" spans="11:11" x14ac:dyDescent="0.25">
      <c r="K1639" s="61"/>
    </row>
    <row r="1640" spans="11:11" x14ac:dyDescent="0.25">
      <c r="K1640" s="61"/>
    </row>
    <row r="1641" spans="11:11" x14ac:dyDescent="0.25">
      <c r="K1641" s="61"/>
    </row>
    <row r="1642" spans="11:11" x14ac:dyDescent="0.25">
      <c r="K1642" s="61"/>
    </row>
    <row r="1643" spans="11:11" x14ac:dyDescent="0.25">
      <c r="K1643" s="61"/>
    </row>
    <row r="1644" spans="11:11" x14ac:dyDescent="0.25">
      <c r="K1644" s="61"/>
    </row>
    <row r="1645" spans="11:11" x14ac:dyDescent="0.25">
      <c r="K1645" s="61"/>
    </row>
    <row r="1646" spans="11:11" x14ac:dyDescent="0.25">
      <c r="K1646" s="61"/>
    </row>
    <row r="1647" spans="11:11" x14ac:dyDescent="0.25">
      <c r="K1647" s="61"/>
    </row>
    <row r="1648" spans="11:11" x14ac:dyDescent="0.25">
      <c r="K1648" s="61"/>
    </row>
    <row r="1649" spans="11:11" x14ac:dyDescent="0.25">
      <c r="K1649" s="61"/>
    </row>
    <row r="1650" spans="11:11" x14ac:dyDescent="0.25">
      <c r="K1650" s="61"/>
    </row>
    <row r="1651" spans="11:11" x14ac:dyDescent="0.25">
      <c r="K1651" s="61"/>
    </row>
    <row r="1652" spans="11:11" x14ac:dyDescent="0.25">
      <c r="K1652" s="61"/>
    </row>
    <row r="1653" spans="11:11" x14ac:dyDescent="0.25">
      <c r="K1653" s="61"/>
    </row>
    <row r="1654" spans="11:11" x14ac:dyDescent="0.25">
      <c r="K1654" s="61"/>
    </row>
    <row r="1655" spans="11:11" x14ac:dyDescent="0.25">
      <c r="K1655" s="61"/>
    </row>
    <row r="1656" spans="11:11" x14ac:dyDescent="0.25">
      <c r="K1656" s="61"/>
    </row>
    <row r="1657" spans="11:11" x14ac:dyDescent="0.25">
      <c r="K1657" s="61"/>
    </row>
    <row r="1658" spans="11:11" x14ac:dyDescent="0.25">
      <c r="K1658" s="61"/>
    </row>
    <row r="1659" spans="11:11" x14ac:dyDescent="0.25">
      <c r="K1659" s="61"/>
    </row>
    <row r="1660" spans="11:11" x14ac:dyDescent="0.25">
      <c r="K1660" s="61"/>
    </row>
    <row r="1661" spans="11:11" x14ac:dyDescent="0.25">
      <c r="K1661" s="61"/>
    </row>
    <row r="1662" spans="11:11" x14ac:dyDescent="0.25">
      <c r="K1662" s="61"/>
    </row>
    <row r="1663" spans="11:11" x14ac:dyDescent="0.25">
      <c r="K1663" s="61"/>
    </row>
    <row r="1664" spans="11:11" x14ac:dyDescent="0.25">
      <c r="K1664" s="61"/>
    </row>
    <row r="1665" spans="11:11" x14ac:dyDescent="0.25">
      <c r="K1665" s="61"/>
    </row>
    <row r="1666" spans="11:11" x14ac:dyDescent="0.25">
      <c r="K1666" s="61"/>
    </row>
    <row r="1667" spans="11:11" x14ac:dyDescent="0.25">
      <c r="K1667" s="61"/>
    </row>
    <row r="1668" spans="11:11" x14ac:dyDescent="0.25">
      <c r="K1668" s="61"/>
    </row>
    <row r="1669" spans="11:11" x14ac:dyDescent="0.25">
      <c r="K1669" s="61"/>
    </row>
    <row r="1670" spans="11:11" x14ac:dyDescent="0.25">
      <c r="K1670" s="61"/>
    </row>
    <row r="1671" spans="11:11" x14ac:dyDescent="0.25">
      <c r="K1671" s="61"/>
    </row>
    <row r="1672" spans="11:11" x14ac:dyDescent="0.25">
      <c r="K1672" s="61"/>
    </row>
    <row r="1673" spans="11:11" x14ac:dyDescent="0.25">
      <c r="K1673" s="61"/>
    </row>
    <row r="1674" spans="11:11" x14ac:dyDescent="0.25">
      <c r="K1674" s="61"/>
    </row>
    <row r="1675" spans="11:11" x14ac:dyDescent="0.25">
      <c r="K1675" s="61"/>
    </row>
    <row r="1676" spans="11:11" x14ac:dyDescent="0.25">
      <c r="K1676" s="61"/>
    </row>
    <row r="1677" spans="11:11" x14ac:dyDescent="0.25">
      <c r="K1677" s="61"/>
    </row>
    <row r="1678" spans="11:11" x14ac:dyDescent="0.25">
      <c r="K1678" s="61"/>
    </row>
    <row r="1679" spans="11:11" x14ac:dyDescent="0.25">
      <c r="K1679" s="61"/>
    </row>
    <row r="1680" spans="11:11" x14ac:dyDescent="0.25">
      <c r="K1680" s="61"/>
    </row>
    <row r="1681" spans="11:11" x14ac:dyDescent="0.25">
      <c r="K1681" s="61"/>
    </row>
    <row r="1682" spans="11:11" x14ac:dyDescent="0.25">
      <c r="K1682" s="61"/>
    </row>
    <row r="1683" spans="11:11" x14ac:dyDescent="0.25">
      <c r="K1683" s="61"/>
    </row>
    <row r="1684" spans="11:11" x14ac:dyDescent="0.25">
      <c r="K1684" s="61"/>
    </row>
    <row r="1685" spans="11:11" x14ac:dyDescent="0.25">
      <c r="K1685" s="61"/>
    </row>
    <row r="1686" spans="11:11" x14ac:dyDescent="0.25">
      <c r="K1686" s="61"/>
    </row>
    <row r="1687" spans="11:11" x14ac:dyDescent="0.25">
      <c r="K1687" s="61"/>
    </row>
  </sheetData>
  <mergeCells count="10">
    <mergeCell ref="A1:W1"/>
    <mergeCell ref="M59:W59"/>
    <mergeCell ref="M62:W62"/>
    <mergeCell ref="L85:V85"/>
    <mergeCell ref="A43:K43"/>
    <mergeCell ref="A52:K52"/>
    <mergeCell ref="A2:K2"/>
    <mergeCell ref="A57:K57"/>
    <mergeCell ref="M2:W2"/>
    <mergeCell ref="M41:W41"/>
  </mergeCells>
  <printOptions horizontalCentered="1" verticalCentered="1"/>
  <pageMargins left="0" right="0" top="0.19685039370078741" bottom="0" header="0" footer="0"/>
  <pageSetup paperSize="4" scale="48" orientation="landscape" horizontalDpi="1200" verticalDpi="1200" r:id="rId1"/>
  <ignoredErrors>
    <ignoredError sqref="R72 F49 R74:T75 R71:T71 R76:S76 O77:T79 S10:T10 U77 U79 U10:W10" formulaRange="1"/>
    <ignoredError sqref="R73"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Peer Analysis</vt:lpstr>
      <vt:lpstr>Consol</vt:lpstr>
      <vt:lpstr>'Peer Analysis'!Print_Area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cp:lastPrinted>2023-01-09T10:48:40Z</cp:lastPrinted>
  <dcterms:created xsi:type="dcterms:W3CDTF">2021-01-27T07:46:46Z</dcterms:created>
  <dcterms:modified xsi:type="dcterms:W3CDTF">2025-06-12T08:57:26Z</dcterms:modified>
</cp:coreProperties>
</file>