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Harshit\Yatra\Summary Sheet\Q1-FY26\"/>
    </mc:Choice>
  </mc:AlternateContent>
  <bookViews>
    <workbookView xWindow="0" yWindow="0" windowWidth="20490" windowHeight="7020" tabRatio="599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J34" i="1"/>
  <c r="T90" i="1"/>
  <c r="J21" i="1"/>
  <c r="J15" i="1"/>
  <c r="J14" i="1"/>
  <c r="J12" i="1"/>
  <c r="T78" i="1" l="1"/>
  <c r="T81" i="1" s="1"/>
  <c r="J10" i="1" l="1"/>
  <c r="J43" i="1" l="1"/>
  <c r="J29" i="1"/>
  <c r="J31" i="1" l="1"/>
  <c r="J35" i="1" s="1"/>
  <c r="J30" i="1"/>
  <c r="M97" i="1"/>
  <c r="N97" i="1"/>
  <c r="O97" i="1"/>
  <c r="P97" i="1"/>
  <c r="Q97" i="1"/>
  <c r="R97" i="1"/>
  <c r="S97" i="1"/>
  <c r="S91" i="1"/>
  <c r="I64" i="1"/>
  <c r="I10" i="1"/>
  <c r="I6" i="1"/>
  <c r="I5" i="1"/>
  <c r="I29" i="1"/>
  <c r="S81" i="1"/>
  <c r="I68" i="1"/>
  <c r="R91" i="1"/>
  <c r="J44" i="1" l="1"/>
  <c r="J36" i="1"/>
  <c r="S15" i="1"/>
  <c r="S14" i="1"/>
  <c r="S44" i="1"/>
  <c r="S34" i="1"/>
  <c r="S68" i="1"/>
  <c r="S55" i="1"/>
  <c r="S10" i="1"/>
  <c r="I72" i="1"/>
  <c r="I63" i="1"/>
  <c r="I65" i="1" s="1"/>
  <c r="I58" i="1"/>
  <c r="I43" i="1"/>
  <c r="I70" i="1"/>
  <c r="I12" i="1"/>
  <c r="S92" i="1" s="1"/>
  <c r="S94" i="1" s="1"/>
  <c r="I14" i="1"/>
  <c r="S96" i="1" l="1"/>
  <c r="I21" i="1"/>
  <c r="S16" i="1"/>
  <c r="S73" i="1"/>
  <c r="S74" i="1" s="1"/>
  <c r="S72" i="1"/>
  <c r="S12" i="1" s="1"/>
  <c r="S70" i="1"/>
  <c r="I15" i="1"/>
  <c r="H63" i="1"/>
  <c r="H64" i="1"/>
  <c r="G64" i="1"/>
  <c r="M91" i="1"/>
  <c r="S87" i="1" l="1"/>
  <c r="S90" i="1"/>
  <c r="I71" i="1"/>
  <c r="I73" i="1" s="1"/>
  <c r="S83" i="1" s="1"/>
  <c r="I30" i="1"/>
  <c r="S18" i="1"/>
  <c r="S86" i="1" s="1"/>
  <c r="S88" i="1"/>
  <c r="I31" i="1"/>
  <c r="S79" i="1"/>
  <c r="S82" i="1" s="1"/>
  <c r="R15" i="1"/>
  <c r="Q15" i="1"/>
  <c r="R14" i="1"/>
  <c r="Q14" i="1"/>
  <c r="H10" i="1"/>
  <c r="H65" i="1"/>
  <c r="G63" i="1"/>
  <c r="H29" i="1"/>
  <c r="H12" i="1"/>
  <c r="R92" i="1" s="1"/>
  <c r="R94" i="1" s="1"/>
  <c r="G12" i="1"/>
  <c r="Q92" i="1" s="1"/>
  <c r="H6" i="1"/>
  <c r="G6" i="1"/>
  <c r="G5" i="1"/>
  <c r="H5" i="1"/>
  <c r="F5" i="1"/>
  <c r="I35" i="1" l="1"/>
  <c r="R78" i="1"/>
  <c r="S85" i="1" l="1"/>
  <c r="I36" i="1"/>
  <c r="I44" i="1"/>
  <c r="R16" i="1"/>
  <c r="H70" i="1"/>
  <c r="F50" i="1" l="1"/>
  <c r="E50" i="1"/>
  <c r="D50" i="1"/>
  <c r="F6" i="1"/>
  <c r="H14" i="1" l="1"/>
  <c r="M78" i="1"/>
  <c r="F64" i="1"/>
  <c r="E37" i="1"/>
  <c r="D37" i="1"/>
  <c r="D5" i="1"/>
  <c r="E5" i="1"/>
  <c r="P91" i="1"/>
  <c r="O91" i="1"/>
  <c r="N91" i="1"/>
  <c r="Q91" i="1"/>
  <c r="Q94" i="1" s="1"/>
  <c r="E64" i="1"/>
  <c r="D64" i="1"/>
  <c r="C64" i="1"/>
  <c r="G65" i="1"/>
  <c r="F63" i="1"/>
  <c r="F65" i="1" s="1"/>
  <c r="E63" i="1"/>
  <c r="D63" i="1"/>
  <c r="C63" i="1"/>
  <c r="H72" i="1"/>
  <c r="F58" i="1"/>
  <c r="F60" i="1" s="1"/>
  <c r="G54" i="1" s="1"/>
  <c r="G58" i="1"/>
  <c r="H58" i="1"/>
  <c r="R68" i="1"/>
  <c r="R55" i="1"/>
  <c r="R44" i="1"/>
  <c r="R34" i="1"/>
  <c r="H71" i="1"/>
  <c r="R10" i="1"/>
  <c r="H43" i="1"/>
  <c r="G29" i="1"/>
  <c r="F29" i="1"/>
  <c r="E29" i="1"/>
  <c r="D29" i="1"/>
  <c r="C29" i="1"/>
  <c r="G14" i="1"/>
  <c r="E14" i="1"/>
  <c r="F14" i="1"/>
  <c r="I17" i="1" s="1"/>
  <c r="D14" i="1"/>
  <c r="C14" i="1"/>
  <c r="C21" i="1" s="1"/>
  <c r="M90" i="1" s="1"/>
  <c r="F43" i="1"/>
  <c r="E43" i="1"/>
  <c r="E44" i="1" s="1"/>
  <c r="D43" i="1"/>
  <c r="D44" i="1" s="1"/>
  <c r="C43" i="1"/>
  <c r="C44" i="1" s="1"/>
  <c r="G43" i="1"/>
  <c r="C34" i="1"/>
  <c r="D12" i="1"/>
  <c r="N92" i="1" s="1"/>
  <c r="C12" i="1"/>
  <c r="M92" i="1" s="1"/>
  <c r="M94" i="1" s="1"/>
  <c r="P10" i="1"/>
  <c r="O10" i="1"/>
  <c r="N10" i="1"/>
  <c r="M10" i="1"/>
  <c r="Q10" i="1"/>
  <c r="F12" i="1"/>
  <c r="P92" i="1" s="1"/>
  <c r="E12" i="1"/>
  <c r="O92" i="1" s="1"/>
  <c r="D34" i="1"/>
  <c r="C58" i="1"/>
  <c r="C60" i="1" s="1"/>
  <c r="C70" i="1"/>
  <c r="C72" i="1"/>
  <c r="C30" i="1" l="1"/>
  <c r="R96" i="1"/>
  <c r="I16" i="1"/>
  <c r="E65" i="1"/>
  <c r="N94" i="1"/>
  <c r="G16" i="1"/>
  <c r="R72" i="1"/>
  <c r="R12" i="1" s="1"/>
  <c r="R18" i="1" s="1"/>
  <c r="R70" i="1"/>
  <c r="S95" i="1" s="1"/>
  <c r="G60" i="1"/>
  <c r="O94" i="1"/>
  <c r="P94" i="1"/>
  <c r="R73" i="1"/>
  <c r="R74" i="1" s="1"/>
  <c r="S84" i="1" s="1"/>
  <c r="H54" i="1"/>
  <c r="H60" i="1" s="1"/>
  <c r="I54" i="1" s="1"/>
  <c r="I60" i="1" s="1"/>
  <c r="F21" i="1"/>
  <c r="P90" i="1" s="1"/>
  <c r="F16" i="1"/>
  <c r="H16" i="1"/>
  <c r="H17" i="1"/>
  <c r="H21" i="1"/>
  <c r="H73" i="1"/>
  <c r="R83" i="1" s="1"/>
  <c r="H15" i="1"/>
  <c r="F17" i="1"/>
  <c r="E45" i="1"/>
  <c r="C65" i="1"/>
  <c r="D65" i="1"/>
  <c r="D45" i="1"/>
  <c r="C31" i="1"/>
  <c r="G17" i="1"/>
  <c r="M81" i="1"/>
  <c r="N78" i="1"/>
  <c r="N81" i="1" s="1"/>
  <c r="O78" i="1"/>
  <c r="O81" i="1" s="1"/>
  <c r="P78" i="1"/>
  <c r="P81" i="1" s="1"/>
  <c r="Q78" i="1"/>
  <c r="Q81" i="1" s="1"/>
  <c r="D70" i="1"/>
  <c r="E70" i="1"/>
  <c r="F70" i="1"/>
  <c r="G70" i="1"/>
  <c r="D72" i="1"/>
  <c r="E72" i="1"/>
  <c r="F72" i="1"/>
  <c r="G72" i="1"/>
  <c r="E58" i="1"/>
  <c r="E60" i="1" s="1"/>
  <c r="D58" i="1"/>
  <c r="D60" i="1" s="1"/>
  <c r="H30" i="1" l="1"/>
  <c r="R90" i="1"/>
  <c r="F30" i="1"/>
  <c r="R87" i="1"/>
  <c r="R88" i="1"/>
  <c r="H31" i="1"/>
  <c r="R79" i="1"/>
  <c r="R82" i="1" s="1"/>
  <c r="H34" i="1"/>
  <c r="G34" i="1"/>
  <c r="M58" i="1"/>
  <c r="M68" i="1" s="1"/>
  <c r="M44" i="1"/>
  <c r="M96" i="1" s="1"/>
  <c r="M34" i="1"/>
  <c r="M16" i="1"/>
  <c r="C71" i="1" s="1"/>
  <c r="C73" i="1" s="1"/>
  <c r="N16" i="1"/>
  <c r="M55" i="1"/>
  <c r="E34" i="1"/>
  <c r="F34" i="1"/>
  <c r="P16" i="1"/>
  <c r="Q16" i="1"/>
  <c r="O16" i="1"/>
  <c r="N44" i="1"/>
  <c r="O44" i="1"/>
  <c r="O68" i="1"/>
  <c r="Q34" i="1"/>
  <c r="N58" i="1"/>
  <c r="N68" i="1" s="1"/>
  <c r="P68" i="1"/>
  <c r="Q68" i="1"/>
  <c r="N55" i="1"/>
  <c r="O55" i="1"/>
  <c r="P55" i="1"/>
  <c r="Q55" i="1"/>
  <c r="Q44" i="1"/>
  <c r="Q96" i="1" s="1"/>
  <c r="P44" i="1"/>
  <c r="N34" i="1"/>
  <c r="O34" i="1"/>
  <c r="P34" i="1"/>
  <c r="O96" i="1" l="1"/>
  <c r="P96" i="1"/>
  <c r="N96" i="1"/>
  <c r="H35" i="1"/>
  <c r="R85" i="1" s="1"/>
  <c r="P73" i="1"/>
  <c r="P74" i="1" s="1"/>
  <c r="R86" i="1"/>
  <c r="Q73" i="1"/>
  <c r="Q74" i="1" s="1"/>
  <c r="R84" i="1" s="1"/>
  <c r="N70" i="1"/>
  <c r="Q70" i="1"/>
  <c r="R95" i="1" s="1"/>
  <c r="D15" i="1"/>
  <c r="D21" i="1"/>
  <c r="O72" i="1"/>
  <c r="O70" i="1"/>
  <c r="M73" i="1"/>
  <c r="M74" i="1" s="1"/>
  <c r="M72" i="1"/>
  <c r="N72" i="1"/>
  <c r="N73" i="1"/>
  <c r="N74" i="1" s="1"/>
  <c r="O73" i="1"/>
  <c r="O74" i="1" s="1"/>
  <c r="Q72" i="1"/>
  <c r="Q12" i="1" s="1"/>
  <c r="Q18" i="1" s="1"/>
  <c r="M70" i="1"/>
  <c r="E71" i="1"/>
  <c r="E73" i="1" s="1"/>
  <c r="G71" i="1"/>
  <c r="G73" i="1" s="1"/>
  <c r="F71" i="1"/>
  <c r="F73" i="1" s="1"/>
  <c r="D71" i="1"/>
  <c r="D73" i="1" s="1"/>
  <c r="G15" i="1"/>
  <c r="F15" i="1"/>
  <c r="E15" i="1"/>
  <c r="G21" i="1"/>
  <c r="E21" i="1"/>
  <c r="P72" i="1"/>
  <c r="P70" i="1"/>
  <c r="Q90" i="1" l="1"/>
  <c r="G30" i="1"/>
  <c r="O90" i="1"/>
  <c r="E30" i="1"/>
  <c r="N90" i="1"/>
  <c r="D30" i="1"/>
  <c r="H44" i="1"/>
  <c r="H46" i="1" s="1"/>
  <c r="H38" i="1"/>
  <c r="I37" i="1"/>
  <c r="H36" i="1"/>
  <c r="E31" i="1"/>
  <c r="G31" i="1"/>
  <c r="G35" i="1" s="1"/>
  <c r="D31" i="1"/>
  <c r="P95" i="1"/>
  <c r="P12" i="1"/>
  <c r="N95" i="1"/>
  <c r="M95" i="1"/>
  <c r="N12" i="1"/>
  <c r="O12" i="1"/>
  <c r="O95" i="1"/>
  <c r="Q95" i="1"/>
  <c r="M12" i="1"/>
  <c r="Q87" i="1"/>
  <c r="N88" i="1"/>
  <c r="Q88" i="1"/>
  <c r="Q86" i="1"/>
  <c r="F31" i="1"/>
  <c r="N85" i="1"/>
  <c r="O84" i="1"/>
  <c r="Q84" i="1"/>
  <c r="P84" i="1"/>
  <c r="N84" i="1"/>
  <c r="H37" i="1" l="1"/>
  <c r="O88" i="1"/>
  <c r="O18" i="1"/>
  <c r="O86" i="1" s="1"/>
  <c r="N18" i="1"/>
  <c r="N86" i="1" s="1"/>
  <c r="P18" i="1"/>
  <c r="P86" i="1" s="1"/>
  <c r="M85" i="1"/>
  <c r="M18" i="1"/>
  <c r="M86" i="1" s="1"/>
  <c r="G44" i="1"/>
  <c r="G38" i="1"/>
  <c r="N87" i="1"/>
  <c r="P87" i="1"/>
  <c r="M87" i="1"/>
  <c r="P88" i="1"/>
  <c r="M88" i="1"/>
  <c r="O87" i="1"/>
  <c r="F35" i="1"/>
  <c r="I38" i="1" s="1"/>
  <c r="Q85" i="1"/>
  <c r="O85" i="1"/>
  <c r="D36" i="1"/>
  <c r="E36" i="1"/>
  <c r="G36" i="1"/>
  <c r="G37" i="1" l="1"/>
  <c r="P85" i="1"/>
  <c r="F44" i="1"/>
  <c r="F46" i="1" s="1"/>
  <c r="F36" i="1"/>
  <c r="F38" i="1"/>
  <c r="F37" i="1"/>
  <c r="F45" i="1" l="1"/>
</calcChain>
</file>

<file path=xl/sharedStrings.xml><?xml version="1.0" encoding="utf-8"?>
<sst xmlns="http://schemas.openxmlformats.org/spreadsheetml/2006/main" count="272" uniqueCount="158">
  <si>
    <t>March Year Ended (INR Mn)</t>
  </si>
  <si>
    <t>FY19</t>
  </si>
  <si>
    <t>FY20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</si>
  <si>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</si>
  <si>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</si>
  <si>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</si>
  <si>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</si>
  <si>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</si>
  <si>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</si>
  <si>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</si>
  <si>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</si>
  <si>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</si>
  <si>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</si>
  <si>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</si>
  <si>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</si>
  <si>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</si>
  <si>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</si>
  <si>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 xml:space="preserve">b) Right-of-use Assets </t>
  </si>
  <si>
    <t>iii)Other Financial Assets</t>
  </si>
  <si>
    <t>Total Non Current Assets</t>
  </si>
  <si>
    <t>Current Assets:</t>
  </si>
  <si>
    <t>Non-Current Assets:</t>
  </si>
  <si>
    <t>b) Financial Assets</t>
  </si>
  <si>
    <t>ii) Trade Recievables</t>
  </si>
  <si>
    <t xml:space="preserve">iii)Cash &amp; Cash Equivalents </t>
  </si>
  <si>
    <t xml:space="preserve">iv)Bank Balances other than (iii) above </t>
  </si>
  <si>
    <t>vi)Other Financial Assets</t>
  </si>
  <si>
    <t>c) Other Current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</si>
  <si>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</si>
  <si>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</si>
  <si>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</si>
  <si>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</si>
  <si>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</si>
  <si>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</si>
  <si>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</si>
  <si>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</si>
  <si>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ia) Lease Liabilities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</si>
  <si>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</si>
  <si>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</si>
  <si>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</si>
  <si>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</si>
  <si>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</si>
  <si>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</si>
  <si>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</si>
  <si>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</si>
  <si>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</si>
  <si>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</si>
  <si>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</si>
  <si>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i) Deferred Tax Assets (Net)</t>
  </si>
  <si>
    <t>iii)Other Financial Liabilities</t>
  </si>
  <si>
    <t xml:space="preserve">Revenue from Operations </t>
  </si>
  <si>
    <t>Growth (%)</t>
  </si>
  <si>
    <t xml:space="preserve">CAGR % - 3 Years </t>
  </si>
  <si>
    <t>Employee Benefit Expense</t>
  </si>
  <si>
    <t>Other Expenses</t>
  </si>
  <si>
    <t>EBITDA</t>
  </si>
  <si>
    <t>EBITDA margin (%)</t>
  </si>
  <si>
    <t>CAGR (%) - 3 Years</t>
  </si>
  <si>
    <t>Other Income</t>
  </si>
  <si>
    <t>Depreciation</t>
  </si>
  <si>
    <t>Finance Cost</t>
  </si>
  <si>
    <t>Tax</t>
  </si>
  <si>
    <t>Tax Expense</t>
  </si>
  <si>
    <t>a) Current</t>
  </si>
  <si>
    <t>b) Deferred</t>
  </si>
  <si>
    <t>Effective tax rate (%)</t>
  </si>
  <si>
    <t>Total Taxes</t>
  </si>
  <si>
    <t>PAT from Continuing Operations</t>
  </si>
  <si>
    <t>PBT from Discontinuing Operations</t>
  </si>
  <si>
    <t>PAT from Discontinuing Operations</t>
  </si>
  <si>
    <t>Net Profit for the Year</t>
  </si>
  <si>
    <t>PAT margin (%)</t>
  </si>
  <si>
    <t>Other Comprehensive Income:</t>
  </si>
  <si>
    <t>a) Items that will not be reclassified to P&amp;L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</si>
  <si>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</si>
  <si>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</si>
  <si>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</si>
  <si>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</si>
  <si>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</si>
  <si>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</si>
  <si>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</si>
  <si>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</si>
  <si>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</si>
  <si>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>Net in Cash and Cash Equivalent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</si>
  <si>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</si>
  <si>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</si>
  <si>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</si>
  <si>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</si>
  <si>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</si>
  <si>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</si>
  <si>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</si>
  <si>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</si>
  <si>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</si>
  <si>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</si>
  <si>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</si>
  <si>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</si>
  <si>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</si>
  <si>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</si>
  <si>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</si>
  <si>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</si>
  <si>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</si>
  <si>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</si>
  <si>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</si>
  <si>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</si>
  <si>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</si>
  <si>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</si>
  <si>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</si>
  <si>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</si>
  <si>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</si>
  <si>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</si>
  <si>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BVPS (₹)</t>
  </si>
  <si>
    <t>DPS (₹)</t>
  </si>
  <si>
    <t>EPS (₹)</t>
  </si>
  <si>
    <t>CMP (As per Stock Price at BSE) (₹)</t>
  </si>
  <si>
    <t>Asset Tunover</t>
  </si>
  <si>
    <t>Ratios</t>
  </si>
  <si>
    <t>Service Cost</t>
  </si>
  <si>
    <t>Marketing And Sales promotion expense</t>
  </si>
  <si>
    <t>Listing and related expense</t>
  </si>
  <si>
    <t>Total Expenses</t>
  </si>
  <si>
    <t>ii) Income tax expense/(gain) related to items that will not be reclassified through profit or loss</t>
  </si>
  <si>
    <t>Security premium</t>
  </si>
  <si>
    <t>Retained Earnings</t>
  </si>
  <si>
    <t>Deemed capital contribution by ultimate holding company</t>
  </si>
  <si>
    <t>-</t>
  </si>
  <si>
    <t xml:space="preserve">i)   Loans </t>
  </si>
  <si>
    <t>ii)   Other Bank Balances</t>
  </si>
  <si>
    <t>c) Other Intangible Assets</t>
  </si>
  <si>
    <t xml:space="preserve">d) Intangible Assets under Development </t>
  </si>
  <si>
    <t xml:space="preserve">e) Goodwill </t>
  </si>
  <si>
    <t>f) Financial Assets:</t>
  </si>
  <si>
    <t>g) Income Tax Assets (Net)</t>
  </si>
  <si>
    <t>h) Other Non Current Assets</t>
  </si>
  <si>
    <t>a) Contract Assets</t>
  </si>
  <si>
    <t>i)  Loans</t>
  </si>
  <si>
    <t>i) Remeasurements (gain)/loss on defined benefit plan benefit obligations</t>
  </si>
  <si>
    <t>iii) Lease liabilities</t>
  </si>
  <si>
    <t xml:space="preserve">iv) Other Financial Liabilities </t>
  </si>
  <si>
    <t>d) Deferred Revenue</t>
  </si>
  <si>
    <t xml:space="preserve">e) Other Non-current Liabilities </t>
  </si>
  <si>
    <t>c) Deferred Revenue</t>
  </si>
  <si>
    <t>d) Provisions</t>
  </si>
  <si>
    <t>e) Income Tax Liabilities (Net)</t>
  </si>
  <si>
    <t>Share Application money pending allotment</t>
  </si>
  <si>
    <t>Share of (Profit)/Loss from joint venture</t>
  </si>
  <si>
    <t>PBT before share of loss of joint venture, exceptional items</t>
  </si>
  <si>
    <t>Exceptional Items</t>
  </si>
  <si>
    <t>Other comprehensive Income for the year, net of income tax</t>
  </si>
  <si>
    <t>Effects of exchange differences on cash and cash equivalents</t>
  </si>
  <si>
    <t>NA</t>
  </si>
  <si>
    <t>Yatra Online Limited</t>
  </si>
  <si>
    <t>FY24</t>
  </si>
  <si>
    <t>FY25</t>
  </si>
  <si>
    <t>d) MAT Credit</t>
  </si>
  <si>
    <t>c) Income Tax earlier years</t>
  </si>
  <si>
    <t>Current Ratio</t>
  </si>
  <si>
    <t>Debtor Turnover Ratio</t>
  </si>
  <si>
    <t>Q1FY26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</si>
</sst>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10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0" fillId="2" borderId="1" xfId="1" applyFont="1" applyFill="1" applyBorder="1"/>
    <xf numFmtId="10" fontId="0" fillId="0" borderId="1" xfId="0" applyNumberFormat="1" applyBorder="1" applyAlignment="1">
      <alignment horizontal="right"/>
    </xf>
    <xf numFmtId="166" fontId="0" fillId="0" borderId="1" xfId="1" applyNumberFormat="1" applyFont="1" applyBorder="1"/>
    <xf numFmtId="43" fontId="0" fillId="0" borderId="1" xfId="1" applyFont="1" applyBorder="1"/>
    <xf numFmtId="166" fontId="0" fillId="3" borderId="1" xfId="1" applyNumberFormat="1" applyFont="1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7" fontId="0" fillId="2" borderId="1" xfId="2" applyNumberFormat="1" applyFont="1" applyFill="1" applyBorder="1"/>
    <xf numFmtId="43" fontId="0" fillId="2" borderId="1" xfId="1" applyFont="1" applyFill="1" applyBorder="1" applyAlignment="1">
      <alignment horizontal="right"/>
    </xf>
    <xf numFmtId="168" fontId="0" fillId="0" borderId="1" xfId="1" applyNumberFormat="1" applyFont="1" applyBorder="1"/>
    <xf numFmtId="0" fontId="2" fillId="2" borderId="6" xfId="0" applyFont="1" applyFill="1" applyBorder="1"/>
    <xf numFmtId="0" fontId="5" fillId="0" borderId="6" xfId="0" applyFont="1" applyBorder="1"/>
    <xf numFmtId="0" fontId="0" fillId="0" borderId="6" xfId="0" applyBorder="1" applyAlignment="1">
      <alignment horizontal="left"/>
    </xf>
    <xf numFmtId="0" fontId="0" fillId="0" borderId="8" xfId="0" applyBorder="1"/>
    <xf numFmtId="0" fontId="6" fillId="3" borderId="6" xfId="0" applyFont="1" applyFill="1" applyBorder="1"/>
    <xf numFmtId="0" fontId="0" fillId="0" borderId="6" xfId="0" applyBorder="1"/>
    <xf numFmtId="0" fontId="0" fillId="0" borderId="9" xfId="0" applyBorder="1"/>
    <xf numFmtId="0" fontId="3" fillId="2" borderId="6" xfId="0" applyFont="1" applyFill="1" applyBorder="1"/>
    <xf numFmtId="0" fontId="3" fillId="4" borderId="6" xfId="0" applyFont="1" applyFill="1" applyBorder="1"/>
    <xf numFmtId="0" fontId="2" fillId="0" borderId="6" xfId="0" applyFon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indent="1"/>
    </xf>
    <xf numFmtId="0" fontId="7" fillId="4" borderId="6" xfId="0" applyFont="1" applyFill="1" applyBorder="1"/>
    <xf numFmtId="0" fontId="0" fillId="3" borderId="6" xfId="0" applyFill="1" applyBorder="1"/>
    <xf numFmtId="0" fontId="3" fillId="2" borderId="10" xfId="0" applyFont="1" applyFill="1" applyBorder="1"/>
    <xf numFmtId="166" fontId="3" fillId="2" borderId="11" xfId="1" applyNumberFormat="1" applyFont="1" applyFill="1" applyBorder="1"/>
    <xf numFmtId="43" fontId="0" fillId="0" borderId="12" xfId="1" applyFont="1" applyFill="1" applyBorder="1"/>
    <xf numFmtId="0" fontId="0" fillId="2" borderId="6" xfId="0" applyFill="1" applyBorder="1"/>
    <xf numFmtId="0" fontId="0" fillId="2" borderId="10" xfId="0" applyFill="1" applyBorder="1"/>
    <xf numFmtId="43" fontId="0" fillId="2" borderId="11" xfId="1" applyFont="1" applyFill="1" applyBorder="1"/>
    <xf numFmtId="167" fontId="9" fillId="0" borderId="1" xfId="2" applyNumberFormat="1" applyFont="1" applyFill="1" applyBorder="1"/>
    <xf numFmtId="43" fontId="0" fillId="0" borderId="1" xfId="1" applyFont="1" applyFill="1" applyBorder="1" applyAlignment="1">
      <alignment horizontal="right"/>
    </xf>
    <xf numFmtId="0" fontId="11" fillId="6" borderId="13" xfId="0" applyFont="1" applyFill="1" applyBorder="1"/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168" fontId="0" fillId="2" borderId="1" xfId="1" applyNumberFormat="1" applyFont="1" applyFill="1" applyBorder="1"/>
    <xf numFmtId="168" fontId="0" fillId="0" borderId="1" xfId="1" applyNumberFormat="1" applyFont="1" applyBorder="1" applyAlignment="1">
      <alignment horizontal="center" vertical="center"/>
    </xf>
    <xf numFmtId="168" fontId="2" fillId="2" borderId="1" xfId="1" applyNumberFormat="1" applyFont="1" applyFill="1" applyBorder="1"/>
    <xf numFmtId="168" fontId="2" fillId="0" borderId="1" xfId="1" applyNumberFormat="1" applyFont="1" applyBorder="1"/>
    <xf numFmtId="168" fontId="0" fillId="0" borderId="1" xfId="1" applyNumberFormat="1" applyFont="1" applyBorder="1" applyAlignment="1">
      <alignment horizontal="right"/>
    </xf>
    <xf numFmtId="168" fontId="0" fillId="0" borderId="1" xfId="1" applyNumberFormat="1" applyFont="1" applyFill="1" applyBorder="1"/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right"/>
    </xf>
    <xf numFmtId="168" fontId="8" fillId="0" borderId="1" xfId="1" applyNumberFormat="1" applyFont="1" applyFill="1" applyBorder="1"/>
    <xf numFmtId="9" fontId="0" fillId="0" borderId="1" xfId="2" applyFont="1" applyFill="1" applyBorder="1" applyAlignment="1">
      <alignment horizontal="right"/>
    </xf>
    <xf numFmtId="0" fontId="6" fillId="3" borderId="10" xfId="0" applyFont="1" applyFill="1" applyBorder="1"/>
    <xf numFmtId="0" fontId="0" fillId="0" borderId="11" xfId="0" applyBorder="1"/>
    <xf numFmtId="10" fontId="0" fillId="0" borderId="11" xfId="0" applyNumberFormat="1" applyBorder="1"/>
    <xf numFmtId="167" fontId="9" fillId="0" borderId="11" xfId="2" applyNumberFormat="1" applyFont="1" applyFill="1" applyBorder="1"/>
    <xf numFmtId="167" fontId="9" fillId="0" borderId="11" xfId="2" applyNumberFormat="1" applyFont="1" applyFill="1" applyBorder="1" applyAlignment="1">
      <alignment horizontal="right"/>
    </xf>
    <xf numFmtId="0" fontId="11" fillId="6" borderId="14" xfId="0" applyFont="1" applyFill="1" applyBorder="1" applyAlignment="1">
      <alignment horizontal="center"/>
    </xf>
    <xf numFmtId="9" fontId="11" fillId="6" borderId="14" xfId="2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center"/>
    </xf>
    <xf numFmtId="168" fontId="3" fillId="2" borderId="11" xfId="1" applyNumberFormat="1" applyFont="1" applyFill="1" applyBorder="1"/>
    <xf numFmtId="0" fontId="2" fillId="2" borderId="10" xfId="0" applyFont="1" applyFill="1" applyBorder="1"/>
    <xf numFmtId="168" fontId="0" fillId="2" borderId="11" xfId="1" applyNumberFormat="1" applyFont="1" applyFill="1" applyBorder="1"/>
    <xf numFmtId="0" fontId="12" fillId="6" borderId="16" xfId="0" applyFont="1" applyFill="1" applyBorder="1" applyAlignment="1">
      <alignment horizontal="center"/>
    </xf>
    <xf numFmtId="10" fontId="0" fillId="0" borderId="17" xfId="0" applyNumberFormat="1" applyBorder="1"/>
    <xf numFmtId="43" fontId="0" fillId="2" borderId="17" xfId="1" applyFont="1" applyFill="1" applyBorder="1"/>
    <xf numFmtId="0" fontId="11" fillId="6" borderId="16" xfId="0" applyFont="1" applyFill="1" applyBorder="1" applyAlignment="1">
      <alignment horizontal="center"/>
    </xf>
    <xf numFmtId="168" fontId="8" fillId="0" borderId="17" xfId="1" applyNumberFormat="1" applyFont="1" applyFill="1" applyBorder="1"/>
    <xf numFmtId="168" fontId="0" fillId="0" borderId="17" xfId="1" applyNumberFormat="1" applyFont="1" applyFill="1" applyBorder="1"/>
    <xf numFmtId="168" fontId="3" fillId="2" borderId="18" xfId="1" applyNumberFormat="1" applyFont="1" applyFill="1" applyBorder="1"/>
    <xf numFmtId="166" fontId="0" fillId="0" borderId="17" xfId="1" applyNumberFormat="1" applyFont="1" applyFill="1" applyBorder="1"/>
    <xf numFmtId="166" fontId="3" fillId="2" borderId="18" xfId="1" applyNumberFormat="1" applyFont="1" applyFill="1" applyBorder="1"/>
    <xf numFmtId="4" fontId="0" fillId="0" borderId="17" xfId="0" applyNumberFormat="1" applyBorder="1"/>
    <xf numFmtId="43" fontId="0" fillId="0" borderId="17" xfId="1" applyFont="1" applyFill="1" applyBorder="1"/>
    <xf numFmtId="43" fontId="0" fillId="2" borderId="17" xfId="1" applyFont="1" applyFill="1" applyBorder="1" applyAlignment="1">
      <alignment horizontal="right"/>
    </xf>
    <xf numFmtId="43" fontId="8" fillId="2" borderId="17" xfId="1" applyFont="1" applyFill="1" applyBorder="1" applyAlignment="1">
      <alignment horizontal="right"/>
    </xf>
    <xf numFmtId="2" fontId="0" fillId="2" borderId="17" xfId="2" applyNumberFormat="1" applyFont="1" applyFill="1" applyBorder="1" applyAlignment="1">
      <alignment horizontal="right"/>
    </xf>
    <xf numFmtId="167" fontId="0" fillId="2" borderId="17" xfId="2" applyNumberFormat="1" applyFont="1" applyFill="1" applyBorder="1"/>
    <xf numFmtId="2" fontId="0" fillId="2" borderId="17" xfId="2" applyNumberFormat="1" applyFont="1" applyFill="1" applyBorder="1"/>
    <xf numFmtId="168" fontId="7" fillId="7" borderId="1" xfId="1" applyNumberFormat="1" applyFont="1" applyFill="1" applyBorder="1"/>
    <xf numFmtId="168" fontId="0" fillId="0" borderId="0" xfId="0" applyNumberFormat="1"/>
    <xf numFmtId="168" fontId="0" fillId="2" borderId="17" xfId="1" applyNumberFormat="1" applyFont="1" applyFill="1" applyBorder="1"/>
    <xf numFmtId="168" fontId="0" fillId="0" borderId="2" xfId="1" applyNumberFormat="1" applyFont="1" applyBorder="1"/>
    <xf numFmtId="168" fontId="7" fillId="4" borderId="1" xfId="1" applyNumberFormat="1" applyFont="1" applyFill="1" applyBorder="1"/>
    <xf numFmtId="168" fontId="0" fillId="3" borderId="1" xfId="1" applyNumberFormat="1" applyFont="1" applyFill="1" applyBorder="1"/>
    <xf numFmtId="43" fontId="0" fillId="0" borderId="0" xfId="0" applyNumberFormat="1"/>
    <xf numFmtId="43" fontId="0" fillId="0" borderId="7" xfId="1" applyFont="1" applyFill="1" applyBorder="1"/>
    <xf numFmtId="43" fontId="0" fillId="2" borderId="7" xfId="1" applyFont="1" applyFill="1" applyBorder="1"/>
    <xf numFmtId="43" fontId="0" fillId="2" borderId="7" xfId="1" applyFont="1" applyFill="1" applyBorder="1" applyAlignment="1">
      <alignment horizontal="right"/>
    </xf>
    <xf numFmtId="2" fontId="0" fillId="2" borderId="7" xfId="2" applyNumberFormat="1" applyFont="1" applyFill="1" applyBorder="1"/>
    <xf numFmtId="168" fontId="0" fillId="2" borderId="7" xfId="1" applyNumberFormat="1" applyFont="1" applyFill="1" applyBorder="1"/>
    <xf numFmtId="168" fontId="0" fillId="0" borderId="7" xfId="1" applyNumberFormat="1" applyFont="1" applyBorder="1"/>
    <xf numFmtId="0" fontId="12" fillId="6" borderId="12" xfId="0" applyFont="1" applyFill="1" applyBorder="1" applyAlignment="1">
      <alignment horizontal="center"/>
    </xf>
    <xf numFmtId="168" fontId="0" fillId="0" borderId="7" xfId="1" applyNumberFormat="1" applyFont="1" applyFill="1" applyBorder="1"/>
    <xf numFmtId="168" fontId="0" fillId="0" borderId="7" xfId="1" applyNumberFormat="1" applyFont="1" applyFill="1" applyBorder="1" applyAlignment="1">
      <alignment horizontal="center" vertical="center"/>
    </xf>
    <xf numFmtId="168" fontId="0" fillId="0" borderId="7" xfId="1" applyNumberFormat="1" applyFont="1" applyFill="1" applyBorder="1" applyAlignment="1">
      <alignment horizontal="right"/>
    </xf>
    <xf numFmtId="168" fontId="8" fillId="0" borderId="7" xfId="1" applyNumberFormat="1" applyFont="1" applyFill="1" applyBorder="1"/>
    <xf numFmtId="168" fontId="0" fillId="2" borderId="19" xfId="1" applyNumberFormat="1" applyFont="1" applyFill="1" applyBorder="1"/>
    <xf numFmtId="0" fontId="11" fillId="6" borderId="20" xfId="0" applyFont="1" applyFill="1" applyBorder="1"/>
    <xf numFmtId="165" fontId="12" fillId="6" borderId="21" xfId="0" applyNumberFormat="1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10" fontId="0" fillId="0" borderId="17" xfId="0" applyNumberFormat="1" applyBorder="1" applyAlignment="1">
      <alignment horizontal="right"/>
    </xf>
    <xf numFmtId="167" fontId="9" fillId="0" borderId="17" xfId="2" applyNumberFormat="1" applyFont="1" applyFill="1" applyBorder="1"/>
    <xf numFmtId="168" fontId="0" fillId="0" borderId="17" xfId="1" applyNumberFormat="1" applyFont="1" applyBorder="1"/>
    <xf numFmtId="168" fontId="0" fillId="0" borderId="22" xfId="1" applyNumberFormat="1" applyFont="1" applyBorder="1"/>
    <xf numFmtId="0" fontId="0" fillId="0" borderId="17" xfId="0" applyBorder="1"/>
    <xf numFmtId="164" fontId="0" fillId="2" borderId="17" xfId="0" applyNumberFormat="1" applyFill="1" applyBorder="1"/>
    <xf numFmtId="164" fontId="0" fillId="0" borderId="17" xfId="0" applyNumberFormat="1" applyBorder="1"/>
    <xf numFmtId="2" fontId="0" fillId="0" borderId="17" xfId="0" applyNumberFormat="1" applyBorder="1"/>
    <xf numFmtId="0" fontId="0" fillId="0" borderId="0" xfId="0" applyBorder="1"/>
    <xf numFmtId="43" fontId="0" fillId="0" borderId="17" xfId="1" applyFont="1" applyFill="1" applyBorder="1" applyAlignment="1">
      <alignment horizontal="right"/>
    </xf>
    <xf numFmtId="9" fontId="0" fillId="0" borderId="17" xfId="2" applyFont="1" applyFill="1" applyBorder="1" applyAlignment="1">
      <alignment horizontal="right"/>
    </xf>
    <xf numFmtId="167" fontId="9" fillId="0" borderId="18" xfId="2" applyNumberFormat="1" applyFont="1" applyFill="1" applyBorder="1" applyAlignment="1">
      <alignment horizontal="right"/>
    </xf>
    <xf numFmtId="168" fontId="7" fillId="7" borderId="17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43" fontId="0" fillId="0" borderId="17" xfId="1" applyFont="1" applyBorder="1" applyAlignment="1">
      <alignment horizontal="right"/>
    </xf>
    <xf numFmtId="43" fontId="9" fillId="0" borderId="17" xfId="1" applyFont="1" applyFill="1" applyBorder="1"/>
    <xf numFmtId="43" fontId="0" fillId="0" borderId="17" xfId="1" applyFont="1" applyBorder="1"/>
    <xf numFmtId="43" fontId="9" fillId="0" borderId="18" xfId="1" applyFont="1" applyFill="1" applyBorder="1" applyAlignment="1">
      <alignment horizontal="right"/>
    </xf>
    <xf numFmtId="43" fontId="0" fillId="2" borderId="19" xfId="1" applyFont="1" applyFill="1" applyBorder="1" applyAlignment="1">
      <alignment horizontal="right"/>
    </xf>
    <xf numFmtId="43" fontId="0" fillId="2" borderId="18" xfId="1" applyFont="1" applyFill="1" applyBorder="1"/>
    <xf numFmtId="168" fontId="0" fillId="0" borderId="1" xfId="1" applyNumberFormat="1" applyFont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168" fontId="0" fillId="0" borderId="7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7"/>
  <sheetViews>
    <sheetView tabSelected="1" zoomScale="92" zoomScaleNormal="60" workbookViewId="0">
      <selection activeCell="J45" sqref="J45:J46"/>
    </sheetView>
  </sheetViews>
  <sheetFormatPr defaultRowHeight="15" x14ac:dyDescent="0.25"/>
  <cols>
    <col min="2" max="2" width="50.7109375" customWidth="1"/>
    <col min="3" max="10" width="10.28515625" customWidth="1"/>
    <col min="11" max="11" width="4.140625" customWidth="1"/>
    <col min="12" max="12" width="50.7109375" bestFit="1" customWidth="1"/>
    <col min="13" max="17" width="10.28515625" customWidth="1"/>
    <col min="18" max="18" width="11.85546875" customWidth="1"/>
    <col min="19" max="19" width="10.5703125" bestFit="1" customWidth="1"/>
    <col min="21" max="21" width="11" bestFit="1" customWidth="1"/>
    <col min="22" max="22" width="15.28515625" bestFit="1" customWidth="1"/>
    <col min="24" max="24" width="15.28515625" bestFit="1" customWidth="1"/>
  </cols>
  <sheetData>
    <row r="1" spans="2:21" ht="21.75" thickBot="1" x14ac:dyDescent="0.4">
      <c r="B1" s="122" t="s">
        <v>150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2:21" ht="21.75" thickBot="1" x14ac:dyDescent="0.4">
      <c r="B2" s="119" t="s">
        <v>47</v>
      </c>
      <c r="C2" s="120"/>
      <c r="D2" s="120"/>
      <c r="E2" s="120"/>
      <c r="F2" s="120"/>
      <c r="G2" s="120"/>
      <c r="H2" s="120"/>
      <c r="I2" s="120"/>
      <c r="J2" s="121"/>
      <c r="K2" s="116"/>
      <c r="L2" s="119" t="s">
        <v>46</v>
      </c>
      <c r="M2" s="120"/>
      <c r="N2" s="120"/>
      <c r="O2" s="120"/>
      <c r="P2" s="120"/>
      <c r="Q2" s="120"/>
      <c r="R2" s="120"/>
      <c r="S2" s="121"/>
    </row>
    <row r="3" spans="2:21" ht="15.75" x14ac:dyDescent="0.25">
      <c r="B3" s="41" t="s">
        <v>0</v>
      </c>
      <c r="C3" s="42" t="s">
        <v>1</v>
      </c>
      <c r="D3" s="42" t="s">
        <v>2</v>
      </c>
      <c r="E3" s="42" t="s">
        <v>3</v>
      </c>
      <c r="F3" s="42" t="s">
        <v>4</v>
      </c>
      <c r="G3" s="42" t="s">
        <v>5</v>
      </c>
      <c r="H3" s="65" t="s">
        <v>151</v>
      </c>
      <c r="I3" s="65" t="s">
        <v>152</v>
      </c>
      <c r="J3" s="65" t="s">
        <v>157</v>
      </c>
      <c r="K3" s="117"/>
      <c r="L3" s="100" t="s">
        <v>0</v>
      </c>
      <c r="M3" s="101" t="s">
        <v>1</v>
      </c>
      <c r="N3" s="102" t="s">
        <v>2</v>
      </c>
      <c r="O3" s="102" t="s">
        <v>3</v>
      </c>
      <c r="P3" s="102" t="s">
        <v>4</v>
      </c>
      <c r="Q3" s="102" t="s">
        <v>5</v>
      </c>
      <c r="R3" s="102" t="s">
        <v>151</v>
      </c>
      <c r="S3" s="94" t="s">
        <v>152</v>
      </c>
    </row>
    <row r="4" spans="2:21" x14ac:dyDescent="0.25">
      <c r="B4" s="19" t="s">
        <v>50</v>
      </c>
      <c r="C4" s="44">
        <v>8447.2199999999993</v>
      </c>
      <c r="D4" s="44">
        <v>6733.33</v>
      </c>
      <c r="E4" s="44">
        <v>1254.5</v>
      </c>
      <c r="F4" s="44">
        <v>1980.66</v>
      </c>
      <c r="G4" s="44">
        <v>3801.59</v>
      </c>
      <c r="H4" s="44">
        <v>4223.2299999999996</v>
      </c>
      <c r="I4" s="83">
        <v>7914.42</v>
      </c>
      <c r="J4" s="83">
        <v>2098.14</v>
      </c>
      <c r="K4" s="117"/>
      <c r="L4" s="24" t="s">
        <v>6</v>
      </c>
      <c r="M4" s="18">
        <v>102.29</v>
      </c>
      <c r="N4" s="18">
        <v>106.23</v>
      </c>
      <c r="O4" s="18">
        <v>110.9</v>
      </c>
      <c r="P4" s="18">
        <v>111.89</v>
      </c>
      <c r="Q4" s="49">
        <v>114.52</v>
      </c>
      <c r="R4" s="18">
        <v>156.91999999999999</v>
      </c>
      <c r="S4" s="95">
        <v>156.91999999999999</v>
      </c>
    </row>
    <row r="5" spans="2:21" x14ac:dyDescent="0.25">
      <c r="B5" s="20" t="s">
        <v>51</v>
      </c>
      <c r="C5" s="1"/>
      <c r="D5" s="9">
        <f t="shared" ref="D5:H5" si="0">IF(D4/C4-1&gt;100%,"N.A.",IF(D4/C4-1&lt;-100%,"N.A.",(D4/C4-1)))</f>
        <v>-0.20289396985043595</v>
      </c>
      <c r="E5" s="9">
        <f t="shared" si="0"/>
        <v>-0.81368802657823092</v>
      </c>
      <c r="F5" s="9">
        <f t="shared" si="0"/>
        <v>0.57884416102032699</v>
      </c>
      <c r="G5" s="9">
        <f t="shared" si="0"/>
        <v>0.9193551644401361</v>
      </c>
      <c r="H5" s="9">
        <f t="shared" si="0"/>
        <v>0.11091148703568754</v>
      </c>
      <c r="I5" s="103">
        <f>IF(I4/H4-1&gt;100%,"N.A.",IF(I4/H4-1&lt;-100%,"N.A.",(I4/H4-1)))</f>
        <v>0.87402059561046896</v>
      </c>
      <c r="J5" s="124">
        <v>0</v>
      </c>
      <c r="K5" s="117"/>
      <c r="L5" s="28" t="s">
        <v>10</v>
      </c>
      <c r="M5" s="18"/>
      <c r="N5" s="18"/>
      <c r="O5" s="18"/>
      <c r="P5" s="18"/>
      <c r="Q5" s="49"/>
      <c r="R5" s="18"/>
      <c r="S5" s="95"/>
    </row>
    <row r="6" spans="2:21" x14ac:dyDescent="0.25">
      <c r="B6" s="20" t="s">
        <v>52</v>
      </c>
      <c r="C6" s="1"/>
      <c r="D6" s="6"/>
      <c r="E6" s="6"/>
      <c r="F6" s="39">
        <f t="shared" ref="F6" si="1">(F4/C4)^(1/3)-1</f>
        <v>-0.38335950450712453</v>
      </c>
      <c r="G6" s="39">
        <f>(G4/D4)^(1/3)-1</f>
        <v>-0.17349568435147245</v>
      </c>
      <c r="H6" s="39">
        <f>(H4/E4)^(1/3)-1</f>
        <v>0.49873444766037611</v>
      </c>
      <c r="I6" s="104">
        <f>(I4/F4)^(1/3)-1</f>
        <v>0.58685186836366965</v>
      </c>
      <c r="J6" s="125">
        <v>0</v>
      </c>
      <c r="K6" s="117"/>
      <c r="L6" s="24" t="s">
        <v>121</v>
      </c>
      <c r="M6" s="18">
        <v>14657.88</v>
      </c>
      <c r="N6" s="18">
        <v>15382.08</v>
      </c>
      <c r="O6" s="18">
        <v>15674.58</v>
      </c>
      <c r="P6" s="18">
        <v>15756.24</v>
      </c>
      <c r="Q6" s="49">
        <v>16373.72</v>
      </c>
      <c r="R6" s="18">
        <v>22162.09</v>
      </c>
      <c r="S6" s="95">
        <v>22162.09</v>
      </c>
      <c r="U6" s="82"/>
    </row>
    <row r="7" spans="2:21" x14ac:dyDescent="0.25">
      <c r="B7" s="21" t="s">
        <v>116</v>
      </c>
      <c r="C7" s="18">
        <v>3450.1</v>
      </c>
      <c r="D7" s="18">
        <v>2432.3000000000002</v>
      </c>
      <c r="E7" s="18">
        <v>20.02</v>
      </c>
      <c r="F7" s="18">
        <v>152.13999999999999</v>
      </c>
      <c r="G7" s="18">
        <v>644.63</v>
      </c>
      <c r="H7" s="18">
        <v>863.98</v>
      </c>
      <c r="I7" s="105">
        <v>4039.05</v>
      </c>
      <c r="J7" s="105">
        <v>941.85</v>
      </c>
      <c r="K7" s="117"/>
      <c r="L7" s="24" t="s">
        <v>122</v>
      </c>
      <c r="M7" s="18">
        <v>-13318.48</v>
      </c>
      <c r="N7" s="18">
        <v>-13987.89</v>
      </c>
      <c r="O7" s="18">
        <v>-15174.52</v>
      </c>
      <c r="P7" s="18">
        <v>-15482.75</v>
      </c>
      <c r="Q7" s="49">
        <v>-15416.88</v>
      </c>
      <c r="R7" s="18">
        <v>-15467.84</v>
      </c>
      <c r="S7" s="95">
        <v>-15105.32</v>
      </c>
    </row>
    <row r="8" spans="2:21" x14ac:dyDescent="0.25">
      <c r="B8" s="21" t="s">
        <v>53</v>
      </c>
      <c r="C8" s="18">
        <v>2473.7399999999998</v>
      </c>
      <c r="D8" s="18">
        <v>1657.7</v>
      </c>
      <c r="E8" s="18">
        <v>736.33</v>
      </c>
      <c r="F8" s="18">
        <v>976.06</v>
      </c>
      <c r="G8" s="18">
        <v>1090.08</v>
      </c>
      <c r="H8" s="18">
        <v>1285.99</v>
      </c>
      <c r="I8" s="105">
        <v>1481.98</v>
      </c>
      <c r="J8" s="105">
        <v>396</v>
      </c>
      <c r="K8" s="117"/>
      <c r="L8" s="24" t="s">
        <v>143</v>
      </c>
      <c r="M8" s="18">
        <v>274.89999999999998</v>
      </c>
      <c r="N8" s="130" t="s">
        <v>124</v>
      </c>
      <c r="O8" s="130" t="s">
        <v>124</v>
      </c>
      <c r="P8" s="130" t="s">
        <v>124</v>
      </c>
      <c r="Q8" s="131" t="s">
        <v>124</v>
      </c>
      <c r="R8" s="130">
        <v>0</v>
      </c>
      <c r="S8" s="132">
        <v>0</v>
      </c>
    </row>
    <row r="9" spans="2:21" x14ac:dyDescent="0.25">
      <c r="B9" s="21" t="s">
        <v>117</v>
      </c>
      <c r="C9" s="18">
        <v>804.22</v>
      </c>
      <c r="D9" s="18">
        <v>192.9</v>
      </c>
      <c r="E9" s="84">
        <v>79.599999999999994</v>
      </c>
      <c r="F9" s="84">
        <v>124.14</v>
      </c>
      <c r="G9" s="84">
        <v>336.39</v>
      </c>
      <c r="H9" s="84">
        <v>459.51</v>
      </c>
      <c r="I9" s="106">
        <v>430.1</v>
      </c>
      <c r="J9" s="106">
        <v>100.19</v>
      </c>
      <c r="K9" s="117"/>
      <c r="L9" s="24" t="s">
        <v>123</v>
      </c>
      <c r="M9" s="18">
        <v>623.9</v>
      </c>
      <c r="N9" s="18">
        <v>623.9</v>
      </c>
      <c r="O9" s="18">
        <v>623.9</v>
      </c>
      <c r="P9" s="18">
        <v>623.9</v>
      </c>
      <c r="Q9" s="49">
        <v>623.88</v>
      </c>
      <c r="R9" s="18">
        <v>623.95000000000005</v>
      </c>
      <c r="S9" s="95">
        <v>623.95000000000005</v>
      </c>
    </row>
    <row r="10" spans="2:21" x14ac:dyDescent="0.25">
      <c r="B10" s="21" t="s">
        <v>54</v>
      </c>
      <c r="C10" s="18">
        <v>3301.71</v>
      </c>
      <c r="D10" s="18">
        <v>1983.3</v>
      </c>
      <c r="E10" s="18">
        <v>642.79999999999995</v>
      </c>
      <c r="F10" s="18">
        <v>761.29</v>
      </c>
      <c r="G10" s="18">
        <v>1340.29</v>
      </c>
      <c r="H10" s="18">
        <f>511.95+900.43</f>
        <v>1412.3799999999999</v>
      </c>
      <c r="I10" s="105">
        <f>414.97+1104.15</f>
        <v>1519.1200000000001</v>
      </c>
      <c r="J10" s="105">
        <f>110.08+319.26</f>
        <v>429.34</v>
      </c>
      <c r="K10" s="117"/>
      <c r="L10" s="19" t="s">
        <v>11</v>
      </c>
      <c r="M10" s="44">
        <f t="shared" ref="M10:S10" si="2">SUM(M4:M9)</f>
        <v>2340.4900000000007</v>
      </c>
      <c r="N10" s="44">
        <f t="shared" si="2"/>
        <v>2124.3200000000002</v>
      </c>
      <c r="O10" s="44">
        <f t="shared" si="2"/>
        <v>1234.8599999999992</v>
      </c>
      <c r="P10" s="44">
        <f t="shared" si="2"/>
        <v>1009.2799999999992</v>
      </c>
      <c r="Q10" s="44">
        <f t="shared" si="2"/>
        <v>1695.2399999999989</v>
      </c>
      <c r="R10" s="44">
        <f t="shared" si="2"/>
        <v>7475.1199999999981</v>
      </c>
      <c r="S10" s="92">
        <f t="shared" si="2"/>
        <v>7837.6399999999985</v>
      </c>
    </row>
    <row r="11" spans="2:21" x14ac:dyDescent="0.25">
      <c r="B11" s="21" t="s">
        <v>118</v>
      </c>
      <c r="C11" s="18">
        <v>0</v>
      </c>
      <c r="D11" s="18">
        <v>0</v>
      </c>
      <c r="E11" s="18">
        <v>0</v>
      </c>
      <c r="F11" s="18">
        <v>55.82</v>
      </c>
      <c r="G11" s="18">
        <v>23.58</v>
      </c>
      <c r="H11" s="18">
        <v>54.24</v>
      </c>
      <c r="I11" s="105">
        <v>0</v>
      </c>
      <c r="J11" s="105"/>
      <c r="K11" s="117"/>
      <c r="L11" s="24"/>
      <c r="M11" s="18"/>
      <c r="N11" s="18"/>
      <c r="O11" s="18"/>
      <c r="P11" s="18"/>
      <c r="Q11" s="49"/>
      <c r="R11" s="18"/>
      <c r="S11" s="95"/>
    </row>
    <row r="12" spans="2:21" x14ac:dyDescent="0.25">
      <c r="B12" s="21" t="s">
        <v>119</v>
      </c>
      <c r="C12" s="18">
        <f t="shared" ref="C12:F12" si="3">SUM(C7:C11,C19:C20)</f>
        <v>10809.070000000002</v>
      </c>
      <c r="D12" s="18">
        <f t="shared" si="3"/>
        <v>7069.579999999999</v>
      </c>
      <c r="E12" s="18">
        <f t="shared" si="3"/>
        <v>2104.19</v>
      </c>
      <c r="F12" s="18">
        <f t="shared" si="3"/>
        <v>2449.7399999999998</v>
      </c>
      <c r="G12" s="18">
        <f>SUM(G7:G11,G19:G20)</f>
        <v>3851.85</v>
      </c>
      <c r="H12" s="18">
        <f>SUM(H7:H11,H19:H20)</f>
        <v>4495.68</v>
      </c>
      <c r="I12" s="105">
        <f>SUM(I7:I11,I19:I20)</f>
        <v>7881.4600000000009</v>
      </c>
      <c r="J12" s="105">
        <f>SUM(J7:J11,J19:J20)</f>
        <v>1983.2499999999998</v>
      </c>
      <c r="K12" s="117"/>
      <c r="L12" s="19" t="s">
        <v>12</v>
      </c>
      <c r="M12" s="44">
        <f t="shared" ref="M12:P12" si="4">M72-M68-M55</f>
        <v>2340.4829999999997</v>
      </c>
      <c r="N12" s="44">
        <f t="shared" si="4"/>
        <v>2124.3199999999997</v>
      </c>
      <c r="O12" s="44">
        <f t="shared" si="4"/>
        <v>1234.8599999999999</v>
      </c>
      <c r="P12" s="44">
        <f t="shared" si="4"/>
        <v>1009.3240000000005</v>
      </c>
      <c r="Q12" s="44">
        <f>Q72-Q68-Q55</f>
        <v>1695.28</v>
      </c>
      <c r="R12" s="44">
        <f>R72-R68-R55</f>
        <v>7475.119999999999</v>
      </c>
      <c r="S12" s="92">
        <f>S72-S68-S55</f>
        <v>7837.6400000000021</v>
      </c>
    </row>
    <row r="13" spans="2:21" x14ac:dyDescent="0.25">
      <c r="B13" s="22"/>
      <c r="C13" s="1"/>
      <c r="D13" s="1"/>
      <c r="E13" s="1"/>
      <c r="F13" s="1"/>
      <c r="G13" s="1"/>
      <c r="H13" s="1"/>
      <c r="I13" s="107"/>
      <c r="J13" s="107"/>
      <c r="K13" s="117"/>
      <c r="L13" s="24" t="s">
        <v>13</v>
      </c>
      <c r="M13" s="45" t="s">
        <v>124</v>
      </c>
      <c r="N13" s="45" t="s">
        <v>124</v>
      </c>
      <c r="O13" s="45" t="s">
        <v>124</v>
      </c>
      <c r="P13" s="45" t="s">
        <v>124</v>
      </c>
      <c r="Q13" s="50" t="s">
        <v>124</v>
      </c>
      <c r="R13" s="45" t="s">
        <v>124</v>
      </c>
      <c r="S13" s="96">
        <v>0</v>
      </c>
    </row>
    <row r="14" spans="2:21" x14ac:dyDescent="0.25">
      <c r="B14" s="19" t="s">
        <v>55</v>
      </c>
      <c r="C14" s="44">
        <f>C4-SUM(C7:C11)</f>
        <v>-1582.5500000000011</v>
      </c>
      <c r="D14" s="44">
        <f t="shared" ref="D14:F14" si="5">D4-SUM(D7:D11)</f>
        <v>467.13000000000011</v>
      </c>
      <c r="E14" s="44">
        <f>E4-SUM(E7:E11)</f>
        <v>-224.25</v>
      </c>
      <c r="F14" s="44">
        <f t="shared" si="5"/>
        <v>-88.789999999999736</v>
      </c>
      <c r="G14" s="44">
        <f>G4-SUM(G7:G11)</f>
        <v>366.62000000000035</v>
      </c>
      <c r="H14" s="44">
        <f>H4-SUM(H7:H11)</f>
        <v>147.1299999999992</v>
      </c>
      <c r="I14" s="83">
        <f>I4-SUM(I7:I11)</f>
        <v>444.16999999999916</v>
      </c>
      <c r="J14" s="83">
        <f>J4-SUM(J7:J11)</f>
        <v>230.76</v>
      </c>
      <c r="K14" s="117"/>
      <c r="L14" s="24" t="s">
        <v>7</v>
      </c>
      <c r="M14" s="18">
        <v>23.6</v>
      </c>
      <c r="N14" s="18">
        <v>7.22</v>
      </c>
      <c r="O14" s="18">
        <v>3.15</v>
      </c>
      <c r="P14" s="18">
        <v>4.2</v>
      </c>
      <c r="Q14" s="49">
        <f>Q47</f>
        <v>239.96</v>
      </c>
      <c r="R14" s="18">
        <f>R47</f>
        <v>114.68</v>
      </c>
      <c r="S14" s="95">
        <f>S47</f>
        <v>20.74</v>
      </c>
    </row>
    <row r="15" spans="2:21" x14ac:dyDescent="0.25">
      <c r="B15" s="23" t="s">
        <v>56</v>
      </c>
      <c r="C15" s="1"/>
      <c r="D15" s="6">
        <f t="shared" ref="D15:I15" si="6">IF(D14/D4&gt;100%,"N.A",IF(D14/D4&lt;-100%,"N.A.",(D14/D4)))</f>
        <v>6.9375776918701462E-2</v>
      </c>
      <c r="E15" s="6">
        <f t="shared" si="6"/>
        <v>-0.17875647668393782</v>
      </c>
      <c r="F15" s="6">
        <f t="shared" si="6"/>
        <v>-4.4828491512929898E-2</v>
      </c>
      <c r="G15" s="6">
        <f t="shared" si="6"/>
        <v>9.6438595429807095E-2</v>
      </c>
      <c r="H15" s="6">
        <f t="shared" si="6"/>
        <v>3.4838263603923822E-2</v>
      </c>
      <c r="I15" s="66">
        <f t="shared" si="6"/>
        <v>5.6121610932955181E-2</v>
      </c>
      <c r="J15" s="66">
        <f>IF(J14/J4&gt;100%,"N.A",IF(J14/J4&lt;-100%,"N.A.",(J14/J4)))</f>
        <v>0.10998312791329463</v>
      </c>
      <c r="K15" s="117"/>
      <c r="L15" s="24" t="s">
        <v>8</v>
      </c>
      <c r="M15" s="18">
        <v>974.12</v>
      </c>
      <c r="N15" s="18">
        <v>978.23</v>
      </c>
      <c r="O15" s="18">
        <v>127.96</v>
      </c>
      <c r="P15" s="18">
        <v>354.38</v>
      </c>
      <c r="Q15" s="49">
        <f>Q58</f>
        <v>1290.78</v>
      </c>
      <c r="R15" s="18">
        <f>R58</f>
        <v>523.51</v>
      </c>
      <c r="S15" s="95">
        <f>S58</f>
        <v>525.12</v>
      </c>
    </row>
    <row r="16" spans="2:21" x14ac:dyDescent="0.25">
      <c r="B16" s="23" t="s">
        <v>51</v>
      </c>
      <c r="C16" s="1"/>
      <c r="D16" s="9" t="s">
        <v>149</v>
      </c>
      <c r="E16" s="9" t="s">
        <v>149</v>
      </c>
      <c r="F16" s="6">
        <f>IF(F14/E14-1&gt;100%,("N.A."),IF(F14/E14-1&lt;-100%,("N.A."),(F14/E14-1)))*-1</f>
        <v>0.60405797101449399</v>
      </c>
      <c r="G16" s="9" t="str">
        <f>IF(G14/F14-1&gt;100%,("N.A."),IF(G14/F14-1&lt;-100%,("N.A."),(G14/F14-1)))</f>
        <v>N.A.</v>
      </c>
      <c r="H16" s="6">
        <f>IF(H14/G14-1&gt;100%,("N.A."),IF(H14/G14-1&lt;-100%,("N.A."),(H14/G14-1)))</f>
        <v>-0.59868528721837588</v>
      </c>
      <c r="I16" s="103" t="str">
        <f>IF(I14/H14-1&gt;100%,("N.A."),IF(I14/H14-1&lt;-100%,("N.A."),(I14/H14-1)))</f>
        <v>N.A.</v>
      </c>
      <c r="J16" s="124">
        <v>0</v>
      </c>
      <c r="K16" s="117"/>
      <c r="L16" s="19" t="s">
        <v>14</v>
      </c>
      <c r="M16" s="44">
        <f t="shared" ref="M16:Q16" si="7">SUM(M13:M15)</f>
        <v>997.72</v>
      </c>
      <c r="N16" s="44">
        <f t="shared" si="7"/>
        <v>985.45</v>
      </c>
      <c r="O16" s="44">
        <f t="shared" si="7"/>
        <v>131.10999999999999</v>
      </c>
      <c r="P16" s="44">
        <f t="shared" si="7"/>
        <v>358.58</v>
      </c>
      <c r="Q16" s="44">
        <f t="shared" si="7"/>
        <v>1530.74</v>
      </c>
      <c r="R16" s="44">
        <f>SUM(R13:R15)</f>
        <v>638.19000000000005</v>
      </c>
      <c r="S16" s="92">
        <f>SUM(S13:S15)</f>
        <v>545.86</v>
      </c>
    </row>
    <row r="17" spans="2:21" x14ac:dyDescent="0.25">
      <c r="B17" s="23" t="s">
        <v>57</v>
      </c>
      <c r="C17" s="1"/>
      <c r="D17" s="6"/>
      <c r="E17" s="6"/>
      <c r="F17" s="6">
        <f t="shared" ref="F17:G17" si="8">IF((F14/C14)^(1/3)-1&gt;100%,"N.A.",IF((F14/C14)^(1/3)-1&lt;-100%,"N.A.",((F14/C14)^(1/3)-1)))</f>
        <v>-0.61717331278556786</v>
      </c>
      <c r="G17" s="6">
        <f t="shared" si="8"/>
        <v>-7.758547889558276E-2</v>
      </c>
      <c r="H17" s="6" t="str">
        <f>IF((H14/E14)^(1/3)-1&gt;100%,"N.A.",IF((H14/E14)^(1/3)-1&lt;-100%,"N.A.",((H14/E14)^(1/3)-1)))</f>
        <v>N.A.</v>
      </c>
      <c r="I17" s="66" t="str">
        <f>IF((I14/F14)^(1/3)-1&gt;100%,"N.A.",IF((I14/F14)^(1/3)-1&lt;-100%,"N.A.",((I14/F14)^(1/3)-1)))</f>
        <v>N.A.</v>
      </c>
      <c r="J17" s="126">
        <v>0</v>
      </c>
      <c r="K17" s="117"/>
      <c r="L17" s="24"/>
      <c r="M17" s="18"/>
      <c r="N17" s="18"/>
      <c r="O17" s="18"/>
      <c r="P17" s="18"/>
      <c r="Q17" s="49"/>
      <c r="R17" s="18"/>
      <c r="S17" s="95"/>
    </row>
    <row r="18" spans="2:21" x14ac:dyDescent="0.25">
      <c r="B18" s="24" t="s">
        <v>58</v>
      </c>
      <c r="C18" s="18">
        <v>302.97000000000003</v>
      </c>
      <c r="D18" s="18">
        <v>209.23</v>
      </c>
      <c r="E18" s="18">
        <v>181.66</v>
      </c>
      <c r="F18" s="18">
        <v>207.44</v>
      </c>
      <c r="G18" s="18">
        <v>173.08</v>
      </c>
      <c r="H18" s="18">
        <v>259.48</v>
      </c>
      <c r="I18" s="105">
        <v>318.31</v>
      </c>
      <c r="J18" s="105">
        <v>55.94</v>
      </c>
      <c r="K18" s="117"/>
      <c r="L18" s="19" t="s">
        <v>9</v>
      </c>
      <c r="M18" s="44">
        <f t="shared" ref="M18:R18" si="9">M12+M16</f>
        <v>3338.2029999999995</v>
      </c>
      <c r="N18" s="44">
        <f t="shared" si="9"/>
        <v>3109.7699999999995</v>
      </c>
      <c r="O18" s="44">
        <f t="shared" si="9"/>
        <v>1365.9699999999998</v>
      </c>
      <c r="P18" s="44">
        <f t="shared" si="9"/>
        <v>1367.9040000000005</v>
      </c>
      <c r="Q18" s="44">
        <f t="shared" si="9"/>
        <v>3226.02</v>
      </c>
      <c r="R18" s="44">
        <f t="shared" si="9"/>
        <v>8113.3099999999995</v>
      </c>
      <c r="S18" s="92">
        <f>S12+S16</f>
        <v>8383.5000000000018</v>
      </c>
      <c r="U18" s="87"/>
    </row>
    <row r="19" spans="2:21" x14ac:dyDescent="0.25">
      <c r="B19" s="24" t="s">
        <v>59</v>
      </c>
      <c r="C19" s="18">
        <v>616.85</v>
      </c>
      <c r="D19" s="18">
        <v>622.65</v>
      </c>
      <c r="E19" s="18">
        <v>523.03</v>
      </c>
      <c r="F19" s="18">
        <v>280.83</v>
      </c>
      <c r="G19" s="18">
        <v>182.79</v>
      </c>
      <c r="H19" s="18">
        <v>196.83</v>
      </c>
      <c r="I19" s="105">
        <v>308.89999999999998</v>
      </c>
      <c r="J19" s="105">
        <v>91.51</v>
      </c>
      <c r="K19" s="117"/>
      <c r="L19" s="24"/>
      <c r="M19" s="18"/>
      <c r="N19" s="18"/>
      <c r="O19" s="18"/>
      <c r="P19" s="18"/>
      <c r="Q19" s="18"/>
      <c r="R19" s="18"/>
      <c r="S19" s="93"/>
    </row>
    <row r="20" spans="2:21" x14ac:dyDescent="0.25">
      <c r="B20" s="24" t="s">
        <v>60</v>
      </c>
      <c r="C20" s="18">
        <v>162.44999999999999</v>
      </c>
      <c r="D20" s="18">
        <v>180.73</v>
      </c>
      <c r="E20" s="18">
        <v>102.41</v>
      </c>
      <c r="F20" s="18">
        <v>99.46</v>
      </c>
      <c r="G20" s="18">
        <v>234.09</v>
      </c>
      <c r="H20" s="18">
        <v>222.75</v>
      </c>
      <c r="I20" s="105">
        <v>102.31</v>
      </c>
      <c r="J20" s="105">
        <v>24.36</v>
      </c>
      <c r="K20" s="117"/>
      <c r="L20" s="19" t="s">
        <v>15</v>
      </c>
      <c r="M20" s="46"/>
      <c r="N20" s="44"/>
      <c r="O20" s="44"/>
      <c r="P20" s="44"/>
      <c r="Q20" s="44"/>
      <c r="R20" s="44"/>
      <c r="S20" s="92"/>
    </row>
    <row r="21" spans="2:21" x14ac:dyDescent="0.25">
      <c r="B21" s="19" t="s">
        <v>145</v>
      </c>
      <c r="C21" s="44">
        <f>C14+C18-SUM(C19:C20)</f>
        <v>-2058.880000000001</v>
      </c>
      <c r="D21" s="44">
        <f t="shared" ref="D21" si="10">D14+D18-SUM(D19:D20)</f>
        <v>-127.01999999999987</v>
      </c>
      <c r="E21" s="44">
        <f t="shared" ref="E21:J21" si="11">E14+E18-SUM(E19:E20)</f>
        <v>-668.03</v>
      </c>
      <c r="F21" s="44">
        <f t="shared" si="11"/>
        <v>-261.6399999999997</v>
      </c>
      <c r="G21" s="44">
        <f t="shared" si="11"/>
        <v>122.82000000000039</v>
      </c>
      <c r="H21" s="44">
        <f t="shared" si="11"/>
        <v>-12.970000000000823</v>
      </c>
      <c r="I21" s="83">
        <f t="shared" si="11"/>
        <v>351.26999999999913</v>
      </c>
      <c r="J21" s="83">
        <f>J14+J18-SUM(J19:J20)</f>
        <v>170.82999999999998</v>
      </c>
      <c r="K21" s="117"/>
      <c r="L21" s="28" t="s">
        <v>21</v>
      </c>
      <c r="M21" s="47"/>
      <c r="N21" s="18"/>
      <c r="O21" s="18"/>
      <c r="P21" s="18"/>
      <c r="Q21" s="18"/>
      <c r="R21" s="18"/>
      <c r="S21" s="93"/>
    </row>
    <row r="22" spans="2:21" x14ac:dyDescent="0.25">
      <c r="B22" s="25" t="s">
        <v>144</v>
      </c>
      <c r="C22" s="18">
        <v>12.8</v>
      </c>
      <c r="D22" s="18">
        <v>10.8</v>
      </c>
      <c r="E22" s="18">
        <v>4</v>
      </c>
      <c r="F22" s="18">
        <v>-41.63</v>
      </c>
      <c r="G22" s="18">
        <v>0</v>
      </c>
      <c r="H22" s="18">
        <v>0</v>
      </c>
      <c r="I22" s="105">
        <v>0</v>
      </c>
      <c r="J22" s="105">
        <v>0</v>
      </c>
      <c r="K22" s="117"/>
      <c r="L22" s="24" t="s">
        <v>16</v>
      </c>
      <c r="M22" s="18">
        <v>148.19</v>
      </c>
      <c r="N22" s="18">
        <v>62.26</v>
      </c>
      <c r="O22" s="18">
        <v>24.29</v>
      </c>
      <c r="P22" s="18">
        <v>21.91</v>
      </c>
      <c r="Q22" s="49">
        <v>45.77</v>
      </c>
      <c r="R22" s="18">
        <v>73.84</v>
      </c>
      <c r="S22" s="95">
        <v>136.82</v>
      </c>
    </row>
    <row r="23" spans="2:21" x14ac:dyDescent="0.25">
      <c r="B23" s="25" t="s">
        <v>146</v>
      </c>
      <c r="C23" s="18">
        <v>0</v>
      </c>
      <c r="D23" s="18">
        <v>521.21</v>
      </c>
      <c r="E23" s="18">
        <v>450.3</v>
      </c>
      <c r="F23" s="18">
        <v>72.7</v>
      </c>
      <c r="G23" s="18">
        <v>1</v>
      </c>
      <c r="H23" s="18">
        <v>0</v>
      </c>
      <c r="I23" s="105">
        <v>0</v>
      </c>
      <c r="J23" s="105">
        <v>0</v>
      </c>
      <c r="K23" s="117"/>
      <c r="L23" s="24" t="s">
        <v>17</v>
      </c>
      <c r="M23" s="45">
        <v>165.82</v>
      </c>
      <c r="N23" s="18">
        <v>519.34</v>
      </c>
      <c r="O23" s="18">
        <v>432.59</v>
      </c>
      <c r="P23" s="18">
        <v>229.59</v>
      </c>
      <c r="Q23" s="49">
        <v>200.86</v>
      </c>
      <c r="R23" s="18">
        <v>160.13</v>
      </c>
      <c r="S23" s="95">
        <v>183.12</v>
      </c>
    </row>
    <row r="24" spans="2:21" x14ac:dyDescent="0.25">
      <c r="B24" s="24" t="s">
        <v>62</v>
      </c>
      <c r="C24" s="18"/>
      <c r="D24" s="18"/>
      <c r="E24" s="18"/>
      <c r="F24" s="18"/>
      <c r="G24" s="18"/>
      <c r="H24" s="18"/>
      <c r="I24" s="105"/>
      <c r="J24" s="105"/>
      <c r="K24" s="117"/>
      <c r="L24" s="24" t="s">
        <v>127</v>
      </c>
      <c r="M24" s="18">
        <v>896.02300000000002</v>
      </c>
      <c r="N24" s="18">
        <v>633.13</v>
      </c>
      <c r="O24" s="18">
        <v>316.44</v>
      </c>
      <c r="P24" s="18">
        <v>181.98</v>
      </c>
      <c r="Q24" s="49">
        <v>208.47</v>
      </c>
      <c r="R24" s="18">
        <v>304.88</v>
      </c>
      <c r="S24" s="95">
        <v>997.41</v>
      </c>
    </row>
    <row r="25" spans="2:21" x14ac:dyDescent="0.25">
      <c r="B25" s="24" t="s">
        <v>63</v>
      </c>
      <c r="C25" s="18">
        <v>88.02</v>
      </c>
      <c r="D25" s="18">
        <v>47.2</v>
      </c>
      <c r="E25" s="18">
        <v>6.4</v>
      </c>
      <c r="F25" s="18">
        <v>13.17</v>
      </c>
      <c r="G25" s="18">
        <v>50.67</v>
      </c>
      <c r="H25" s="18">
        <v>34.21</v>
      </c>
      <c r="I25" s="105">
        <v>9.86</v>
      </c>
      <c r="J25" s="105">
        <v>12.99</v>
      </c>
      <c r="K25" s="117"/>
      <c r="L25" s="24" t="s">
        <v>128</v>
      </c>
      <c r="M25" s="18">
        <v>75.13</v>
      </c>
      <c r="N25" s="18">
        <v>26.22</v>
      </c>
      <c r="O25" s="18">
        <v>16.649999999999999</v>
      </c>
      <c r="P25" s="18">
        <v>36.43</v>
      </c>
      <c r="Q25" s="49">
        <v>42.32</v>
      </c>
      <c r="R25" s="18">
        <v>80.400000000000006</v>
      </c>
      <c r="S25" s="95">
        <v>95.89</v>
      </c>
    </row>
    <row r="26" spans="2:21" x14ac:dyDescent="0.25">
      <c r="B26" s="24" t="s">
        <v>64</v>
      </c>
      <c r="C26" s="18">
        <v>-34.700000000000003</v>
      </c>
      <c r="D26" s="18">
        <v>-9.5</v>
      </c>
      <c r="E26" s="18">
        <v>59.9</v>
      </c>
      <c r="F26" s="18">
        <v>1.98</v>
      </c>
      <c r="G26" s="18">
        <v>-5.21</v>
      </c>
      <c r="H26" s="18">
        <v>-2.13</v>
      </c>
      <c r="I26" s="105">
        <v>-15.29</v>
      </c>
      <c r="J26" s="105">
        <v>-2.13</v>
      </c>
      <c r="K26" s="117"/>
      <c r="L26" s="24" t="s">
        <v>129</v>
      </c>
      <c r="M26" s="18">
        <v>1640.53</v>
      </c>
      <c r="N26" s="18">
        <v>1141.51</v>
      </c>
      <c r="O26" s="18">
        <v>691.2</v>
      </c>
      <c r="P26" s="18">
        <v>691.2</v>
      </c>
      <c r="Q26" s="49">
        <v>691.21</v>
      </c>
      <c r="R26" s="18">
        <v>691.21</v>
      </c>
      <c r="S26" s="95">
        <v>1414.72</v>
      </c>
    </row>
    <row r="27" spans="2:21" x14ac:dyDescent="0.25">
      <c r="B27" s="24" t="s">
        <v>154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05">
        <v>-9.0399999999999991</v>
      </c>
      <c r="J27" s="105">
        <v>0</v>
      </c>
      <c r="K27" s="117"/>
      <c r="L27" s="24" t="s">
        <v>130</v>
      </c>
      <c r="M27" s="18"/>
      <c r="N27" s="18"/>
      <c r="O27" s="18"/>
      <c r="P27" s="18"/>
      <c r="Q27" s="49"/>
      <c r="R27" s="18"/>
      <c r="S27" s="95"/>
    </row>
    <row r="28" spans="2:21" x14ac:dyDescent="0.25">
      <c r="B28" s="24" t="s">
        <v>153</v>
      </c>
      <c r="C28" s="18">
        <v>0</v>
      </c>
      <c r="D28" s="18">
        <v>1.87</v>
      </c>
      <c r="E28" s="18">
        <v>0</v>
      </c>
      <c r="F28" s="18">
        <v>0</v>
      </c>
      <c r="G28" s="18">
        <v>0</v>
      </c>
      <c r="H28" s="18">
        <v>0</v>
      </c>
      <c r="I28" s="105">
        <v>0</v>
      </c>
      <c r="J28" s="105">
        <v>0</v>
      </c>
      <c r="K28" s="117"/>
      <c r="L28" s="24" t="s">
        <v>125</v>
      </c>
      <c r="M28" s="18" t="s">
        <v>124</v>
      </c>
      <c r="N28" s="18" t="s">
        <v>124</v>
      </c>
      <c r="O28" s="18" t="s">
        <v>124</v>
      </c>
      <c r="P28" s="18" t="s">
        <v>124</v>
      </c>
      <c r="Q28" s="49">
        <v>0.03</v>
      </c>
      <c r="R28" s="18">
        <v>0</v>
      </c>
      <c r="S28" s="95">
        <v>0</v>
      </c>
    </row>
    <row r="29" spans="2:21" x14ac:dyDescent="0.25">
      <c r="B29" s="24" t="s">
        <v>66</v>
      </c>
      <c r="C29" s="18">
        <f t="shared" ref="C29:H29" si="12">C25+C26+C28</f>
        <v>53.319999999999993</v>
      </c>
      <c r="D29" s="18">
        <f t="shared" si="12"/>
        <v>39.57</v>
      </c>
      <c r="E29" s="18">
        <f t="shared" si="12"/>
        <v>66.3</v>
      </c>
      <c r="F29" s="18">
        <f t="shared" si="12"/>
        <v>15.15</v>
      </c>
      <c r="G29" s="18">
        <f t="shared" si="12"/>
        <v>45.46</v>
      </c>
      <c r="H29" s="18">
        <f t="shared" si="12"/>
        <v>32.08</v>
      </c>
      <c r="I29" s="105">
        <f>I25+I26+I27+I28</f>
        <v>-14.469999999999999</v>
      </c>
      <c r="J29" s="105">
        <f>J25+J26+J27+J28</f>
        <v>10.86</v>
      </c>
      <c r="K29" s="117"/>
      <c r="L29" s="24" t="s">
        <v>126</v>
      </c>
      <c r="M29" s="18">
        <v>23.55</v>
      </c>
      <c r="N29" s="18">
        <v>0.8</v>
      </c>
      <c r="O29" s="18">
        <v>21.3</v>
      </c>
      <c r="P29" s="18" t="s">
        <v>124</v>
      </c>
      <c r="Q29" s="49">
        <v>6.17</v>
      </c>
      <c r="R29" s="18">
        <v>137.16999999999999</v>
      </c>
      <c r="S29" s="95">
        <v>0</v>
      </c>
    </row>
    <row r="30" spans="2:21" x14ac:dyDescent="0.25">
      <c r="B30" s="23" t="s">
        <v>65</v>
      </c>
      <c r="C30" s="66">
        <f t="shared" ref="C30:H30" si="13">C29/C21</f>
        <v>-2.5897575380789538E-2</v>
      </c>
      <c r="D30" s="66">
        <f t="shared" si="13"/>
        <v>-0.31152574397732674</v>
      </c>
      <c r="E30" s="66">
        <f t="shared" si="13"/>
        <v>-9.9247039803601639E-2</v>
      </c>
      <c r="F30" s="66">
        <f t="shared" si="13"/>
        <v>-5.7903990215563438E-2</v>
      </c>
      <c r="G30" s="66">
        <f t="shared" si="13"/>
        <v>0.37013515714052969</v>
      </c>
      <c r="H30" s="66">
        <f t="shared" si="13"/>
        <v>-2.4734001542018476</v>
      </c>
      <c r="I30" s="66">
        <f>I29/I21</f>
        <v>-4.1193384006604702E-2</v>
      </c>
      <c r="J30" s="66">
        <f>J29/J21</f>
        <v>6.3571972136041682E-2</v>
      </c>
      <c r="K30" s="117"/>
      <c r="L30" s="24" t="s">
        <v>18</v>
      </c>
      <c r="M30" s="18">
        <v>29.46</v>
      </c>
      <c r="N30" s="18">
        <v>25.8</v>
      </c>
      <c r="O30" s="18">
        <v>22.9</v>
      </c>
      <c r="P30" s="18">
        <v>47.91</v>
      </c>
      <c r="Q30" s="49">
        <v>47.79</v>
      </c>
      <c r="R30" s="18">
        <v>22.37</v>
      </c>
      <c r="S30" s="95">
        <v>125.91</v>
      </c>
    </row>
    <row r="31" spans="2:21" x14ac:dyDescent="0.25">
      <c r="B31" s="26" t="s">
        <v>67</v>
      </c>
      <c r="C31" s="4">
        <f>C21-C29-C22-C23</f>
        <v>-2125.0000000000014</v>
      </c>
      <c r="D31" s="4">
        <f>D21-D29-D22-D23-D28</f>
        <v>-700.46999999999991</v>
      </c>
      <c r="E31" s="4">
        <f t="shared" ref="E31:J31" si="14">E21-E29-E22-E23</f>
        <v>-1188.6299999999999</v>
      </c>
      <c r="F31" s="4">
        <f t="shared" si="14"/>
        <v>-307.85999999999967</v>
      </c>
      <c r="G31" s="4">
        <f t="shared" si="14"/>
        <v>76.360000000000383</v>
      </c>
      <c r="H31" s="4">
        <f t="shared" si="14"/>
        <v>-45.050000000000821</v>
      </c>
      <c r="I31" s="108">
        <f t="shared" si="14"/>
        <v>365.7399999999991</v>
      </c>
      <c r="J31" s="108">
        <f t="shared" si="14"/>
        <v>159.96999999999997</v>
      </c>
      <c r="K31" s="117"/>
      <c r="L31" s="24" t="s">
        <v>131</v>
      </c>
      <c r="M31" s="18">
        <v>476.16</v>
      </c>
      <c r="N31" s="18">
        <v>479.33</v>
      </c>
      <c r="O31" s="18">
        <v>243.23</v>
      </c>
      <c r="P31" s="48">
        <v>196.53</v>
      </c>
      <c r="Q31" s="49">
        <v>303.51</v>
      </c>
      <c r="R31" s="48">
        <v>332.95</v>
      </c>
      <c r="S31" s="95">
        <v>494.75</v>
      </c>
    </row>
    <row r="32" spans="2:21" x14ac:dyDescent="0.25">
      <c r="B32" s="27" t="s">
        <v>68</v>
      </c>
      <c r="C32" s="7">
        <v>0</v>
      </c>
      <c r="D32" s="7">
        <v>0</v>
      </c>
      <c r="E32" s="7">
        <v>0</v>
      </c>
      <c r="F32" s="7">
        <v>0</v>
      </c>
      <c r="G32" s="40">
        <v>0</v>
      </c>
      <c r="H32" s="7">
        <v>0</v>
      </c>
      <c r="I32" s="7">
        <v>0</v>
      </c>
      <c r="J32" s="7">
        <v>0</v>
      </c>
      <c r="K32" s="117"/>
      <c r="L32" s="24" t="s">
        <v>48</v>
      </c>
      <c r="M32" s="18">
        <v>112.78</v>
      </c>
      <c r="N32" s="18">
        <v>97.84</v>
      </c>
      <c r="O32" s="18">
        <v>14.49</v>
      </c>
      <c r="P32" s="48">
        <v>9.64</v>
      </c>
      <c r="Q32" s="51">
        <v>10.65</v>
      </c>
      <c r="R32" s="48">
        <v>10.83</v>
      </c>
      <c r="S32" s="97">
        <v>22.63</v>
      </c>
    </row>
    <row r="33" spans="2:19" x14ac:dyDescent="0.25">
      <c r="B33" s="24" t="s">
        <v>61</v>
      </c>
      <c r="C33" s="7">
        <v>0</v>
      </c>
      <c r="D33" s="7">
        <v>0</v>
      </c>
      <c r="E33" s="7">
        <v>0</v>
      </c>
      <c r="F33" s="7">
        <v>0</v>
      </c>
      <c r="G33" s="40">
        <v>0</v>
      </c>
      <c r="H33" s="7">
        <v>0</v>
      </c>
      <c r="I33" s="7">
        <v>0</v>
      </c>
      <c r="J33" s="7">
        <v>0</v>
      </c>
      <c r="K33" s="117"/>
      <c r="L33" s="24" t="s">
        <v>132</v>
      </c>
      <c r="M33" s="18">
        <v>232.09</v>
      </c>
      <c r="N33" s="18">
        <v>226.74</v>
      </c>
      <c r="O33" s="18">
        <v>227.82</v>
      </c>
      <c r="P33" s="18">
        <v>216.89</v>
      </c>
      <c r="Q33" s="49">
        <v>196.69</v>
      </c>
      <c r="R33" s="18">
        <v>208.41</v>
      </c>
      <c r="S33" s="95">
        <v>169.59</v>
      </c>
    </row>
    <row r="34" spans="2:19" x14ac:dyDescent="0.25">
      <c r="B34" s="26" t="s">
        <v>69</v>
      </c>
      <c r="C34" s="8">
        <f t="shared" ref="C34:D34" si="15">C32-C33</f>
        <v>0</v>
      </c>
      <c r="D34" s="8">
        <f t="shared" si="15"/>
        <v>0</v>
      </c>
      <c r="E34" s="8">
        <f t="shared" ref="E34" si="16">E32-E33</f>
        <v>0</v>
      </c>
      <c r="F34" s="8">
        <f t="shared" ref="F34" si="17">F32-F33</f>
        <v>0</v>
      </c>
      <c r="G34" s="8">
        <f t="shared" ref="G34:H34" si="18">G32-G33</f>
        <v>0</v>
      </c>
      <c r="H34" s="8">
        <f t="shared" si="18"/>
        <v>0</v>
      </c>
      <c r="I34" s="8">
        <f t="shared" ref="I34:J34" si="19">I32-I33</f>
        <v>0</v>
      </c>
      <c r="J34" s="8">
        <f t="shared" si="19"/>
        <v>0</v>
      </c>
      <c r="K34" s="117"/>
      <c r="L34" s="19" t="s">
        <v>19</v>
      </c>
      <c r="M34" s="44">
        <f t="shared" ref="M34:S34" si="20">SUM(M22:M33)</f>
        <v>3799.7330000000006</v>
      </c>
      <c r="N34" s="44">
        <f t="shared" si="20"/>
        <v>3212.9700000000003</v>
      </c>
      <c r="O34" s="44">
        <f t="shared" si="20"/>
        <v>2010.91</v>
      </c>
      <c r="P34" s="44">
        <f t="shared" si="20"/>
        <v>1632.0800000000004</v>
      </c>
      <c r="Q34" s="44">
        <f t="shared" si="20"/>
        <v>1753.4700000000003</v>
      </c>
      <c r="R34" s="44">
        <f t="shared" si="20"/>
        <v>2022.19</v>
      </c>
      <c r="S34" s="92">
        <f t="shared" si="20"/>
        <v>3640.84</v>
      </c>
    </row>
    <row r="35" spans="2:19" x14ac:dyDescent="0.25">
      <c r="B35" s="26" t="s">
        <v>70</v>
      </c>
      <c r="C35" s="44">
        <v>-2125</v>
      </c>
      <c r="D35" s="44">
        <v>-698.6</v>
      </c>
      <c r="E35" s="44">
        <v>-1188.6300000000001</v>
      </c>
      <c r="F35" s="44">
        <f t="shared" ref="F35:G35" si="21">F31+F34</f>
        <v>-307.85999999999967</v>
      </c>
      <c r="G35" s="44">
        <f t="shared" si="21"/>
        <v>76.360000000000383</v>
      </c>
      <c r="H35" s="44">
        <f>H31+H34</f>
        <v>-45.050000000000821</v>
      </c>
      <c r="I35" s="83">
        <f>I31+I34</f>
        <v>365.7399999999991</v>
      </c>
      <c r="J35" s="83">
        <f>J31+J34</f>
        <v>159.96999999999997</v>
      </c>
      <c r="K35" s="117"/>
      <c r="L35" s="28" t="s">
        <v>20</v>
      </c>
      <c r="M35" s="47"/>
      <c r="N35" s="18"/>
      <c r="O35" s="18"/>
      <c r="P35" s="18"/>
      <c r="Q35" s="49"/>
      <c r="R35" s="18"/>
      <c r="S35" s="95"/>
    </row>
    <row r="36" spans="2:19" x14ac:dyDescent="0.25">
      <c r="B36" s="23" t="s">
        <v>71</v>
      </c>
      <c r="C36" s="1"/>
      <c r="D36" s="6">
        <f t="shared" ref="D36:J36" si="22">IF(D35/D4&gt;100%,"N.A.",IF(D35/D4&lt;-100%,"N.A.",(D35/D4)))</f>
        <v>-0.1037525266101617</v>
      </c>
      <c r="E36" s="6">
        <f t="shared" si="22"/>
        <v>-0.94749302510960554</v>
      </c>
      <c r="F36" s="6">
        <f t="shared" si="22"/>
        <v>-0.15543303747235754</v>
      </c>
      <c r="G36" s="6">
        <f t="shared" si="22"/>
        <v>2.0086332297801809E-2</v>
      </c>
      <c r="H36" s="6">
        <f t="shared" si="22"/>
        <v>-1.0667190752102259E-2</v>
      </c>
      <c r="I36" s="66">
        <f t="shared" si="22"/>
        <v>4.6211851279057609E-2</v>
      </c>
      <c r="J36" s="66">
        <f>IF(J35/J4&gt;100%,"N.A.",IF(J35/J4&lt;-100%,"N.A.",(J35/J4)))</f>
        <v>7.6243720628747361E-2</v>
      </c>
      <c r="K36" s="117"/>
      <c r="L36" s="24" t="s">
        <v>133</v>
      </c>
      <c r="M36" s="18" t="s">
        <v>124</v>
      </c>
      <c r="N36" s="18" t="s">
        <v>124</v>
      </c>
      <c r="O36" s="18">
        <v>0.6</v>
      </c>
      <c r="P36" s="18">
        <v>0.1</v>
      </c>
      <c r="Q36" s="49">
        <v>190.6</v>
      </c>
      <c r="R36" s="18">
        <v>0</v>
      </c>
      <c r="S36" s="95">
        <v>0</v>
      </c>
    </row>
    <row r="37" spans="2:19" x14ac:dyDescent="0.25">
      <c r="B37" s="23" t="s">
        <v>51</v>
      </c>
      <c r="C37" s="1"/>
      <c r="D37" s="9">
        <f t="shared" ref="D37:H37" si="23">IF(D35/C35-1&gt;100%,"N.A.",IF(D35/C35-1&lt;-100%,"N.A.",D35/C35-1))</f>
        <v>-0.67124705882352942</v>
      </c>
      <c r="E37" s="9">
        <f t="shared" si="23"/>
        <v>0.70144574864013753</v>
      </c>
      <c r="F37" s="9">
        <f t="shared" si="23"/>
        <v>-0.74099593649832185</v>
      </c>
      <c r="G37" s="9" t="str">
        <f t="shared" si="23"/>
        <v>N.A.</v>
      </c>
      <c r="H37" s="9" t="str">
        <f t="shared" si="23"/>
        <v>N.A.</v>
      </c>
      <c r="I37" s="103" t="str">
        <f>IF(I35/H35-1&gt;100%,"N.A.",IF(I35/H35-1&lt;-100%,"N.A.",I35/H35-1))</f>
        <v>N.A.</v>
      </c>
      <c r="J37" s="124">
        <v>0</v>
      </c>
      <c r="K37" s="117"/>
      <c r="L37" s="24" t="s">
        <v>22</v>
      </c>
      <c r="M37" s="18"/>
      <c r="N37" s="18"/>
      <c r="O37" s="18"/>
      <c r="P37" s="18"/>
      <c r="Q37" s="49"/>
      <c r="R37" s="18"/>
      <c r="S37" s="95"/>
    </row>
    <row r="38" spans="2:19" x14ac:dyDescent="0.25">
      <c r="B38" s="23" t="s">
        <v>57</v>
      </c>
      <c r="C38" s="1"/>
      <c r="D38" s="6"/>
      <c r="E38" s="6"/>
      <c r="F38" s="6">
        <f t="shared" ref="F38:H38" si="24">IF((F35/C35)^(1/3)-1&gt;100%,"N.A.",IF((F35/C35)^(1/3)-1&lt;-100%,"N.A.",((F35/C35)^(1/3)-1)))</f>
        <v>-0.47479186590483069</v>
      </c>
      <c r="G38" s="9" t="str">
        <f t="shared" si="24"/>
        <v>N.A.</v>
      </c>
      <c r="H38" s="6">
        <f t="shared" si="24"/>
        <v>-0.66409533445609781</v>
      </c>
      <c r="I38" s="103" t="str">
        <f>IF((I35/F35)^(1/3)-1&gt;100%,"N.A.",IF((I35/F35)^(1/3)-1&lt;-100%,"N.A.",((I35/F35)^(1/3)-1)))</f>
        <v>N.A.</v>
      </c>
      <c r="J38" s="124">
        <v>0</v>
      </c>
      <c r="K38" s="117"/>
      <c r="L38" s="24" t="s">
        <v>134</v>
      </c>
      <c r="M38" s="48">
        <v>1.84</v>
      </c>
      <c r="N38" s="48">
        <v>2.72</v>
      </c>
      <c r="O38" s="48">
        <v>1.3</v>
      </c>
      <c r="P38" s="48">
        <v>2.76</v>
      </c>
      <c r="Q38" s="49">
        <v>3.35</v>
      </c>
      <c r="R38" s="48">
        <v>10.9</v>
      </c>
      <c r="S38" s="95">
        <v>22.52</v>
      </c>
    </row>
    <row r="39" spans="2:19" x14ac:dyDescent="0.25">
      <c r="B39" s="28" t="s">
        <v>72</v>
      </c>
      <c r="C39" s="1"/>
      <c r="D39" s="3"/>
      <c r="E39" s="3"/>
      <c r="F39" s="3"/>
      <c r="G39" s="3"/>
      <c r="H39" s="3"/>
      <c r="I39" s="109"/>
      <c r="J39" s="109"/>
      <c r="K39" s="117"/>
      <c r="L39" s="24" t="s">
        <v>23</v>
      </c>
      <c r="M39" s="18">
        <v>4843.32</v>
      </c>
      <c r="N39" s="18">
        <v>2446.75</v>
      </c>
      <c r="O39" s="18">
        <v>974.7</v>
      </c>
      <c r="P39" s="18">
        <v>1940.2</v>
      </c>
      <c r="Q39" s="52">
        <v>2710.17</v>
      </c>
      <c r="R39" s="18">
        <v>4501.78</v>
      </c>
      <c r="S39" s="98">
        <v>5452.91</v>
      </c>
    </row>
    <row r="40" spans="2:19" x14ac:dyDescent="0.25">
      <c r="B40" s="24" t="s">
        <v>73</v>
      </c>
      <c r="C40" s="1"/>
      <c r="D40" s="1"/>
      <c r="E40" s="1"/>
      <c r="F40" s="3"/>
      <c r="G40" s="3"/>
      <c r="H40" s="3"/>
      <c r="I40" s="109"/>
      <c r="J40" s="109"/>
      <c r="K40" s="117"/>
      <c r="L40" s="24" t="s">
        <v>24</v>
      </c>
      <c r="M40" s="18">
        <v>1354.88</v>
      </c>
      <c r="N40" s="18">
        <v>1294.6300000000001</v>
      </c>
      <c r="O40" s="18">
        <v>1471.93</v>
      </c>
      <c r="P40" s="18">
        <v>758.61</v>
      </c>
      <c r="Q40" s="49">
        <v>469.02</v>
      </c>
      <c r="R40" s="18">
        <v>1400.81</v>
      </c>
      <c r="S40" s="95">
        <v>551.75</v>
      </c>
    </row>
    <row r="41" spans="2:19" ht="30" x14ac:dyDescent="0.25">
      <c r="B41" s="29" t="s">
        <v>135</v>
      </c>
      <c r="C41" s="1">
        <v>5.4</v>
      </c>
      <c r="D41" s="3">
        <v>-25.1</v>
      </c>
      <c r="E41" s="3">
        <v>-1.8</v>
      </c>
      <c r="F41" s="3">
        <v>0.37</v>
      </c>
      <c r="G41" s="3">
        <v>10.32</v>
      </c>
      <c r="H41" s="3">
        <v>6.4</v>
      </c>
      <c r="I41" s="109">
        <v>-3.06</v>
      </c>
      <c r="J41" s="109">
        <v>-0.97</v>
      </c>
      <c r="K41" s="117"/>
      <c r="L41" s="24" t="s">
        <v>25</v>
      </c>
      <c r="M41" s="18">
        <v>991.72</v>
      </c>
      <c r="N41" s="18">
        <v>734.53</v>
      </c>
      <c r="O41" s="18">
        <v>488.93</v>
      </c>
      <c r="P41" s="18">
        <v>521.14</v>
      </c>
      <c r="Q41" s="49">
        <v>553.67999999999995</v>
      </c>
      <c r="R41" s="18">
        <v>2620.66</v>
      </c>
      <c r="S41" s="95">
        <v>435.04</v>
      </c>
    </row>
    <row r="42" spans="2:19" ht="30" x14ac:dyDescent="0.25">
      <c r="B42" s="29" t="s">
        <v>120</v>
      </c>
      <c r="C42" s="1">
        <v>-0.8</v>
      </c>
      <c r="D42" s="3">
        <v>0.8</v>
      </c>
      <c r="E42" s="3">
        <v>-0.2</v>
      </c>
      <c r="F42" s="3">
        <v>0</v>
      </c>
      <c r="G42" s="3">
        <v>0.13</v>
      </c>
      <c r="H42" s="3">
        <v>-0.44</v>
      </c>
      <c r="I42" s="109">
        <v>0</v>
      </c>
      <c r="J42" s="109">
        <v>0</v>
      </c>
      <c r="K42" s="117"/>
      <c r="L42" s="24" t="s">
        <v>26</v>
      </c>
      <c r="M42" s="18">
        <v>216.1</v>
      </c>
      <c r="N42" s="18">
        <v>260.89999999999998</v>
      </c>
      <c r="O42" s="18">
        <v>113.01</v>
      </c>
      <c r="P42" s="18">
        <v>67.72</v>
      </c>
      <c r="Q42" s="52">
        <v>233.89</v>
      </c>
      <c r="R42" s="18">
        <v>244.68</v>
      </c>
      <c r="S42" s="98">
        <v>1022.09</v>
      </c>
    </row>
    <row r="43" spans="2:19" x14ac:dyDescent="0.25">
      <c r="B43" s="28" t="s">
        <v>147</v>
      </c>
      <c r="C43" s="3">
        <f t="shared" ref="C43:F43" si="25">C41+C42</f>
        <v>4.6000000000000005</v>
      </c>
      <c r="D43" s="3">
        <f t="shared" si="25"/>
        <v>-24.3</v>
      </c>
      <c r="E43" s="3">
        <f t="shared" si="25"/>
        <v>-2</v>
      </c>
      <c r="F43" s="3">
        <f t="shared" si="25"/>
        <v>0.37</v>
      </c>
      <c r="G43" s="3">
        <f>G41+G42</f>
        <v>10.450000000000001</v>
      </c>
      <c r="H43" s="3">
        <f>H41+H42</f>
        <v>5.96</v>
      </c>
      <c r="I43" s="109">
        <f>I41+I42</f>
        <v>-3.06</v>
      </c>
      <c r="J43" s="109">
        <f>J41+J42</f>
        <v>-0.97</v>
      </c>
      <c r="K43" s="117"/>
      <c r="L43" s="24" t="s">
        <v>27</v>
      </c>
      <c r="M43" s="18">
        <v>871.94</v>
      </c>
      <c r="N43" s="18">
        <v>828.17</v>
      </c>
      <c r="O43" s="18">
        <v>567.70000000000005</v>
      </c>
      <c r="P43" s="18">
        <v>555.25</v>
      </c>
      <c r="Q43" s="49">
        <v>898.34</v>
      </c>
      <c r="R43" s="18">
        <v>1372.65</v>
      </c>
      <c r="S43" s="95">
        <v>2107.75</v>
      </c>
    </row>
    <row r="44" spans="2:19" x14ac:dyDescent="0.25">
      <c r="B44" s="19" t="s">
        <v>74</v>
      </c>
      <c r="C44" s="83">
        <f>C35-C43</f>
        <v>-2129.6</v>
      </c>
      <c r="D44" s="83">
        <f t="shared" ref="D44:H44" si="26">D35-D43</f>
        <v>-674.30000000000007</v>
      </c>
      <c r="E44" s="83">
        <f t="shared" si="26"/>
        <v>-1186.6300000000001</v>
      </c>
      <c r="F44" s="83">
        <f t="shared" si="26"/>
        <v>-308.22999999999968</v>
      </c>
      <c r="G44" s="83">
        <f t="shared" si="26"/>
        <v>65.91000000000038</v>
      </c>
      <c r="H44" s="83">
        <f t="shared" si="26"/>
        <v>-51.010000000000822</v>
      </c>
      <c r="I44" s="83">
        <f>I35+I43</f>
        <v>362.6799999999991</v>
      </c>
      <c r="J44" s="83">
        <f>J35+J43</f>
        <v>158.99999999999997</v>
      </c>
      <c r="K44" s="117"/>
      <c r="L44" s="19" t="s">
        <v>28</v>
      </c>
      <c r="M44" s="44">
        <f t="shared" ref="M44:S44" si="27">SUM(M36:M43)</f>
        <v>8279.8000000000011</v>
      </c>
      <c r="N44" s="44">
        <f t="shared" si="27"/>
        <v>5567.7</v>
      </c>
      <c r="O44" s="44">
        <f t="shared" si="27"/>
        <v>3618.17</v>
      </c>
      <c r="P44" s="44">
        <f t="shared" si="27"/>
        <v>3845.7799999999997</v>
      </c>
      <c r="Q44" s="44">
        <f t="shared" si="27"/>
        <v>5059.05</v>
      </c>
      <c r="R44" s="44">
        <f t="shared" si="27"/>
        <v>10151.48</v>
      </c>
      <c r="S44" s="92">
        <f t="shared" si="27"/>
        <v>9592.0600000000013</v>
      </c>
    </row>
    <row r="45" spans="2:19" x14ac:dyDescent="0.25">
      <c r="B45" s="23" t="s">
        <v>51</v>
      </c>
      <c r="C45" s="1"/>
      <c r="D45" s="9">
        <f>D44/C44-1</f>
        <v>-0.68336776859504123</v>
      </c>
      <c r="E45" s="9">
        <f t="shared" ref="E45:F45" si="28">E44/D44-1</f>
        <v>0.75979534331899745</v>
      </c>
      <c r="F45" s="9">
        <f t="shared" si="28"/>
        <v>-0.74024759191997536</v>
      </c>
      <c r="G45" s="9" t="s">
        <v>149</v>
      </c>
      <c r="H45" s="9" t="s">
        <v>149</v>
      </c>
      <c r="I45" s="103" t="s">
        <v>149</v>
      </c>
      <c r="J45" s="124">
        <v>0</v>
      </c>
      <c r="K45" s="117"/>
      <c r="L45" s="28" t="s">
        <v>29</v>
      </c>
      <c r="M45" s="47"/>
      <c r="N45" s="18"/>
      <c r="O45" s="18"/>
      <c r="P45" s="18"/>
      <c r="Q45" s="49"/>
      <c r="R45" s="18"/>
      <c r="S45" s="95"/>
    </row>
    <row r="46" spans="2:19" x14ac:dyDescent="0.25">
      <c r="B46" s="23" t="s">
        <v>57</v>
      </c>
      <c r="C46" s="1"/>
      <c r="D46" s="6"/>
      <c r="E46" s="6"/>
      <c r="F46" s="39">
        <f t="shared" ref="F46" si="29">(F44/C44)^(1/3)-1</f>
        <v>-0.47496012314846547</v>
      </c>
      <c r="G46" s="53" t="s">
        <v>149</v>
      </c>
      <c r="H46" s="39">
        <f>(H44/E44)^(1/3)-1</f>
        <v>-0.64969473349804496</v>
      </c>
      <c r="I46" s="113" t="s">
        <v>149</v>
      </c>
      <c r="J46" s="112">
        <v>0</v>
      </c>
      <c r="K46" s="117"/>
      <c r="L46" s="24" t="s">
        <v>30</v>
      </c>
      <c r="M46" s="18"/>
      <c r="N46" s="18"/>
      <c r="O46" s="18"/>
      <c r="P46" s="18"/>
      <c r="Q46" s="49"/>
      <c r="R46" s="18"/>
      <c r="S46" s="95"/>
    </row>
    <row r="47" spans="2:19" x14ac:dyDescent="0.25">
      <c r="B47" s="24" t="s">
        <v>77</v>
      </c>
      <c r="C47" s="1"/>
      <c r="D47" s="3"/>
      <c r="E47" s="3"/>
      <c r="F47" s="3"/>
      <c r="G47" s="3"/>
      <c r="H47" s="3"/>
      <c r="I47" s="109"/>
      <c r="J47" s="109"/>
      <c r="K47" s="117"/>
      <c r="L47" s="24" t="s">
        <v>31</v>
      </c>
      <c r="M47" s="18">
        <v>23.6</v>
      </c>
      <c r="N47" s="18">
        <v>7.22</v>
      </c>
      <c r="O47" s="18">
        <v>3.15</v>
      </c>
      <c r="P47" s="18">
        <v>4.2</v>
      </c>
      <c r="Q47" s="49">
        <v>239.96</v>
      </c>
      <c r="R47" s="18">
        <v>114.68</v>
      </c>
      <c r="S47" s="95">
        <v>20.74</v>
      </c>
    </row>
    <row r="48" spans="2:19" x14ac:dyDescent="0.25">
      <c r="B48" s="30" t="s">
        <v>75</v>
      </c>
      <c r="C48" s="1">
        <v>-23.07</v>
      </c>
      <c r="D48" s="2">
        <v>-6.62</v>
      </c>
      <c r="E48" s="2">
        <v>-11.08</v>
      </c>
      <c r="F48" s="2">
        <v>-2.76</v>
      </c>
      <c r="G48" s="2">
        <v>0.69</v>
      </c>
      <c r="H48" s="2">
        <v>-0.33</v>
      </c>
      <c r="I48" s="110">
        <v>2.33</v>
      </c>
      <c r="J48" s="110">
        <v>1.02</v>
      </c>
      <c r="K48" s="117"/>
      <c r="L48" s="24" t="s">
        <v>37</v>
      </c>
      <c r="M48" s="48">
        <v>3.1</v>
      </c>
      <c r="N48" s="48">
        <v>27.8</v>
      </c>
      <c r="O48" s="48">
        <v>34.94</v>
      </c>
      <c r="P48" s="18">
        <v>42.62</v>
      </c>
      <c r="Q48" s="49" t="s">
        <v>124</v>
      </c>
      <c r="R48" s="18">
        <v>0</v>
      </c>
      <c r="S48" s="95">
        <v>0</v>
      </c>
    </row>
    <row r="49" spans="2:19" x14ac:dyDescent="0.25">
      <c r="B49" s="30" t="s">
        <v>76</v>
      </c>
      <c r="C49" s="1">
        <v>-23.07</v>
      </c>
      <c r="D49" s="2">
        <v>-6.62</v>
      </c>
      <c r="E49" s="2">
        <v>-11.08</v>
      </c>
      <c r="F49" s="2">
        <v>-2.76</v>
      </c>
      <c r="G49" s="2">
        <v>0.69</v>
      </c>
      <c r="H49" s="2">
        <v>-0.33</v>
      </c>
      <c r="I49" s="110">
        <v>2.33</v>
      </c>
      <c r="J49" s="110">
        <v>1.02</v>
      </c>
      <c r="K49" s="117"/>
      <c r="L49" s="24" t="s">
        <v>136</v>
      </c>
      <c r="M49" s="48">
        <v>148.11000000000001</v>
      </c>
      <c r="N49" s="48">
        <v>476.41</v>
      </c>
      <c r="O49" s="48">
        <v>409.6</v>
      </c>
      <c r="P49" s="18">
        <v>230.67</v>
      </c>
      <c r="Q49" s="49">
        <v>203.39</v>
      </c>
      <c r="R49" s="18">
        <v>164.42</v>
      </c>
      <c r="S49" s="95">
        <v>186.34</v>
      </c>
    </row>
    <row r="50" spans="2:19" x14ac:dyDescent="0.25">
      <c r="B50" s="23" t="s">
        <v>51</v>
      </c>
      <c r="C50" s="1"/>
      <c r="D50" s="9">
        <f>D49/C49-1</f>
        <v>-0.71304724750758564</v>
      </c>
      <c r="E50" s="9">
        <f t="shared" ref="E50:F50" si="30">E49/D49-1</f>
        <v>0.6737160120845922</v>
      </c>
      <c r="F50" s="9">
        <f t="shared" si="30"/>
        <v>-0.75090252707581229</v>
      </c>
      <c r="G50" s="9" t="s">
        <v>149</v>
      </c>
      <c r="H50" s="9" t="s">
        <v>149</v>
      </c>
      <c r="I50" s="103" t="s">
        <v>149</v>
      </c>
      <c r="J50" s="124">
        <v>0</v>
      </c>
      <c r="K50" s="117"/>
      <c r="L50" s="24" t="s">
        <v>137</v>
      </c>
      <c r="M50" s="48" t="s">
        <v>124</v>
      </c>
      <c r="N50" s="48" t="s">
        <v>124</v>
      </c>
      <c r="O50" s="48">
        <v>269.8</v>
      </c>
      <c r="P50" s="48" t="s">
        <v>124</v>
      </c>
      <c r="Q50" s="51" t="s">
        <v>124</v>
      </c>
      <c r="R50" s="48" t="s">
        <v>124</v>
      </c>
      <c r="S50" s="97">
        <v>0</v>
      </c>
    </row>
    <row r="51" spans="2:19" ht="15.75" thickBot="1" x14ac:dyDescent="0.3">
      <c r="B51" s="54" t="s">
        <v>57</v>
      </c>
      <c r="C51" s="55"/>
      <c r="D51" s="56"/>
      <c r="E51" s="56"/>
      <c r="F51" s="57" t="s">
        <v>149</v>
      </c>
      <c r="G51" s="58" t="s">
        <v>149</v>
      </c>
      <c r="H51" s="57" t="s">
        <v>149</v>
      </c>
      <c r="I51" s="114" t="s">
        <v>149</v>
      </c>
      <c r="J51" s="127">
        <v>0</v>
      </c>
      <c r="K51" s="117"/>
      <c r="L51" s="24" t="s">
        <v>32</v>
      </c>
      <c r="M51" s="18">
        <v>81.52</v>
      </c>
      <c r="N51" s="18">
        <v>56.51</v>
      </c>
      <c r="O51" s="18">
        <v>51.8</v>
      </c>
      <c r="P51" s="18">
        <v>33.799999999999997</v>
      </c>
      <c r="Q51" s="49">
        <v>40.76</v>
      </c>
      <c r="R51" s="18">
        <v>55.84</v>
      </c>
      <c r="S51" s="95">
        <v>65.819999999999993</v>
      </c>
    </row>
    <row r="52" spans="2:19" ht="15.75" thickBot="1" x14ac:dyDescent="0.3">
      <c r="B52" s="22"/>
      <c r="G52" s="5"/>
      <c r="I52" s="5"/>
      <c r="J52" s="5"/>
      <c r="K52" s="117"/>
      <c r="L52" s="24" t="s">
        <v>33</v>
      </c>
      <c r="M52" s="48">
        <v>42.5</v>
      </c>
      <c r="N52" s="48">
        <v>37.659999999999997</v>
      </c>
      <c r="O52" s="48">
        <v>14.41</v>
      </c>
      <c r="P52" s="18">
        <v>11.5</v>
      </c>
      <c r="Q52" s="49">
        <v>7.15</v>
      </c>
      <c r="R52" s="18">
        <v>4.66</v>
      </c>
      <c r="S52" s="95">
        <v>142.47</v>
      </c>
    </row>
    <row r="53" spans="2:19" ht="15.75" x14ac:dyDescent="0.25">
      <c r="B53" s="41" t="s">
        <v>88</v>
      </c>
      <c r="C53" s="59" t="s">
        <v>1</v>
      </c>
      <c r="D53" s="59" t="s">
        <v>2</v>
      </c>
      <c r="E53" s="59" t="s">
        <v>3</v>
      </c>
      <c r="F53" s="59" t="s">
        <v>4</v>
      </c>
      <c r="G53" s="59" t="s">
        <v>5</v>
      </c>
      <c r="H53" s="59" t="s">
        <v>151</v>
      </c>
      <c r="I53" s="68" t="s">
        <v>152</v>
      </c>
      <c r="J53" s="68"/>
      <c r="K53" s="117"/>
      <c r="L53" s="24" t="s">
        <v>138</v>
      </c>
      <c r="M53" s="48">
        <v>96.4</v>
      </c>
      <c r="N53" s="48">
        <v>232.1</v>
      </c>
      <c r="O53" s="48">
        <v>266.89999999999998</v>
      </c>
      <c r="P53" s="18">
        <v>64.959999999999994</v>
      </c>
      <c r="Q53" s="49" t="s">
        <v>124</v>
      </c>
      <c r="R53" s="18" t="s">
        <v>124</v>
      </c>
      <c r="S53" s="95">
        <v>0</v>
      </c>
    </row>
    <row r="54" spans="2:19" x14ac:dyDescent="0.25">
      <c r="B54" s="28" t="s">
        <v>82</v>
      </c>
      <c r="C54" s="18">
        <v>1706.1</v>
      </c>
      <c r="D54" s="18">
        <v>557.54</v>
      </c>
      <c r="E54" s="18">
        <v>575.49</v>
      </c>
      <c r="F54" s="18">
        <v>1471.93</v>
      </c>
      <c r="G54" s="49">
        <f>F60</f>
        <v>758.61</v>
      </c>
      <c r="H54" s="18">
        <f>G60</f>
        <v>468.99000000000018</v>
      </c>
      <c r="I54" s="70">
        <f>H60</f>
        <v>1400.7900000000002</v>
      </c>
      <c r="J54" s="70"/>
      <c r="K54" s="117"/>
      <c r="L54" s="24" t="s">
        <v>139</v>
      </c>
      <c r="M54" s="48">
        <v>13.84</v>
      </c>
      <c r="N54" s="18" t="s">
        <v>124</v>
      </c>
      <c r="O54" s="18">
        <v>44.59</v>
      </c>
      <c r="P54" s="18" t="s">
        <v>124</v>
      </c>
      <c r="Q54" s="49" t="s">
        <v>124</v>
      </c>
      <c r="R54" s="18" t="s">
        <v>124</v>
      </c>
      <c r="S54" s="95">
        <v>0</v>
      </c>
    </row>
    <row r="55" spans="2:19" x14ac:dyDescent="0.25">
      <c r="B55" s="30" t="s">
        <v>78</v>
      </c>
      <c r="C55" s="18">
        <v>-4094.07</v>
      </c>
      <c r="D55" s="18">
        <v>-427.09</v>
      </c>
      <c r="E55" s="18">
        <v>1041.05</v>
      </c>
      <c r="F55" s="18">
        <v>-833.86</v>
      </c>
      <c r="G55" s="49">
        <v>-1530.87</v>
      </c>
      <c r="H55" s="18">
        <v>-1424.48</v>
      </c>
      <c r="I55" s="70">
        <v>-886.46</v>
      </c>
      <c r="J55" s="70"/>
      <c r="K55" s="117"/>
      <c r="L55" s="19" t="s">
        <v>34</v>
      </c>
      <c r="M55" s="44">
        <f t="shared" ref="M55:S55" si="31">SUM(M47:M54)</f>
        <v>409.07</v>
      </c>
      <c r="N55" s="44">
        <f t="shared" si="31"/>
        <v>837.7</v>
      </c>
      <c r="O55" s="44">
        <f t="shared" si="31"/>
        <v>1095.1899999999998</v>
      </c>
      <c r="P55" s="44">
        <f t="shared" si="31"/>
        <v>387.75</v>
      </c>
      <c r="Q55" s="44">
        <f t="shared" si="31"/>
        <v>491.26</v>
      </c>
      <c r="R55" s="44">
        <f t="shared" si="31"/>
        <v>339.60000000000008</v>
      </c>
      <c r="S55" s="92">
        <f t="shared" si="31"/>
        <v>415.37</v>
      </c>
    </row>
    <row r="56" spans="2:19" x14ac:dyDescent="0.25">
      <c r="B56" s="30" t="s">
        <v>79</v>
      </c>
      <c r="C56" s="18">
        <v>-641.27</v>
      </c>
      <c r="D56" s="18">
        <v>125.17</v>
      </c>
      <c r="E56" s="18">
        <v>-211.09</v>
      </c>
      <c r="F56" s="18">
        <v>-84.45</v>
      </c>
      <c r="G56" s="49">
        <v>-166.6</v>
      </c>
      <c r="H56" s="18">
        <v>-2337.31</v>
      </c>
      <c r="I56" s="70">
        <v>936.98</v>
      </c>
      <c r="J56" s="70"/>
      <c r="K56" s="117"/>
      <c r="L56" s="28" t="s">
        <v>35</v>
      </c>
      <c r="M56" s="47"/>
      <c r="N56" s="18"/>
      <c r="O56" s="18"/>
      <c r="P56" s="18"/>
      <c r="Q56" s="49"/>
      <c r="R56" s="18"/>
      <c r="S56" s="95"/>
    </row>
    <row r="57" spans="2:19" x14ac:dyDescent="0.25">
      <c r="B57" s="30" t="s">
        <v>80</v>
      </c>
      <c r="C57" s="18">
        <v>3582.68</v>
      </c>
      <c r="D57" s="18">
        <v>315.02</v>
      </c>
      <c r="E57" s="18">
        <v>64.58</v>
      </c>
      <c r="F57" s="18">
        <v>200.81</v>
      </c>
      <c r="G57" s="49">
        <v>1384.26</v>
      </c>
      <c r="H57" s="18">
        <v>4663.08</v>
      </c>
      <c r="I57" s="70">
        <v>-1021.95</v>
      </c>
      <c r="J57" s="70"/>
      <c r="K57" s="117"/>
      <c r="L57" s="24" t="s">
        <v>30</v>
      </c>
      <c r="M57" s="18"/>
      <c r="N57" s="18"/>
      <c r="O57" s="18"/>
      <c r="P57" s="18"/>
      <c r="Q57" s="49"/>
      <c r="R57" s="18"/>
      <c r="S57" s="95"/>
    </row>
    <row r="58" spans="2:19" x14ac:dyDescent="0.25">
      <c r="B58" s="31" t="s">
        <v>83</v>
      </c>
      <c r="C58" s="85">
        <f>SUM(C55:C57)</f>
        <v>-1152.6600000000003</v>
      </c>
      <c r="D58" s="85">
        <f t="shared" ref="D58:E58" si="32">SUM(D55:D57)</f>
        <v>13.100000000000023</v>
      </c>
      <c r="E58" s="85">
        <f t="shared" si="32"/>
        <v>894.54</v>
      </c>
      <c r="F58" s="85">
        <f>SUM(F55:F57)</f>
        <v>-717.5</v>
      </c>
      <c r="G58" s="81">
        <f>SUM(G55:G57)</f>
        <v>-313.20999999999981</v>
      </c>
      <c r="H58" s="85">
        <f>SUM(H55:H57)</f>
        <v>901.29</v>
      </c>
      <c r="I58" s="115">
        <f>SUM(I55:I57)</f>
        <v>-971.43000000000006</v>
      </c>
      <c r="J58" s="115"/>
      <c r="K58" s="117"/>
      <c r="L58" s="24" t="s">
        <v>31</v>
      </c>
      <c r="M58" s="18">
        <f>M15</f>
        <v>974.12</v>
      </c>
      <c r="N58" s="18">
        <f>N15</f>
        <v>978.23</v>
      </c>
      <c r="O58" s="18">
        <v>127.96</v>
      </c>
      <c r="P58" s="18">
        <v>354.38</v>
      </c>
      <c r="Q58" s="49">
        <v>1290.78</v>
      </c>
      <c r="R58" s="18">
        <v>523.51</v>
      </c>
      <c r="S58" s="95">
        <v>525.12</v>
      </c>
    </row>
    <row r="59" spans="2:19" x14ac:dyDescent="0.25">
      <c r="B59" s="31" t="s">
        <v>148</v>
      </c>
      <c r="C59" s="85">
        <v>4.0999999999999996</v>
      </c>
      <c r="D59" s="85">
        <v>4.8499999999999996</v>
      </c>
      <c r="E59" s="85">
        <v>1.9</v>
      </c>
      <c r="F59" s="85">
        <v>4.18</v>
      </c>
      <c r="G59" s="81">
        <v>23.59</v>
      </c>
      <c r="H59" s="85">
        <v>30.51</v>
      </c>
      <c r="I59" s="115">
        <v>65.25</v>
      </c>
      <c r="J59" s="115"/>
      <c r="K59" s="117"/>
      <c r="L59" s="24" t="s">
        <v>36</v>
      </c>
      <c r="M59" s="48">
        <v>15.63</v>
      </c>
      <c r="N59" s="48">
        <v>44.2</v>
      </c>
      <c r="O59" s="48">
        <v>74.2</v>
      </c>
      <c r="P59" s="18">
        <v>38.936</v>
      </c>
      <c r="Q59" s="49">
        <v>47.83</v>
      </c>
      <c r="R59" s="18">
        <v>51.32</v>
      </c>
      <c r="S59" s="95">
        <v>51.81</v>
      </c>
    </row>
    <row r="60" spans="2:19" ht="15.75" thickBot="1" x14ac:dyDescent="0.3">
      <c r="B60" s="61" t="s">
        <v>81</v>
      </c>
      <c r="C60" s="62">
        <f t="shared" ref="C60:G60" si="33">C54+C58+C59</f>
        <v>557.53999999999962</v>
      </c>
      <c r="D60" s="62">
        <f t="shared" si="33"/>
        <v>575.49</v>
      </c>
      <c r="E60" s="62">
        <f t="shared" si="33"/>
        <v>1471.93</v>
      </c>
      <c r="F60" s="62">
        <f t="shared" si="33"/>
        <v>758.61</v>
      </c>
      <c r="G60" s="62">
        <f t="shared" si="33"/>
        <v>468.99000000000018</v>
      </c>
      <c r="H60" s="62">
        <f>H54+H58+H59</f>
        <v>1400.7900000000002</v>
      </c>
      <c r="I60" s="71">
        <f>I54+I58+I59</f>
        <v>494.61000000000013</v>
      </c>
      <c r="J60" s="71"/>
      <c r="K60" s="117"/>
      <c r="L60" s="24" t="s">
        <v>37</v>
      </c>
      <c r="M60" s="18"/>
      <c r="N60" s="18"/>
      <c r="O60" s="18"/>
      <c r="P60" s="18"/>
      <c r="Q60" s="49"/>
      <c r="R60" s="18"/>
      <c r="S60" s="95"/>
    </row>
    <row r="61" spans="2:19" ht="15.75" thickBot="1" x14ac:dyDescent="0.3">
      <c r="B61" s="22"/>
      <c r="I61" s="111"/>
      <c r="J61" s="111"/>
      <c r="K61" s="117"/>
      <c r="L61" s="24" t="s">
        <v>38</v>
      </c>
      <c r="M61" s="18" t="s">
        <v>124</v>
      </c>
      <c r="N61" s="18" t="s">
        <v>124</v>
      </c>
      <c r="O61" s="18">
        <v>11.56</v>
      </c>
      <c r="P61" s="48">
        <v>4.4000000000000004</v>
      </c>
      <c r="Q61" s="49">
        <v>9.6199999999999992</v>
      </c>
      <c r="R61" s="48">
        <v>27.2</v>
      </c>
      <c r="S61" s="95">
        <v>4.55</v>
      </c>
    </row>
    <row r="62" spans="2:19" ht="30" x14ac:dyDescent="0.25">
      <c r="B62" s="41" t="s">
        <v>87</v>
      </c>
      <c r="C62" s="59" t="s">
        <v>1</v>
      </c>
      <c r="D62" s="59" t="s">
        <v>2</v>
      </c>
      <c r="E62" s="59" t="s">
        <v>3</v>
      </c>
      <c r="F62" s="60" t="s">
        <v>4</v>
      </c>
      <c r="G62" s="59" t="s">
        <v>5</v>
      </c>
      <c r="H62" s="68" t="s">
        <v>151</v>
      </c>
      <c r="I62" s="68" t="s">
        <v>152</v>
      </c>
      <c r="J62" s="68"/>
      <c r="K62" s="117"/>
      <c r="L62" s="29" t="s">
        <v>39</v>
      </c>
      <c r="M62" s="18">
        <v>4402.6000000000004</v>
      </c>
      <c r="N62" s="18">
        <v>1442.7</v>
      </c>
      <c r="O62" s="18">
        <v>991.69</v>
      </c>
      <c r="P62" s="18">
        <v>1467.29</v>
      </c>
      <c r="Q62" s="49">
        <v>1375.45</v>
      </c>
      <c r="R62" s="18">
        <v>1703.72</v>
      </c>
      <c r="S62" s="95">
        <v>2260.73</v>
      </c>
    </row>
    <row r="63" spans="2:19" x14ac:dyDescent="0.25">
      <c r="B63" s="24" t="s">
        <v>84</v>
      </c>
      <c r="C63" s="18">
        <f t="shared" ref="C63:F63" si="34">C55</f>
        <v>-4094.07</v>
      </c>
      <c r="D63" s="18">
        <f t="shared" si="34"/>
        <v>-427.09</v>
      </c>
      <c r="E63" s="18">
        <f t="shared" si="34"/>
        <v>1041.05</v>
      </c>
      <c r="F63" s="18">
        <f t="shared" si="34"/>
        <v>-833.86</v>
      </c>
      <c r="G63" s="49">
        <f>G55</f>
        <v>-1530.87</v>
      </c>
      <c r="H63" s="70">
        <f>H55</f>
        <v>-1424.48</v>
      </c>
      <c r="I63" s="70">
        <f>I55</f>
        <v>-886.46</v>
      </c>
      <c r="J63" s="70"/>
      <c r="K63" s="117"/>
      <c r="L63" s="24" t="s">
        <v>49</v>
      </c>
      <c r="M63" s="18">
        <v>2214.58</v>
      </c>
      <c r="N63" s="18">
        <v>2204.14</v>
      </c>
      <c r="O63" s="18">
        <v>1145.24</v>
      </c>
      <c r="P63" s="18">
        <v>1260.03</v>
      </c>
      <c r="Q63" s="49">
        <v>1151.26</v>
      </c>
      <c r="R63" s="18">
        <v>1337.02</v>
      </c>
      <c r="S63" s="95">
        <v>882.17</v>
      </c>
    </row>
    <row r="64" spans="2:19" x14ac:dyDescent="0.25">
      <c r="B64" s="32" t="s">
        <v>85</v>
      </c>
      <c r="C64" s="86">
        <f>10.53-29.7-253.45</f>
        <v>-272.62</v>
      </c>
      <c r="D64" s="86">
        <f>-3.5-16.6+23.34</f>
        <v>3.2399999999999984</v>
      </c>
      <c r="E64" s="86">
        <f>5.8-0.9-410.4</f>
        <v>-405.5</v>
      </c>
      <c r="F64" s="86">
        <f>-11.41+2.15</f>
        <v>-9.26</v>
      </c>
      <c r="G64" s="49">
        <f>-19.76+9.71-34.36</f>
        <v>-44.41</v>
      </c>
      <c r="H64" s="69">
        <f>-20.27+1.93-246.42</f>
        <v>-264.76</v>
      </c>
      <c r="I64" s="69">
        <f>-1289.67-62.61+9.11-231.84</f>
        <v>-1575.01</v>
      </c>
      <c r="J64" s="69"/>
      <c r="K64" s="117"/>
      <c r="L64" s="24" t="s">
        <v>40</v>
      </c>
      <c r="M64" s="18">
        <v>1043.8599999999999</v>
      </c>
      <c r="N64" s="18">
        <v>944.83</v>
      </c>
      <c r="O64" s="18">
        <v>773.78</v>
      </c>
      <c r="P64" s="18">
        <v>702.9</v>
      </c>
      <c r="Q64" s="49">
        <v>616.92999999999995</v>
      </c>
      <c r="R64" s="18">
        <v>674.87</v>
      </c>
      <c r="S64" s="95">
        <v>1192.72</v>
      </c>
    </row>
    <row r="65" spans="2:21" ht="15.75" thickBot="1" x14ac:dyDescent="0.3">
      <c r="B65" s="33" t="s">
        <v>86</v>
      </c>
      <c r="C65" s="62">
        <f t="shared" ref="C65:G65" si="35">C63+C64</f>
        <v>-4366.6900000000005</v>
      </c>
      <c r="D65" s="62">
        <f t="shared" si="35"/>
        <v>-423.84999999999997</v>
      </c>
      <c r="E65" s="62">
        <f t="shared" si="35"/>
        <v>635.54999999999995</v>
      </c>
      <c r="F65" s="62">
        <f t="shared" si="35"/>
        <v>-843.12</v>
      </c>
      <c r="G65" s="62">
        <f t="shared" si="35"/>
        <v>-1575.28</v>
      </c>
      <c r="H65" s="71">
        <f>H63+H64</f>
        <v>-1689.24</v>
      </c>
      <c r="I65" s="71">
        <f>I63+I64</f>
        <v>-2461.4700000000003</v>
      </c>
      <c r="J65" s="71"/>
      <c r="K65" s="117"/>
      <c r="L65" s="24" t="s">
        <v>140</v>
      </c>
      <c r="M65" s="18">
        <v>579.32000000000005</v>
      </c>
      <c r="N65" s="18">
        <v>125.84</v>
      </c>
      <c r="O65" s="18">
        <v>120.1</v>
      </c>
      <c r="P65" s="18">
        <v>183.25</v>
      </c>
      <c r="Q65" s="49">
        <v>45.72</v>
      </c>
      <c r="R65" s="18">
        <v>0</v>
      </c>
      <c r="S65" s="95">
        <v>0</v>
      </c>
    </row>
    <row r="66" spans="2:21" ht="15.75" thickBot="1" x14ac:dyDescent="0.3">
      <c r="B66" s="22"/>
      <c r="I66" s="111"/>
      <c r="J66" s="111"/>
      <c r="K66" s="117"/>
      <c r="L66" s="24" t="s">
        <v>141</v>
      </c>
      <c r="M66" s="18">
        <v>96.43</v>
      </c>
      <c r="N66" s="18">
        <v>78.709999999999994</v>
      </c>
      <c r="O66" s="18">
        <v>54.5</v>
      </c>
      <c r="P66" s="18">
        <v>68.599999999999994</v>
      </c>
      <c r="Q66" s="49">
        <v>55.92</v>
      </c>
      <c r="R66" s="18">
        <v>41.31</v>
      </c>
      <c r="S66" s="95">
        <v>62.55</v>
      </c>
    </row>
    <row r="67" spans="2:21" ht="15.75" x14ac:dyDescent="0.25">
      <c r="B67" s="41" t="s">
        <v>106</v>
      </c>
      <c r="C67" s="42" t="s">
        <v>1</v>
      </c>
      <c r="D67" s="42" t="s">
        <v>2</v>
      </c>
      <c r="E67" s="42" t="s">
        <v>3</v>
      </c>
      <c r="F67" s="42" t="s">
        <v>4</v>
      </c>
      <c r="G67" s="42" t="s">
        <v>5</v>
      </c>
      <c r="H67" s="65" t="s">
        <v>151</v>
      </c>
      <c r="I67" s="65" t="s">
        <v>152</v>
      </c>
      <c r="J67" s="65"/>
      <c r="K67" s="117"/>
      <c r="L67" s="24" t="s">
        <v>142</v>
      </c>
      <c r="M67" s="48">
        <v>3.44</v>
      </c>
      <c r="N67" s="48" t="s">
        <v>124</v>
      </c>
      <c r="O67" s="48" t="s">
        <v>124</v>
      </c>
      <c r="P67" s="18">
        <v>1</v>
      </c>
      <c r="Q67" s="51">
        <v>32.47</v>
      </c>
      <c r="R67" s="51">
        <v>0</v>
      </c>
      <c r="S67" s="97">
        <v>0.24</v>
      </c>
    </row>
    <row r="68" spans="2:21" x14ac:dyDescent="0.25">
      <c r="B68" s="24" t="s">
        <v>109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74">
        <v>156.91619299999999</v>
      </c>
      <c r="I68" s="74">
        <f>156916193/10^6</f>
        <v>156.91619299999999</v>
      </c>
      <c r="J68" s="74"/>
      <c r="K68" s="117"/>
      <c r="L68" s="19" t="s">
        <v>41</v>
      </c>
      <c r="M68" s="44">
        <f t="shared" ref="M68:S68" si="36">SUM(M58:M67)</f>
        <v>9329.9800000000014</v>
      </c>
      <c r="N68" s="44">
        <f t="shared" si="36"/>
        <v>5818.6500000000005</v>
      </c>
      <c r="O68" s="44">
        <f t="shared" si="36"/>
        <v>3299.03</v>
      </c>
      <c r="P68" s="44">
        <f t="shared" si="36"/>
        <v>4080.7860000000001</v>
      </c>
      <c r="Q68" s="44">
        <f t="shared" si="36"/>
        <v>4625.9800000000005</v>
      </c>
      <c r="R68" s="44">
        <f t="shared" si="36"/>
        <v>4358.9500000000007</v>
      </c>
      <c r="S68" s="92">
        <f t="shared" si="36"/>
        <v>4979.8900000000003</v>
      </c>
    </row>
    <row r="69" spans="2:21" x14ac:dyDescent="0.25">
      <c r="B69" s="24" t="s">
        <v>108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72">
        <v>1</v>
      </c>
      <c r="I69" s="72">
        <v>1</v>
      </c>
      <c r="J69" s="72"/>
      <c r="K69" s="117"/>
      <c r="L69" s="24"/>
      <c r="M69" s="18"/>
      <c r="N69" s="18"/>
      <c r="O69" s="18"/>
      <c r="P69" s="18"/>
      <c r="Q69" s="49"/>
      <c r="R69" s="49"/>
      <c r="S69" s="95"/>
    </row>
    <row r="70" spans="2:21" x14ac:dyDescent="0.25">
      <c r="B70" s="32" t="s">
        <v>107</v>
      </c>
      <c r="C70" s="12">
        <f t="shared" ref="C70:I70" si="37">M77*C68</f>
        <v>0</v>
      </c>
      <c r="D70" s="12">
        <f t="shared" si="37"/>
        <v>0</v>
      </c>
      <c r="E70" s="12">
        <f t="shared" si="37"/>
        <v>0</v>
      </c>
      <c r="F70" s="12">
        <f t="shared" si="37"/>
        <v>0</v>
      </c>
      <c r="G70" s="12">
        <f t="shared" si="37"/>
        <v>0</v>
      </c>
      <c r="H70" s="72">
        <f t="shared" si="37"/>
        <v>22470.398837599998</v>
      </c>
      <c r="I70" s="72">
        <f t="shared" si="37"/>
        <v>13406.919529919998</v>
      </c>
      <c r="J70" s="72"/>
      <c r="K70" s="117"/>
      <c r="L70" s="19" t="s">
        <v>42</v>
      </c>
      <c r="M70" s="44">
        <f t="shared" ref="M70:S70" si="38">M44-M68</f>
        <v>-1050.1800000000003</v>
      </c>
      <c r="N70" s="44">
        <f t="shared" si="38"/>
        <v>-250.95000000000073</v>
      </c>
      <c r="O70" s="44">
        <f t="shared" si="38"/>
        <v>319.13999999999987</v>
      </c>
      <c r="P70" s="44">
        <f t="shared" si="38"/>
        <v>-235.00600000000031</v>
      </c>
      <c r="Q70" s="44">
        <f t="shared" si="38"/>
        <v>433.06999999999971</v>
      </c>
      <c r="R70" s="44">
        <f t="shared" si="38"/>
        <v>5792.5299999999988</v>
      </c>
      <c r="S70" s="92">
        <f t="shared" si="38"/>
        <v>4612.170000000001</v>
      </c>
    </row>
    <row r="71" spans="2:21" x14ac:dyDescent="0.25">
      <c r="B71" s="32" t="s">
        <v>89</v>
      </c>
      <c r="C71" s="12">
        <f t="shared" ref="C71:H71" si="39">M16</f>
        <v>997.72</v>
      </c>
      <c r="D71" s="12">
        <f t="shared" si="39"/>
        <v>985.45</v>
      </c>
      <c r="E71" s="12">
        <f t="shared" si="39"/>
        <v>131.10999999999999</v>
      </c>
      <c r="F71" s="12">
        <f t="shared" si="39"/>
        <v>358.58</v>
      </c>
      <c r="G71" s="12">
        <f t="shared" si="39"/>
        <v>1530.74</v>
      </c>
      <c r="H71" s="72">
        <f t="shared" si="39"/>
        <v>638.19000000000005</v>
      </c>
      <c r="I71" s="72">
        <f t="shared" ref="I71" si="40">S16</f>
        <v>545.86</v>
      </c>
      <c r="J71" s="72"/>
      <c r="K71" s="117"/>
      <c r="L71" s="24"/>
      <c r="M71" s="18"/>
      <c r="N71" s="18"/>
      <c r="O71" s="18"/>
      <c r="P71" s="18"/>
      <c r="Q71" s="49"/>
      <c r="R71" s="49"/>
      <c r="S71" s="95"/>
    </row>
    <row r="72" spans="2:21" x14ac:dyDescent="0.25">
      <c r="B72" s="32" t="s">
        <v>90</v>
      </c>
      <c r="C72" s="12">
        <f t="shared" ref="C72:H72" si="41">M40+M41</f>
        <v>2346.6000000000004</v>
      </c>
      <c r="D72" s="12">
        <f t="shared" si="41"/>
        <v>2029.16</v>
      </c>
      <c r="E72" s="12">
        <f t="shared" si="41"/>
        <v>1960.8600000000001</v>
      </c>
      <c r="F72" s="12">
        <f t="shared" si="41"/>
        <v>1279.75</v>
      </c>
      <c r="G72" s="12">
        <f t="shared" si="41"/>
        <v>1022.6999999999999</v>
      </c>
      <c r="H72" s="72">
        <f t="shared" si="41"/>
        <v>4021.47</v>
      </c>
      <c r="I72" s="72">
        <f t="shared" ref="I72" si="42">S40+S41</f>
        <v>986.79</v>
      </c>
      <c r="J72" s="72"/>
      <c r="K72" s="117"/>
      <c r="L72" s="19" t="s">
        <v>43</v>
      </c>
      <c r="M72" s="44">
        <f t="shared" ref="M72:Q72" si="43">M44+M34</f>
        <v>12079.533000000001</v>
      </c>
      <c r="N72" s="44">
        <f t="shared" si="43"/>
        <v>8780.67</v>
      </c>
      <c r="O72" s="44">
        <f t="shared" si="43"/>
        <v>5629.08</v>
      </c>
      <c r="P72" s="44">
        <f t="shared" si="43"/>
        <v>5477.8600000000006</v>
      </c>
      <c r="Q72" s="44">
        <f t="shared" si="43"/>
        <v>6812.52</v>
      </c>
      <c r="R72" s="44">
        <f>R44+R34</f>
        <v>12173.67</v>
      </c>
      <c r="S72" s="92">
        <f>S44+S34</f>
        <v>13232.900000000001</v>
      </c>
      <c r="T72" s="5"/>
    </row>
    <row r="73" spans="2:21" ht="15.75" thickBot="1" x14ac:dyDescent="0.3">
      <c r="B73" s="33" t="s">
        <v>91</v>
      </c>
      <c r="C73" s="34">
        <f t="shared" ref="C73" si="44">SUM(C70:C71)-C72</f>
        <v>-1348.8800000000003</v>
      </c>
      <c r="D73" s="34">
        <f t="shared" ref="D73" si="45">SUM(D70:D71)-D72</f>
        <v>-1043.71</v>
      </c>
      <c r="E73" s="34">
        <f>SUM(E70:E71)-E72</f>
        <v>-1829.7500000000002</v>
      </c>
      <c r="F73" s="34">
        <f>SUM(F70:F71)-F72</f>
        <v>-921.17000000000007</v>
      </c>
      <c r="G73" s="34">
        <f>SUM(G70:G71)-G72</f>
        <v>508.04000000000008</v>
      </c>
      <c r="H73" s="73">
        <f>SUM(H70:H71)-H72</f>
        <v>19087.118837599995</v>
      </c>
      <c r="I73" s="73">
        <f>SUM(I70:I71)-I72</f>
        <v>12965.98952992</v>
      </c>
      <c r="J73" s="73"/>
      <c r="K73" s="117"/>
      <c r="L73" s="19" t="s">
        <v>44</v>
      </c>
      <c r="M73" s="44">
        <f t="shared" ref="M73:Q73" si="46">M55+M68</f>
        <v>9739.0500000000011</v>
      </c>
      <c r="N73" s="44">
        <f t="shared" si="46"/>
        <v>6656.35</v>
      </c>
      <c r="O73" s="44">
        <f t="shared" si="46"/>
        <v>4394.22</v>
      </c>
      <c r="P73" s="44">
        <f t="shared" si="46"/>
        <v>4468.5360000000001</v>
      </c>
      <c r="Q73" s="44">
        <f t="shared" si="46"/>
        <v>5117.2400000000007</v>
      </c>
      <c r="R73" s="44">
        <f>R55+R68</f>
        <v>4698.5500000000011</v>
      </c>
      <c r="S73" s="92">
        <f>S55+S68</f>
        <v>5395.26</v>
      </c>
    </row>
    <row r="74" spans="2:21" ht="15.75" thickBot="1" x14ac:dyDescent="0.3">
      <c r="K74" s="117"/>
      <c r="L74" s="63" t="s">
        <v>45</v>
      </c>
      <c r="M74" s="64">
        <f t="shared" ref="M74:S74" si="47">M73+M10</f>
        <v>12079.54</v>
      </c>
      <c r="N74" s="64">
        <f t="shared" si="47"/>
        <v>8780.67</v>
      </c>
      <c r="O74" s="64">
        <f t="shared" si="47"/>
        <v>5629.08</v>
      </c>
      <c r="P74" s="64">
        <f t="shared" si="47"/>
        <v>5477.8159999999989</v>
      </c>
      <c r="Q74" s="64">
        <f t="shared" si="47"/>
        <v>6812.48</v>
      </c>
      <c r="R74" s="64">
        <f t="shared" si="47"/>
        <v>12173.669999999998</v>
      </c>
      <c r="S74" s="99">
        <f t="shared" si="47"/>
        <v>13232.899999999998</v>
      </c>
      <c r="T74" s="14"/>
      <c r="U74" s="14"/>
    </row>
    <row r="75" spans="2:21" ht="15.75" thickBot="1" x14ac:dyDescent="0.3">
      <c r="K75" s="117"/>
      <c r="L75" s="22"/>
      <c r="N75" s="5"/>
      <c r="O75" s="5"/>
      <c r="P75" s="5"/>
      <c r="Q75" s="5"/>
      <c r="R75" s="35"/>
      <c r="S75" s="13"/>
      <c r="T75" s="13"/>
      <c r="U75" s="14"/>
    </row>
    <row r="76" spans="2:21" ht="15.75" x14ac:dyDescent="0.25">
      <c r="K76" s="117"/>
      <c r="L76" s="41" t="s">
        <v>115</v>
      </c>
      <c r="M76" s="42" t="s">
        <v>1</v>
      </c>
      <c r="N76" s="42" t="s">
        <v>2</v>
      </c>
      <c r="O76" s="42" t="s">
        <v>3</v>
      </c>
      <c r="P76" s="42" t="s">
        <v>4</v>
      </c>
      <c r="Q76" s="42" t="s">
        <v>5</v>
      </c>
      <c r="R76" s="65" t="s">
        <v>151</v>
      </c>
      <c r="S76" s="65" t="s">
        <v>152</v>
      </c>
      <c r="T76" s="43" t="s">
        <v>157</v>
      </c>
      <c r="U76" s="15"/>
    </row>
    <row r="77" spans="2:21" x14ac:dyDescent="0.25">
      <c r="K77" s="117"/>
      <c r="L77" s="24" t="s">
        <v>113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75">
        <v>143.19999999999999</v>
      </c>
      <c r="S77" s="75">
        <v>85.44</v>
      </c>
      <c r="T77" s="88">
        <v>85.19</v>
      </c>
      <c r="U77" s="13"/>
    </row>
    <row r="78" spans="2:21" x14ac:dyDescent="0.25">
      <c r="K78" s="117"/>
      <c r="L78" s="36" t="s">
        <v>112</v>
      </c>
      <c r="M78" s="8">
        <f t="shared" ref="M78:R78" si="48">C49</f>
        <v>-23.07</v>
      </c>
      <c r="N78" s="8">
        <f t="shared" si="48"/>
        <v>-6.62</v>
      </c>
      <c r="O78" s="8">
        <f t="shared" si="48"/>
        <v>-11.08</v>
      </c>
      <c r="P78" s="8">
        <f t="shared" si="48"/>
        <v>-2.76</v>
      </c>
      <c r="Q78" s="8">
        <f t="shared" si="48"/>
        <v>0.69</v>
      </c>
      <c r="R78" s="67">
        <f t="shared" si="48"/>
        <v>-0.33</v>
      </c>
      <c r="S78" s="67">
        <v>2.33</v>
      </c>
      <c r="T78" s="89">
        <f>S78+1.02-0.26</f>
        <v>3.09</v>
      </c>
      <c r="U78" s="14"/>
    </row>
    <row r="79" spans="2:21" x14ac:dyDescent="0.25">
      <c r="K79" s="117"/>
      <c r="L79" s="36" t="s">
        <v>110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67">
        <f>R12/H68</f>
        <v>47.63765840278829</v>
      </c>
      <c r="S79" s="67">
        <f>S12/I68</f>
        <v>49.947936220960969</v>
      </c>
      <c r="T79" s="90" t="s">
        <v>149</v>
      </c>
      <c r="U79" s="14"/>
    </row>
    <row r="80" spans="2:21" x14ac:dyDescent="0.25">
      <c r="K80" s="117"/>
      <c r="L80" s="36" t="s">
        <v>111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76" t="s">
        <v>149</v>
      </c>
      <c r="S80" s="76" t="s">
        <v>149</v>
      </c>
      <c r="T80" s="90" t="s">
        <v>149</v>
      </c>
      <c r="U80" s="14"/>
    </row>
    <row r="81" spans="11:21" x14ac:dyDescent="0.25">
      <c r="K81" s="117"/>
      <c r="L81" s="36" t="s">
        <v>92</v>
      </c>
      <c r="M81" s="8">
        <f>M77/M78</f>
        <v>0</v>
      </c>
      <c r="N81" s="8">
        <f t="shared" ref="N81:Q81" si="49">N77/N78</f>
        <v>0</v>
      </c>
      <c r="O81" s="8">
        <f t="shared" si="49"/>
        <v>0</v>
      </c>
      <c r="P81" s="8">
        <f t="shared" si="49"/>
        <v>0</v>
      </c>
      <c r="Q81" s="8">
        <f t="shared" si="49"/>
        <v>0</v>
      </c>
      <c r="R81" s="77" t="s">
        <v>149</v>
      </c>
      <c r="S81" s="76">
        <f>S77/S78</f>
        <v>36.669527896995703</v>
      </c>
      <c r="T81" s="90">
        <f>T77/T78</f>
        <v>27.569579288025892</v>
      </c>
      <c r="U81" s="14"/>
    </row>
    <row r="82" spans="11:21" x14ac:dyDescent="0.25">
      <c r="K82" s="117"/>
      <c r="L82" s="36" t="s">
        <v>93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67">
        <f>R77/R79</f>
        <v>3.0060251658301138</v>
      </c>
      <c r="S82" s="76">
        <f>S77/S79</f>
        <v>1.7105811864183602</v>
      </c>
      <c r="T82" s="90" t="s">
        <v>149</v>
      </c>
      <c r="U82" s="14"/>
    </row>
    <row r="83" spans="11:21" x14ac:dyDescent="0.25">
      <c r="K83" s="117"/>
      <c r="L83" s="36" t="s">
        <v>94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78">
        <f>H73/H14</f>
        <v>129.72961896010398</v>
      </c>
      <c r="S83" s="78">
        <f>I73/I14</f>
        <v>29.19150219492542</v>
      </c>
      <c r="T83" s="90" t="s">
        <v>149</v>
      </c>
      <c r="U83" s="14"/>
    </row>
    <row r="84" spans="11:21" x14ac:dyDescent="0.25">
      <c r="K84" s="117"/>
      <c r="L84" s="36" t="s">
        <v>114</v>
      </c>
      <c r="M84" s="8">
        <v>0</v>
      </c>
      <c r="N84" s="8">
        <f t="shared" ref="N84:S84" si="50">D4/AVERAGE(M74:N74)</f>
        <v>0.64556684712186507</v>
      </c>
      <c r="O84" s="8">
        <f t="shared" si="50"/>
        <v>0.17411821856728951</v>
      </c>
      <c r="P84" s="8">
        <f t="shared" si="50"/>
        <v>0.35665410029948968</v>
      </c>
      <c r="Q84" s="8">
        <f t="shared" si="50"/>
        <v>0.61863278150501833</v>
      </c>
      <c r="R84" s="67">
        <f t="shared" si="50"/>
        <v>0.44487481664265793</v>
      </c>
      <c r="S84" s="67">
        <f t="shared" si="50"/>
        <v>0.62302152553453705</v>
      </c>
      <c r="T84" s="90" t="s">
        <v>149</v>
      </c>
      <c r="U84" s="14"/>
    </row>
    <row r="85" spans="11:21" x14ac:dyDescent="0.25">
      <c r="K85" s="117"/>
      <c r="L85" s="36" t="s">
        <v>95</v>
      </c>
      <c r="M85" s="16">
        <f t="shared" ref="M85:S85" si="51">C35/M12</f>
        <v>-0.90793225159080426</v>
      </c>
      <c r="N85" s="16">
        <f t="shared" si="51"/>
        <v>-0.32885817579272431</v>
      </c>
      <c r="O85" s="16">
        <f t="shared" si="51"/>
        <v>-0.96256255769884858</v>
      </c>
      <c r="P85" s="16">
        <f t="shared" si="51"/>
        <v>-0.30501603053132542</v>
      </c>
      <c r="Q85" s="16">
        <f t="shared" si="51"/>
        <v>4.504270680949482E-2</v>
      </c>
      <c r="R85" s="79">
        <f t="shared" si="51"/>
        <v>-6.0266591038004511E-3</v>
      </c>
      <c r="S85" s="79">
        <f t="shared" si="51"/>
        <v>4.6664557188133032E-2</v>
      </c>
      <c r="T85" s="90" t="s">
        <v>149</v>
      </c>
      <c r="U85" s="14"/>
    </row>
    <row r="86" spans="11:21" x14ac:dyDescent="0.25">
      <c r="K86" s="117"/>
      <c r="L86" s="36" t="s">
        <v>96</v>
      </c>
      <c r="M86" s="79">
        <f t="shared" ref="M86:S86" si="52">(C21+C20)/M18</f>
        <v>-0.56809906407728983</v>
      </c>
      <c r="N86" s="79">
        <f t="shared" si="52"/>
        <v>1.7271373767191827E-2</v>
      </c>
      <c r="O86" s="79">
        <f t="shared" si="52"/>
        <v>-0.41407937216776364</v>
      </c>
      <c r="P86" s="79">
        <f t="shared" si="52"/>
        <v>-0.11856095164572929</v>
      </c>
      <c r="Q86" s="79">
        <f t="shared" si="52"/>
        <v>0.1106347759778304</v>
      </c>
      <c r="R86" s="79">
        <f t="shared" si="52"/>
        <v>2.5856278140487569E-2</v>
      </c>
      <c r="S86" s="79">
        <f t="shared" si="52"/>
        <v>5.410389455478011E-2</v>
      </c>
      <c r="T86" s="90" t="s">
        <v>149</v>
      </c>
      <c r="U86" s="14"/>
    </row>
    <row r="87" spans="11:21" x14ac:dyDescent="0.25">
      <c r="K87" s="117"/>
      <c r="L87" s="36" t="s">
        <v>97</v>
      </c>
      <c r="M87" s="8">
        <f t="shared" ref="M87:R87" si="53">M16/M12</f>
        <v>0.42628807814455399</v>
      </c>
      <c r="N87" s="8">
        <f t="shared" si="53"/>
        <v>0.46388962114935611</v>
      </c>
      <c r="O87" s="8">
        <f t="shared" si="53"/>
        <v>0.10617397923651264</v>
      </c>
      <c r="P87" s="8">
        <f t="shared" si="53"/>
        <v>0.35526748596090035</v>
      </c>
      <c r="Q87" s="8">
        <f t="shared" si="53"/>
        <v>0.90294228681987643</v>
      </c>
      <c r="R87" s="67">
        <f t="shared" si="53"/>
        <v>8.5375218056700106E-2</v>
      </c>
      <c r="S87" s="67">
        <f t="shared" ref="S87" si="54">S16/S12</f>
        <v>6.9645964856768092E-2</v>
      </c>
      <c r="T87" s="90" t="s">
        <v>149</v>
      </c>
      <c r="U87" s="14"/>
    </row>
    <row r="88" spans="11:21" x14ac:dyDescent="0.25">
      <c r="K88" s="117"/>
      <c r="L88" s="36" t="s">
        <v>98</v>
      </c>
      <c r="M88" s="8">
        <f t="shared" ref="M88:S88" si="55">(M16 -C72)/M12</f>
        <v>-0.5763254849533197</v>
      </c>
      <c r="N88" s="8">
        <f t="shared" si="55"/>
        <v>-0.49131486781652489</v>
      </c>
      <c r="O88" s="8">
        <f t="shared" si="55"/>
        <v>-1.4817469186790408</v>
      </c>
      <c r="P88" s="8">
        <f t="shared" si="55"/>
        <v>-0.91266035485136543</v>
      </c>
      <c r="Q88" s="8">
        <f t="shared" si="55"/>
        <v>0.29967910905573125</v>
      </c>
      <c r="R88" s="67">
        <f t="shared" si="55"/>
        <v>-0.45260544312332113</v>
      </c>
      <c r="S88" s="67">
        <f t="shared" si="55"/>
        <v>-5.6258006236571192E-2</v>
      </c>
      <c r="T88" s="90" t="s">
        <v>149</v>
      </c>
      <c r="U88" s="14"/>
    </row>
    <row r="89" spans="11:21" x14ac:dyDescent="0.25">
      <c r="K89" s="117"/>
      <c r="L89" s="36" t="s">
        <v>99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76" t="s">
        <v>149</v>
      </c>
      <c r="S89" s="76" t="s">
        <v>149</v>
      </c>
      <c r="T89" s="90" t="s">
        <v>149</v>
      </c>
      <c r="U89" s="14"/>
    </row>
    <row r="90" spans="11:21" x14ac:dyDescent="0.25">
      <c r="K90" s="117"/>
      <c r="L90" s="36" t="s">
        <v>105</v>
      </c>
      <c r="M90" s="80">
        <f t="shared" ref="M90:T90" si="56">(C21+C20)/C20</f>
        <v>-11.673930440135432</v>
      </c>
      <c r="N90" s="80">
        <f t="shared" si="56"/>
        <v>0.29718364410999903</v>
      </c>
      <c r="O90" s="80">
        <f t="shared" si="56"/>
        <v>-5.5230934479054783</v>
      </c>
      <c r="P90" s="80">
        <f t="shared" si="56"/>
        <v>-1.6306052684496253</v>
      </c>
      <c r="Q90" s="80">
        <f t="shared" si="56"/>
        <v>1.5246699987184433</v>
      </c>
      <c r="R90" s="80">
        <f t="shared" si="56"/>
        <v>0.94177328843995145</v>
      </c>
      <c r="S90" s="80">
        <f t="shared" si="56"/>
        <v>4.4333887205551665</v>
      </c>
      <c r="T90" s="91">
        <f t="shared" si="56"/>
        <v>8.012725779967159</v>
      </c>
      <c r="U90" s="14"/>
    </row>
    <row r="91" spans="11:21" x14ac:dyDescent="0.25">
      <c r="K91" s="117"/>
      <c r="L91" s="36" t="s">
        <v>100</v>
      </c>
      <c r="M91" s="8">
        <f t="shared" ref="M91:S91" si="57">AVERAGE(L39:M39)/C4*365</f>
        <v>209.27734805060126</v>
      </c>
      <c r="N91" s="8">
        <f t="shared" si="57"/>
        <v>197.58986638112199</v>
      </c>
      <c r="O91" s="8">
        <f t="shared" si="57"/>
        <v>497.73983658828217</v>
      </c>
      <c r="P91" s="8">
        <f t="shared" si="57"/>
        <v>268.58181111346727</v>
      </c>
      <c r="Q91" s="8">
        <f t="shared" si="57"/>
        <v>223.24672702737539</v>
      </c>
      <c r="R91" s="67">
        <f t="shared" si="57"/>
        <v>311.65266277233303</v>
      </c>
      <c r="S91" s="67">
        <f t="shared" si="57"/>
        <v>229.5469440590719</v>
      </c>
      <c r="T91" s="90" t="s">
        <v>149</v>
      </c>
      <c r="U91" s="14"/>
    </row>
    <row r="92" spans="11:21" x14ac:dyDescent="0.25">
      <c r="K92" s="117"/>
      <c r="L92" s="36" t="s">
        <v>101</v>
      </c>
      <c r="M92" s="8">
        <f t="shared" ref="M92:S92" si="58">(AVERAGE(SUM(L61:L62),SUM(M61:M62))/C12)*365</f>
        <v>74.333360779419493</v>
      </c>
      <c r="N92" s="8">
        <f t="shared" si="58"/>
        <v>150.89542094438428</v>
      </c>
      <c r="O92" s="8">
        <f t="shared" si="58"/>
        <v>212.14142971879915</v>
      </c>
      <c r="P92" s="8">
        <f t="shared" si="58"/>
        <v>184.37734208528252</v>
      </c>
      <c r="Q92" s="8">
        <f t="shared" si="58"/>
        <v>135.35280449654064</v>
      </c>
      <c r="R92" s="67">
        <f t="shared" si="58"/>
        <v>126.49213800804326</v>
      </c>
      <c r="S92" s="67">
        <f t="shared" si="58"/>
        <v>92.534441588233648</v>
      </c>
      <c r="T92" s="90" t="s">
        <v>149</v>
      </c>
    </row>
    <row r="93" spans="11:21" x14ac:dyDescent="0.25">
      <c r="K93" s="117"/>
      <c r="L93" s="36" t="s">
        <v>102</v>
      </c>
      <c r="M93" s="17">
        <v>0</v>
      </c>
      <c r="N93" s="8">
        <v>0</v>
      </c>
      <c r="O93" s="8">
        <v>0</v>
      </c>
      <c r="P93" s="8">
        <v>0</v>
      </c>
      <c r="Q93" s="8">
        <v>0</v>
      </c>
      <c r="R93" s="67">
        <v>0</v>
      </c>
      <c r="S93" s="67">
        <v>0</v>
      </c>
      <c r="T93" s="90" t="s">
        <v>149</v>
      </c>
      <c r="U93" s="13"/>
    </row>
    <row r="94" spans="11:21" x14ac:dyDescent="0.25">
      <c r="K94" s="117"/>
      <c r="L94" s="36" t="s">
        <v>103</v>
      </c>
      <c r="M94" s="8">
        <f t="shared" ref="M94:Q94" si="59">M93+M91-M92</f>
        <v>134.94398727118175</v>
      </c>
      <c r="N94" s="8">
        <f t="shared" si="59"/>
        <v>46.694445436737709</v>
      </c>
      <c r="O94" s="8">
        <f t="shared" si="59"/>
        <v>285.59840686948303</v>
      </c>
      <c r="P94" s="8">
        <f t="shared" si="59"/>
        <v>84.204469028184747</v>
      </c>
      <c r="Q94" s="8">
        <f t="shared" si="59"/>
        <v>87.893922530834743</v>
      </c>
      <c r="R94" s="67">
        <f t="shared" ref="R94" si="60">R93+R91-R92</f>
        <v>185.16052476428979</v>
      </c>
      <c r="S94" s="67">
        <f t="shared" ref="S94" si="61">S93+S91-S92</f>
        <v>137.01250247083826</v>
      </c>
      <c r="T94" s="90" t="s">
        <v>149</v>
      </c>
    </row>
    <row r="95" spans="11:21" x14ac:dyDescent="0.25">
      <c r="K95" s="117"/>
      <c r="L95" s="36" t="s">
        <v>104</v>
      </c>
      <c r="M95" s="8">
        <f t="shared" ref="M95:S95" si="62">(AVERAGE(L70:M70)/C4)*365</f>
        <v>-45.377733739620865</v>
      </c>
      <c r="N95" s="8">
        <f t="shared" si="62"/>
        <v>-35.26579344841263</v>
      </c>
      <c r="O95" s="8">
        <f t="shared" si="62"/>
        <v>9.9200278995614539</v>
      </c>
      <c r="P95" s="8">
        <f t="shared" si="62"/>
        <v>7.7521911887956128</v>
      </c>
      <c r="Q95" s="8">
        <f t="shared" si="62"/>
        <v>9.5083057352318079</v>
      </c>
      <c r="R95" s="8">
        <f t="shared" si="62"/>
        <v>269.0291554094851</v>
      </c>
      <c r="S95" s="67">
        <f t="shared" si="62"/>
        <v>239.92380363943283</v>
      </c>
      <c r="T95" s="90" t="s">
        <v>149</v>
      </c>
    </row>
    <row r="96" spans="11:21" x14ac:dyDescent="0.25">
      <c r="K96" s="117"/>
      <c r="L96" s="36" t="s">
        <v>155</v>
      </c>
      <c r="M96" s="8">
        <f t="shared" ref="M96:R96" si="63">M44/M68</f>
        <v>0.88744027318386531</v>
      </c>
      <c r="N96" s="8">
        <f t="shared" si="63"/>
        <v>0.95687143925137264</v>
      </c>
      <c r="O96" s="8">
        <f t="shared" si="63"/>
        <v>1.0967375258788188</v>
      </c>
      <c r="P96" s="8">
        <f t="shared" si="63"/>
        <v>0.94241158443495932</v>
      </c>
      <c r="Q96" s="8">
        <f t="shared" si="63"/>
        <v>1.0936169200904455</v>
      </c>
      <c r="R96" s="8">
        <f t="shared" si="63"/>
        <v>2.3288819555168097</v>
      </c>
      <c r="S96" s="67">
        <f>S44/S68</f>
        <v>1.9261590115444318</v>
      </c>
      <c r="T96" s="90" t="s">
        <v>149</v>
      </c>
    </row>
    <row r="97" spans="11:20" ht="15.75" thickBot="1" x14ac:dyDescent="0.3">
      <c r="K97" s="118"/>
      <c r="L97" s="37" t="s">
        <v>156</v>
      </c>
      <c r="M97" s="38">
        <f t="shared" ref="M97:S97" si="64">C4/AVERAGE(L39:M39)</f>
        <v>1.7440970243551943</v>
      </c>
      <c r="N97" s="38">
        <f t="shared" si="64"/>
        <v>1.847260725891521</v>
      </c>
      <c r="O97" s="38">
        <f t="shared" si="64"/>
        <v>0.73331482266290615</v>
      </c>
      <c r="P97" s="38">
        <f t="shared" si="64"/>
        <v>1.3589900168101823</v>
      </c>
      <c r="Q97" s="38">
        <f t="shared" si="64"/>
        <v>1.6349623793375583</v>
      </c>
      <c r="R97" s="38">
        <f t="shared" si="64"/>
        <v>1.1711756182447188</v>
      </c>
      <c r="S97" s="129">
        <f t="shared" si="64"/>
        <v>1.5900886918628307</v>
      </c>
      <c r="T97" s="128" t="s">
        <v>149</v>
      </c>
    </row>
  </sheetData>
  <mergeCells count="4">
    <mergeCell ref="K2:K97"/>
    <mergeCell ref="L2:S2"/>
    <mergeCell ref="B1:S1"/>
    <mergeCell ref="B2:J2"/>
  </mergeCells>
  <phoneticPr fontId="13" type="noConversion"/>
  <pageMargins left="0.25" right="0.25" top="0.75" bottom="0.75" header="0.3" footer="0.3"/>
  <pageSetup scale="44" fitToHeight="0" orientation="portrait" r:id="rId1"/>
  <ignoredErrors>
    <ignoredError sqref="C58:E58 C12:H12 N91:R92 S91:S92 N97:S97 I12:J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DELL</cp:lastModifiedBy>
  <cp:lastPrinted>2024-02-23T12:52:55Z</cp:lastPrinted>
  <dcterms:created xsi:type="dcterms:W3CDTF">2023-11-23T05:15:14Z</dcterms:created>
  <dcterms:modified xsi:type="dcterms:W3CDTF">2025-08-20T07:17:15Z</dcterms:modified>
</cp:coreProperties>
</file>