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907409E-54D6-4B71-958F-881E0FD3FC2D}" xr6:coauthVersionLast="47" xr6:coauthVersionMax="47" xr10:uidLastSave="{00000000-0000-0000-0000-000000000000}"/>
  <bookViews>
    <workbookView xWindow="-108" yWindow="-108" windowWidth="23256" windowHeight="12456" xr2:uid="{DE7C9ECD-EB14-47B5-93AF-E835EEB1D464}"/>
  </bookViews>
  <sheets>
    <sheet name="Sheet1" sheetId="1" r:id="rId1"/>
  </sheets>
  <definedNames>
    <definedName name="_xlnm.Print_Area" localSheetId="0">Sheet1!$I$2:$P$59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55" i="1"/>
  <c r="G54" i="1"/>
  <c r="P61" i="1"/>
  <c r="P64" i="1" s="1"/>
  <c r="G7" i="1"/>
  <c r="G13" i="1" s="1"/>
  <c r="G20" i="1" s="1"/>
  <c r="G22" i="1" l="1"/>
  <c r="G16" i="1"/>
  <c r="O61" i="1"/>
  <c r="O64" i="1" s="1"/>
  <c r="N41" i="1"/>
  <c r="N38" i="1"/>
  <c r="L41" i="1"/>
  <c r="M41" i="1"/>
  <c r="O41" i="1"/>
  <c r="O38" i="1" s="1"/>
  <c r="E49" i="1"/>
  <c r="F50" i="1"/>
  <c r="B50" i="1"/>
  <c r="G25" i="1" l="1"/>
  <c r="G24" i="1"/>
  <c r="E37" i="1"/>
  <c r="E6" i="1"/>
  <c r="B59" i="1"/>
  <c r="B58" i="1"/>
  <c r="B54" i="1"/>
  <c r="B56" i="1" s="1"/>
  <c r="B49" i="1"/>
  <c r="B51" i="1" s="1"/>
  <c r="B45" i="1"/>
  <c r="B46" i="1" s="1"/>
  <c r="B7" i="1"/>
  <c r="K72" i="1" s="1"/>
  <c r="K61" i="1"/>
  <c r="K64" i="1" s="1"/>
  <c r="C54" i="1"/>
  <c r="C56" i="1" s="1"/>
  <c r="C59" i="1"/>
  <c r="C58" i="1"/>
  <c r="D58" i="1"/>
  <c r="C50" i="1"/>
  <c r="D50" i="1"/>
  <c r="C49" i="1"/>
  <c r="C45" i="1"/>
  <c r="C46" i="1" s="1"/>
  <c r="F37" i="1"/>
  <c r="F6" i="1"/>
  <c r="E36" i="1"/>
  <c r="D36" i="1"/>
  <c r="C36" i="1"/>
  <c r="C5" i="1"/>
  <c r="C7" i="1"/>
  <c r="C13" i="1" s="1"/>
  <c r="L78" i="1" s="1"/>
  <c r="L6" i="1"/>
  <c r="K6" i="1"/>
  <c r="L10" i="1"/>
  <c r="C57" i="1" s="1"/>
  <c r="K10" i="1"/>
  <c r="B57" i="1" s="1"/>
  <c r="K76" i="1"/>
  <c r="K73" i="1"/>
  <c r="L76" i="1"/>
  <c r="L73" i="1"/>
  <c r="L61" i="1"/>
  <c r="L64" i="1" s="1"/>
  <c r="L47" i="1"/>
  <c r="K47" i="1"/>
  <c r="K38" i="1"/>
  <c r="L26" i="1"/>
  <c r="K26" i="1"/>
  <c r="L14" i="1"/>
  <c r="K14" i="1"/>
  <c r="G30" i="1" l="1"/>
  <c r="G28" i="1"/>
  <c r="K62" i="1"/>
  <c r="K65" i="1" s="1"/>
  <c r="L72" i="1"/>
  <c r="L74" i="1" s="1"/>
  <c r="L56" i="1"/>
  <c r="K70" i="1"/>
  <c r="L70" i="1"/>
  <c r="L38" i="1"/>
  <c r="C60" i="1"/>
  <c r="L66" i="1" s="1"/>
  <c r="B60" i="1"/>
  <c r="B13" i="1"/>
  <c r="K69" i="1"/>
  <c r="K11" i="1"/>
  <c r="K74" i="1"/>
  <c r="K56" i="1"/>
  <c r="K12" i="1" s="1"/>
  <c r="C51" i="1"/>
  <c r="L77" i="1"/>
  <c r="C16" i="1"/>
  <c r="C20" i="1"/>
  <c r="C22" i="1" s="1"/>
  <c r="L62" i="1"/>
  <c r="L65" i="1" s="1"/>
  <c r="L69" i="1"/>
  <c r="L11" i="1"/>
  <c r="K53" i="1"/>
  <c r="K75" i="1" s="1"/>
  <c r="K57" i="1"/>
  <c r="D5" i="1"/>
  <c r="L12" i="1" l="1"/>
  <c r="L68" i="1" s="1"/>
  <c r="L53" i="1"/>
  <c r="L75" i="1" s="1"/>
  <c r="L57" i="1"/>
  <c r="K68" i="1"/>
  <c r="B16" i="1"/>
  <c r="B20" i="1"/>
  <c r="B22" i="1" s="1"/>
  <c r="K78" i="1"/>
  <c r="C14" i="1"/>
  <c r="K77" i="1"/>
  <c r="K66" i="1"/>
  <c r="C25" i="1"/>
  <c r="C24" i="1"/>
  <c r="D54" i="1"/>
  <c r="D56" i="1" s="1"/>
  <c r="E54" i="1"/>
  <c r="F54" i="1"/>
  <c r="F56" i="1" s="1"/>
  <c r="B25" i="1" l="1"/>
  <c r="C26" i="1" s="1"/>
  <c r="B24" i="1"/>
  <c r="C30" i="1"/>
  <c r="C28" i="1"/>
  <c r="L67" i="1"/>
  <c r="B30" i="1" l="1"/>
  <c r="B28" i="1"/>
  <c r="K67" i="1"/>
  <c r="N77" i="1"/>
  <c r="M76" i="1"/>
  <c r="O77" i="1"/>
  <c r="M73" i="1"/>
  <c r="N74" i="1"/>
  <c r="O74" i="1"/>
  <c r="O72" i="1"/>
  <c r="N72" i="1"/>
  <c r="M6" i="1"/>
  <c r="N6" i="1"/>
  <c r="O6" i="1"/>
  <c r="O62" i="1" s="1"/>
  <c r="O65" i="1" s="1"/>
  <c r="M10" i="1"/>
  <c r="D57" i="1" s="1"/>
  <c r="N10" i="1"/>
  <c r="O10" i="1"/>
  <c r="F57" i="1" s="1"/>
  <c r="M14" i="1"/>
  <c r="N14" i="1"/>
  <c r="O14" i="1"/>
  <c r="M26" i="1"/>
  <c r="N26" i="1"/>
  <c r="N53" i="1" s="1"/>
  <c r="O26" i="1"/>
  <c r="O53" i="1" s="1"/>
  <c r="M38" i="1"/>
  <c r="M47" i="1"/>
  <c r="N47" i="1"/>
  <c r="O47" i="1"/>
  <c r="M61" i="1"/>
  <c r="M64" i="1" s="1"/>
  <c r="N61" i="1"/>
  <c r="N64" i="1" s="1"/>
  <c r="D59" i="1"/>
  <c r="E59" i="1"/>
  <c r="D49" i="1"/>
  <c r="D45" i="1"/>
  <c r="D46" i="1" s="1"/>
  <c r="D7" i="1"/>
  <c r="D13" i="1" s="1"/>
  <c r="N57" i="1" l="1"/>
  <c r="M56" i="1"/>
  <c r="M57" i="1"/>
  <c r="M53" i="1"/>
  <c r="O56" i="1"/>
  <c r="M78" i="1"/>
  <c r="D14" i="1"/>
  <c r="M70" i="1"/>
  <c r="C31" i="1"/>
  <c r="D20" i="1"/>
  <c r="D22" i="1" s="1"/>
  <c r="D25" i="1" s="1"/>
  <c r="D26" i="1" s="1"/>
  <c r="O69" i="1"/>
  <c r="N11" i="1"/>
  <c r="N56" i="1"/>
  <c r="M69" i="1"/>
  <c r="N69" i="1"/>
  <c r="M77" i="1"/>
  <c r="M12" i="1"/>
  <c r="M68" i="1" s="1"/>
  <c r="D60" i="1"/>
  <c r="M66" i="1" s="1"/>
  <c r="M11" i="1"/>
  <c r="M62" i="1"/>
  <c r="M65" i="1" s="1"/>
  <c r="O12" i="1"/>
  <c r="O11" i="1"/>
  <c r="M72" i="1"/>
  <c r="M74" i="1" s="1"/>
  <c r="O57" i="1"/>
  <c r="D51" i="1"/>
  <c r="D16" i="1"/>
  <c r="D24" i="1" l="1"/>
  <c r="D30" i="1"/>
  <c r="D31" i="1" s="1"/>
  <c r="M67" i="1"/>
  <c r="D28" i="1"/>
  <c r="M75" i="1"/>
  <c r="N76" i="1"/>
  <c r="O76" i="1"/>
  <c r="N12" i="1"/>
  <c r="F59" i="1" l="1"/>
  <c r="E58" i="1"/>
  <c r="F58" i="1"/>
  <c r="E56" i="1" l="1"/>
  <c r="N62" i="1"/>
  <c r="N65" i="1" s="1"/>
  <c r="E50" i="1"/>
  <c r="E41" i="1"/>
  <c r="F49" i="1"/>
  <c r="F51" i="1" s="1"/>
  <c r="F45" i="1"/>
  <c r="E45" i="1"/>
  <c r="E46" i="1" l="1"/>
  <c r="F41" i="1" s="1"/>
  <c r="F46" i="1" s="1"/>
  <c r="E51" i="1"/>
  <c r="F36" i="1" l="1"/>
  <c r="E7" i="1"/>
  <c r="E5" i="1"/>
  <c r="N73" i="1" l="1"/>
  <c r="N75" i="1" s="1"/>
  <c r="E13" i="1"/>
  <c r="E57" i="1"/>
  <c r="N70" i="1" s="1"/>
  <c r="E14" i="1" l="1"/>
  <c r="E15" i="1"/>
  <c r="E16" i="1"/>
  <c r="N68" i="1"/>
  <c r="N78" i="1"/>
  <c r="E60" i="1"/>
  <c r="N66" i="1" s="1"/>
  <c r="E20" i="1"/>
  <c r="E22" i="1" s="1"/>
  <c r="E25" i="1" l="1"/>
  <c r="E27" i="1" s="1"/>
  <c r="E24" i="1"/>
  <c r="F60" i="1"/>
  <c r="O70" i="1"/>
  <c r="F7" i="1"/>
  <c r="O73" i="1" s="1"/>
  <c r="O75" i="1" s="1"/>
  <c r="F5" i="1"/>
  <c r="E28" i="1" l="1"/>
  <c r="E26" i="1"/>
  <c r="N67" i="1"/>
  <c r="E30" i="1"/>
  <c r="F13" i="1"/>
  <c r="O68" i="1" s="1"/>
  <c r="O66" i="1" l="1"/>
  <c r="F16" i="1"/>
  <c r="F15" i="1"/>
  <c r="E31" i="1"/>
  <c r="E32" i="1"/>
  <c r="F14" i="1"/>
  <c r="F20" i="1"/>
  <c r="F22" i="1" s="1"/>
  <c r="O78" i="1"/>
  <c r="F25" i="1" l="1"/>
  <c r="F24" i="1"/>
  <c r="F27" i="1" l="1"/>
  <c r="O67" i="1"/>
  <c r="F26" i="1"/>
  <c r="F30" i="1"/>
  <c r="F32" i="1" s="1"/>
  <c r="F28" i="1"/>
  <c r="F31" i="1" l="1"/>
</calcChain>
</file>

<file path=xl/sharedStrings.xml><?xml version="1.0" encoding="utf-8"?>
<sst xmlns="http://schemas.openxmlformats.org/spreadsheetml/2006/main" count="189" uniqueCount="125">
  <si>
    <t>Income statement</t>
  </si>
  <si>
    <t>Revenue from operations</t>
  </si>
  <si>
    <t>Growth</t>
  </si>
  <si>
    <t>Expenses</t>
  </si>
  <si>
    <t>Cost of Materials Consumed</t>
  </si>
  <si>
    <t>Purchases of stock-in-trade</t>
  </si>
  <si>
    <t>Other operating expenses</t>
  </si>
  <si>
    <t>Employee Benefit expenses</t>
  </si>
  <si>
    <t>EBITDA Margins</t>
  </si>
  <si>
    <t>Other Expenses</t>
  </si>
  <si>
    <t>Finance Cost</t>
  </si>
  <si>
    <t>Depreciation &amp; Amortization Expenses</t>
  </si>
  <si>
    <t>Other Income</t>
  </si>
  <si>
    <t>Profit/(loss) from JV</t>
  </si>
  <si>
    <t>PBT</t>
  </si>
  <si>
    <t>Tax</t>
  </si>
  <si>
    <t>PAT</t>
  </si>
  <si>
    <t>Profit before Profit/(loss) from JV &amp; Tax</t>
  </si>
  <si>
    <t>PAT Margins</t>
  </si>
  <si>
    <t>FY25</t>
  </si>
  <si>
    <t>INR (Mn)</t>
  </si>
  <si>
    <t>EBITDA</t>
  </si>
  <si>
    <t xml:space="preserve">Balance sheet </t>
  </si>
  <si>
    <t>Share Capital</t>
  </si>
  <si>
    <t>Other Equity</t>
  </si>
  <si>
    <t>Networth</t>
  </si>
  <si>
    <t>non-controlling int</t>
  </si>
  <si>
    <t>Long-term debt</t>
  </si>
  <si>
    <t>short-term debt</t>
  </si>
  <si>
    <t xml:space="preserve">Loans </t>
  </si>
  <si>
    <t>Capital Employed</t>
  </si>
  <si>
    <t>Property, plant &amp; equipment</t>
  </si>
  <si>
    <t>Goodwill</t>
  </si>
  <si>
    <t>Intangible assets under development</t>
  </si>
  <si>
    <t>Capital Work-in-progress</t>
  </si>
  <si>
    <t>Right of use assets</t>
  </si>
  <si>
    <t>Financial assets</t>
  </si>
  <si>
    <t>(i) Investments</t>
  </si>
  <si>
    <t>(ii) Other financial assets</t>
  </si>
  <si>
    <t>Other non-current assets</t>
  </si>
  <si>
    <t>Investment property</t>
  </si>
  <si>
    <t>(ii) Loans</t>
  </si>
  <si>
    <t>Inventories</t>
  </si>
  <si>
    <t>Current tax assets (net)</t>
  </si>
  <si>
    <t>Other current assets</t>
  </si>
  <si>
    <t>(i)Trade Receivable</t>
  </si>
  <si>
    <t>(ii)Cash and cash equivalents</t>
  </si>
  <si>
    <t>(iii)Other bank balances</t>
  </si>
  <si>
    <t>(iv)Loans</t>
  </si>
  <si>
    <t>(v) Other financial assets</t>
  </si>
  <si>
    <t>Assets classified as held for sale</t>
  </si>
  <si>
    <t>CURRENT LIABILITIES &amp; PROVISIONS</t>
  </si>
  <si>
    <t>Financial liabilities</t>
  </si>
  <si>
    <t>Other Current liabilities</t>
  </si>
  <si>
    <t>Provisions</t>
  </si>
  <si>
    <t>Current Tax Liabilities (net)</t>
  </si>
  <si>
    <t>NON CURRENT LIABILITIES</t>
  </si>
  <si>
    <t>Other non-current liabilities</t>
  </si>
  <si>
    <t>TOTAL ASSETS</t>
  </si>
  <si>
    <t>TOTAL EQUITIES &amp; LIABILITIES</t>
  </si>
  <si>
    <t>NON-CURRENT ASSETS</t>
  </si>
  <si>
    <t>CURRENT ASSETS, LOANS &amp; ADVANCES</t>
  </si>
  <si>
    <t>Deferred Tax Liabilities (net)</t>
  </si>
  <si>
    <t>FY24</t>
  </si>
  <si>
    <t>FY23</t>
  </si>
  <si>
    <t>Other Comprehensive Income</t>
  </si>
  <si>
    <t>Total Comprehensive Income</t>
  </si>
  <si>
    <t>Growth (%)</t>
  </si>
  <si>
    <t>EPS</t>
  </si>
  <si>
    <t>Basic</t>
  </si>
  <si>
    <t>Diluted</t>
  </si>
  <si>
    <t>CAGR (%) - 3 years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</si>
  <si>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</si>
  <si>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</si>
  <si>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</si>
  <si>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</si>
  <si>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Equivalents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</si>
  <si>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</si>
  <si>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</si>
  <si>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</si>
  <si>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</si>
  <si>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</si>
  <si>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 of Shares</t>
  </si>
  <si>
    <t>Face value</t>
  </si>
  <si>
    <t>Market Cap</t>
  </si>
  <si>
    <t>Total Debt</t>
  </si>
  <si>
    <t>Cash</t>
  </si>
  <si>
    <t>Bank</t>
  </si>
  <si>
    <t>EV</t>
  </si>
  <si>
    <t xml:space="preserve">Our Calculations </t>
  </si>
  <si>
    <t>CMP(INR)</t>
  </si>
  <si>
    <t>EPS (INR)</t>
  </si>
  <si>
    <t>BVPS (INR)</t>
  </si>
  <si>
    <t>DPS (INR)</t>
  </si>
  <si>
    <t>P/E (x)</t>
  </si>
  <si>
    <t>P/BV (x)</t>
  </si>
  <si>
    <t>EV/EBIDTA (x)</t>
  </si>
  <si>
    <t>ROE (%)</t>
  </si>
  <si>
    <t>ROCE (%)</t>
  </si>
  <si>
    <t>Gross D/E (x)</t>
  </si>
  <si>
    <t>Net D/E (x)</t>
  </si>
  <si>
    <t>Dividend Yield (%)</t>
  </si>
  <si>
    <t>Debtor Days</t>
  </si>
  <si>
    <t>Creditor Days</t>
  </si>
  <si>
    <t>Inventory Days</t>
  </si>
  <si>
    <t>Cash Conversion cycle</t>
  </si>
  <si>
    <t>Fixed Asset Turnover</t>
  </si>
  <si>
    <t>Interest Coverage Ratio</t>
  </si>
  <si>
    <t>Working Capital Days (Average Current Assets/Turnover)</t>
  </si>
  <si>
    <t xml:space="preserve">Net Current Assets </t>
  </si>
  <si>
    <t>Effective tax rate (%)</t>
  </si>
  <si>
    <t>FY22</t>
  </si>
  <si>
    <t>FY21</t>
  </si>
  <si>
    <t>South West Pinnacle Exploration Ltd.</t>
  </si>
  <si>
    <t>(INR Mn)</t>
  </si>
  <si>
    <t xml:space="preserve">CASH FLOW STATEMENT </t>
  </si>
  <si>
    <t>(ii)Trade Payables</t>
  </si>
  <si>
    <t>(iii)Lease Liabilities</t>
  </si>
  <si>
    <t>Other Financial liabilities</t>
  </si>
  <si>
    <t>(ii)Lease Liabilities</t>
  </si>
  <si>
    <t>(iii)Other Financial liabilities</t>
  </si>
  <si>
    <t>Q1 FY26</t>
  </si>
  <si>
    <t>NA</t>
  </si>
  <si>
    <t>TTM</t>
  </si>
  <si>
    <t>Q1-FY26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</si>
</sst>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4" fillId="0" borderId="1" xfId="0" applyFont="1" applyBorder="1"/>
    <xf numFmtId="43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left" indent="1"/>
    </xf>
    <xf numFmtId="0" fontId="2" fillId="0" borderId="1" xfId="0" applyFont="1" applyBorder="1" applyAlignment="1">
      <alignment wrapText="1"/>
    </xf>
    <xf numFmtId="0" fontId="6" fillId="0" borderId="1" xfId="0" applyFont="1" applyBorder="1"/>
    <xf numFmtId="166" fontId="4" fillId="0" borderId="1" xfId="2" applyNumberFormat="1" applyFont="1" applyFill="1" applyBorder="1"/>
    <xf numFmtId="2" fontId="0" fillId="0" borderId="1" xfId="0" applyNumberFormat="1" applyBorder="1"/>
    <xf numFmtId="2" fontId="0" fillId="0" borderId="0" xfId="0" applyNumberFormat="1"/>
    <xf numFmtId="2" fontId="6" fillId="0" borderId="1" xfId="1" applyNumberFormat="1" applyFont="1" applyFill="1" applyBorder="1" applyAlignment="1"/>
    <xf numFmtId="2" fontId="0" fillId="0" borderId="1" xfId="1" applyNumberFormat="1" applyFont="1" applyFill="1" applyBorder="1" applyAlignment="1"/>
    <xf numFmtId="2" fontId="0" fillId="0" borderId="2" xfId="0" applyNumberFormat="1" applyBorder="1"/>
    <xf numFmtId="0" fontId="9" fillId="2" borderId="1" xfId="0" applyFont="1" applyFill="1" applyBorder="1"/>
    <xf numFmtId="2" fontId="0" fillId="0" borderId="1" xfId="1" applyNumberFormat="1" applyFont="1" applyFill="1" applyBorder="1"/>
    <xf numFmtId="0" fontId="8" fillId="2" borderId="1" xfId="0" applyFont="1" applyFill="1" applyBorder="1" applyAlignment="1">
      <alignment horizontal="right"/>
    </xf>
    <xf numFmtId="0" fontId="0" fillId="3" borderId="1" xfId="0" applyFill="1" applyBorder="1"/>
    <xf numFmtId="0" fontId="10" fillId="3" borderId="1" xfId="0" applyFont="1" applyFill="1" applyBorder="1"/>
    <xf numFmtId="10" fontId="10" fillId="3" borderId="1" xfId="2" applyNumberFormat="1" applyFont="1" applyFill="1" applyBorder="1"/>
    <xf numFmtId="166" fontId="10" fillId="3" borderId="1" xfId="2" applyNumberFormat="1" applyFont="1" applyFill="1" applyBorder="1"/>
    <xf numFmtId="0" fontId="5" fillId="3" borderId="1" xfId="0" applyFont="1" applyFill="1" applyBorder="1"/>
    <xf numFmtId="0" fontId="11" fillId="3" borderId="1" xfId="0" applyFont="1" applyFill="1" applyBorder="1"/>
    <xf numFmtId="166" fontId="11" fillId="3" borderId="1" xfId="2" applyNumberFormat="1" applyFont="1" applyFill="1" applyBorder="1"/>
    <xf numFmtId="10" fontId="11" fillId="3" borderId="1" xfId="2" applyNumberFormat="1" applyFont="1" applyFill="1" applyBorder="1"/>
    <xf numFmtId="0" fontId="8" fillId="2" borderId="1" xfId="0" applyFont="1" applyFill="1" applyBorder="1"/>
    <xf numFmtId="0" fontId="2" fillId="4" borderId="1" xfId="0" applyFont="1" applyFill="1" applyBorder="1"/>
    <xf numFmtId="0" fontId="12" fillId="4" borderId="1" xfId="0" applyFont="1" applyFill="1" applyBorder="1"/>
    <xf numFmtId="165" fontId="0" fillId="4" borderId="1" xfId="0" applyNumberFormat="1" applyFill="1" applyBorder="1"/>
    <xf numFmtId="0" fontId="6" fillId="3" borderId="1" xfId="0" applyFont="1" applyFill="1" applyBorder="1"/>
    <xf numFmtId="0" fontId="6" fillId="4" borderId="1" xfId="0" applyFont="1" applyFill="1" applyBorder="1"/>
    <xf numFmtId="2" fontId="0" fillId="4" borderId="1" xfId="0" applyNumberFormat="1" applyFill="1" applyBorder="1"/>
    <xf numFmtId="2" fontId="7" fillId="4" borderId="1" xfId="1" applyNumberFormat="1" applyFont="1" applyFill="1" applyBorder="1" applyAlignment="1"/>
    <xf numFmtId="2" fontId="6" fillId="4" borderId="1" xfId="1" applyNumberFormat="1" applyFont="1" applyFill="1" applyBorder="1" applyAlignment="1"/>
    <xf numFmtId="0" fontId="0" fillId="4" borderId="1" xfId="0" applyFill="1" applyBorder="1"/>
    <xf numFmtId="2" fontId="0" fillId="4" borderId="1" xfId="1" applyNumberFormat="1" applyFont="1" applyFill="1" applyBorder="1" applyAlignment="1"/>
    <xf numFmtId="2" fontId="2" fillId="4" borderId="1" xfId="0" applyNumberFormat="1" applyFont="1" applyFill="1" applyBorder="1"/>
    <xf numFmtId="9" fontId="6" fillId="4" borderId="1" xfId="2" applyFont="1" applyFill="1" applyBorder="1" applyAlignment="1"/>
    <xf numFmtId="43" fontId="0" fillId="0" borderId="1" xfId="1" applyFont="1" applyFill="1" applyBorder="1" applyAlignment="1"/>
    <xf numFmtId="0" fontId="0" fillId="5" borderId="0" xfId="0" applyFill="1"/>
    <xf numFmtId="2" fontId="2" fillId="5" borderId="1" xfId="0" applyNumberFormat="1" applyFont="1" applyFill="1" applyBorder="1"/>
    <xf numFmtId="2" fontId="0" fillId="0" borderId="1" xfId="1" applyNumberFormat="1" applyFont="1" applyFill="1" applyBorder="1" applyAlignment="1">
      <alignment horizontal="right"/>
    </xf>
    <xf numFmtId="9" fontId="6" fillId="4" borderId="1" xfId="2" applyFont="1" applyFill="1" applyBorder="1" applyAlignment="1">
      <alignment horizontal="right"/>
    </xf>
    <xf numFmtId="2" fontId="6" fillId="0" borderId="1" xfId="1" applyNumberFormat="1" applyFont="1" applyFill="1" applyBorder="1" applyAlignment="1">
      <alignment horizontal="right"/>
    </xf>
    <xf numFmtId="2" fontId="6" fillId="4" borderId="1" xfId="1" applyNumberFormat="1" applyFont="1" applyFill="1" applyBorder="1" applyAlignment="1">
      <alignment horizontal="right"/>
    </xf>
    <xf numFmtId="43" fontId="0" fillId="0" borderId="1" xfId="1" applyFont="1" applyFill="1" applyBorder="1" applyAlignment="1">
      <alignment horizontal="right"/>
    </xf>
    <xf numFmtId="2" fontId="0" fillId="4" borderId="1" xfId="1" applyNumberFormat="1" applyFont="1" applyFill="1" applyBorder="1" applyAlignment="1">
      <alignment horizontal="right"/>
    </xf>
    <xf numFmtId="166" fontId="10" fillId="3" borderId="1" xfId="2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3" fontId="0" fillId="0" borderId="1" xfId="1" applyFont="1" applyBorder="1"/>
    <xf numFmtId="43" fontId="0" fillId="0" borderId="1" xfId="1" applyFont="1" applyFill="1" applyBorder="1"/>
    <xf numFmtId="43" fontId="0" fillId="0" borderId="1" xfId="1" applyNumberFormat="1" applyFont="1" applyBorder="1"/>
    <xf numFmtId="43" fontId="0" fillId="0" borderId="1" xfId="1" applyNumberFormat="1" applyFont="1" applyFill="1" applyBorder="1"/>
    <xf numFmtId="43" fontId="1" fillId="0" borderId="1" xfId="1" applyFont="1" applyFill="1" applyBorder="1"/>
    <xf numFmtId="43" fontId="0" fillId="3" borderId="1" xfId="1" applyFont="1" applyFill="1" applyBorder="1"/>
    <xf numFmtId="43" fontId="2" fillId="4" borderId="1" xfId="1" applyFont="1" applyFill="1" applyBorder="1"/>
    <xf numFmtId="43" fontId="2" fillId="0" borderId="1" xfId="1" applyFont="1" applyBorder="1"/>
    <xf numFmtId="43" fontId="2" fillId="0" borderId="1" xfId="1" applyFont="1" applyFill="1" applyBorder="1"/>
    <xf numFmtId="43" fontId="5" fillId="3" borderId="1" xfId="1" applyFont="1" applyFill="1" applyBorder="1"/>
    <xf numFmtId="43" fontId="0" fillId="4" borderId="1" xfId="1" applyFont="1" applyFill="1" applyBorder="1"/>
    <xf numFmtId="43" fontId="12" fillId="4" borderId="1" xfId="1" applyFont="1" applyFill="1" applyBorder="1"/>
    <xf numFmtId="43" fontId="0" fillId="0" borderId="1" xfId="1" applyNumberFormat="1" applyFont="1" applyFill="1" applyBorder="1" applyAlignment="1">
      <alignment horizontal="right"/>
    </xf>
    <xf numFmtId="43" fontId="2" fillId="4" borderId="1" xfId="1" applyFont="1" applyFill="1" applyBorder="1" applyAlignment="1">
      <alignment horizontal="right"/>
    </xf>
    <xf numFmtId="166" fontId="11" fillId="3" borderId="1" xfId="2" applyNumberFormat="1" applyFont="1" applyFill="1" applyBorder="1" applyAlignment="1">
      <alignment horizontal="right"/>
    </xf>
    <xf numFmtId="43" fontId="0" fillId="4" borderId="1" xfId="1" applyFont="1" applyFill="1" applyBorder="1" applyAlignment="1">
      <alignment horizontal="right"/>
    </xf>
    <xf numFmtId="166" fontId="4" fillId="0" borderId="1" xfId="2" applyNumberFormat="1" applyFont="1" applyFill="1" applyBorder="1" applyAlignment="1">
      <alignment horizontal="right"/>
    </xf>
    <xf numFmtId="43" fontId="12" fillId="4" borderId="1" xfId="1" applyFont="1" applyFill="1" applyBorder="1" applyAlignment="1">
      <alignment horizontal="right"/>
    </xf>
    <xf numFmtId="10" fontId="11" fillId="3" borderId="1" xfId="2" applyNumberFormat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</cellXfs>
  <cellStyles count="7">
    <cellStyle name="Comma" xfId="1" builtinId="3"/>
    <cellStyle name="Comma 2" xfId="4" xr:uid="{06849DB4-828E-4186-82DC-698DC24DD14B}"/>
    <cellStyle name="Comma 2 2" xfId="5" xr:uid="{F0316EA1-E690-4954-8AFD-0F052294A4D5}"/>
    <cellStyle name="Comma 3" xfId="6" xr:uid="{67904D45-6093-46C5-BC23-38ED2442B7D2}"/>
    <cellStyle name="Comma 4" xfId="3" xr:uid="{D19D2789-EC04-4677-9D24-ED9502C9D182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08C5-EFB8-44F5-A06A-26466E7BB03B}">
  <dimension ref="A1:Q78"/>
  <sheetViews>
    <sheetView tabSelected="1" zoomScaleNormal="100" workbookViewId="0">
      <selection activeCell="H11" sqref="H11"/>
    </sheetView>
  </sheetViews>
  <sheetFormatPr defaultRowHeight="14.4" x14ac:dyDescent="0.3"/>
  <cols>
    <col min="1" max="1" width="46.44140625" customWidth="1"/>
    <col min="2" max="2" width="13.109375" customWidth="1"/>
    <col min="3" max="3" width="12.44140625" customWidth="1"/>
    <col min="4" max="4" width="11.88671875" customWidth="1"/>
    <col min="5" max="5" width="12.109375" customWidth="1"/>
    <col min="10" max="10" width="51" customWidth="1"/>
    <col min="11" max="11" width="13.33203125" customWidth="1"/>
    <col min="12" max="13" width="10.88671875" customWidth="1"/>
    <col min="14" max="15" width="9.5546875" bestFit="1" customWidth="1"/>
  </cols>
  <sheetData>
    <row r="1" spans="1:16" x14ac:dyDescent="0.3">
      <c r="A1" s="50" t="s">
        <v>113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x14ac:dyDescent="0.3">
      <c r="A2" s="49" t="s">
        <v>0</v>
      </c>
      <c r="B2" s="49"/>
      <c r="C2" s="49"/>
      <c r="D2" s="49"/>
      <c r="E2" s="49"/>
      <c r="F2" s="49"/>
      <c r="G2" s="49"/>
      <c r="J2" s="49" t="s">
        <v>22</v>
      </c>
      <c r="K2" s="49"/>
      <c r="L2" s="49"/>
      <c r="M2" s="49"/>
      <c r="N2" s="49"/>
      <c r="O2" s="49"/>
    </row>
    <row r="3" spans="1:16" x14ac:dyDescent="0.3">
      <c r="A3" s="26" t="s">
        <v>20</v>
      </c>
      <c r="B3" s="17" t="s">
        <v>112</v>
      </c>
      <c r="C3" s="17" t="s">
        <v>111</v>
      </c>
      <c r="D3" s="17" t="s">
        <v>64</v>
      </c>
      <c r="E3" s="17" t="s">
        <v>63</v>
      </c>
      <c r="F3" s="17" t="s">
        <v>19</v>
      </c>
      <c r="G3" s="17" t="s">
        <v>121</v>
      </c>
      <c r="J3" s="15" t="s">
        <v>20</v>
      </c>
      <c r="K3" s="17" t="s">
        <v>112</v>
      </c>
      <c r="L3" s="17" t="s">
        <v>111</v>
      </c>
      <c r="M3" s="17" t="s">
        <v>64</v>
      </c>
      <c r="N3" s="17" t="s">
        <v>63</v>
      </c>
      <c r="O3" s="17" t="s">
        <v>19</v>
      </c>
    </row>
    <row r="4" spans="1:16" x14ac:dyDescent="0.3">
      <c r="A4" s="1" t="s">
        <v>1</v>
      </c>
      <c r="B4" s="56">
        <v>1035.6289999999999</v>
      </c>
      <c r="C4" s="56">
        <v>1178.635</v>
      </c>
      <c r="D4" s="56">
        <v>1242.627</v>
      </c>
      <c r="E4" s="57">
        <v>1334.249</v>
      </c>
      <c r="F4" s="57">
        <v>1802.95</v>
      </c>
      <c r="G4" s="66">
        <v>402.16199999999998</v>
      </c>
      <c r="J4" s="1" t="s">
        <v>23</v>
      </c>
      <c r="K4" s="10">
        <v>279.024</v>
      </c>
      <c r="L4" s="10">
        <v>279.024</v>
      </c>
      <c r="M4" s="10">
        <v>279.024</v>
      </c>
      <c r="N4" s="10">
        <v>279.024</v>
      </c>
      <c r="O4" s="10">
        <v>298.3</v>
      </c>
    </row>
    <row r="5" spans="1:16" x14ac:dyDescent="0.3">
      <c r="A5" s="19" t="s">
        <v>67</v>
      </c>
      <c r="B5" s="21"/>
      <c r="C5" s="21">
        <f>C4/B4-1</f>
        <v>0.13808612929919883</v>
      </c>
      <c r="D5" s="21">
        <f>D4/C4-1</f>
        <v>5.4293313875797056E-2</v>
      </c>
      <c r="E5" s="21">
        <f>E4/D4-1</f>
        <v>7.3732503800416405E-2</v>
      </c>
      <c r="F5" s="21">
        <f>F4/E4-1</f>
        <v>0.35128450536593991</v>
      </c>
      <c r="G5" s="48" t="s">
        <v>122</v>
      </c>
      <c r="J5" s="1" t="s">
        <v>24</v>
      </c>
      <c r="K5" s="10">
        <v>662.62199999999996</v>
      </c>
      <c r="L5" s="10">
        <v>770.32399999999996</v>
      </c>
      <c r="M5" s="10">
        <v>858.15700000000004</v>
      </c>
      <c r="N5" s="10">
        <v>935.95500000000004</v>
      </c>
      <c r="O5" s="10">
        <v>1407.998</v>
      </c>
    </row>
    <row r="6" spans="1:16" x14ac:dyDescent="0.3">
      <c r="A6" s="19" t="s">
        <v>71</v>
      </c>
      <c r="B6" s="19"/>
      <c r="C6" s="19"/>
      <c r="D6" s="19"/>
      <c r="E6" s="21">
        <f>((E4/B4)^(1/3)-1)</f>
        <v>8.8121924430929255E-2</v>
      </c>
      <c r="F6" s="21">
        <f>((F4/C4)^(1/3)-1)</f>
        <v>0.15221833859922396</v>
      </c>
      <c r="G6" s="48" t="s">
        <v>122</v>
      </c>
      <c r="J6" s="27" t="s">
        <v>25</v>
      </c>
      <c r="K6" s="37">
        <f t="shared" ref="K6:L6" si="0">SUM(K4:K5)</f>
        <v>941.64599999999996</v>
      </c>
      <c r="L6" s="37">
        <f t="shared" si="0"/>
        <v>1049.348</v>
      </c>
      <c r="M6" s="37">
        <f>SUM(M4:M5)</f>
        <v>1137.181</v>
      </c>
      <c r="N6" s="37">
        <f>SUM(N4:N5)</f>
        <v>1214.979</v>
      </c>
      <c r="O6" s="37">
        <f>SUM(O4:O5)</f>
        <v>1706.298</v>
      </c>
    </row>
    <row r="7" spans="1:16" x14ac:dyDescent="0.3">
      <c r="A7" s="1" t="s">
        <v>3</v>
      </c>
      <c r="B7" s="55">
        <f t="shared" ref="B7:G7" si="1">SUM(B8:B12)</f>
        <v>800.9319999999999</v>
      </c>
      <c r="C7" s="55">
        <f t="shared" si="1"/>
        <v>930.00900000000001</v>
      </c>
      <c r="D7" s="55">
        <f t="shared" si="1"/>
        <v>1040.8170000000002</v>
      </c>
      <c r="E7" s="55">
        <f t="shared" si="1"/>
        <v>1088.1789999999999</v>
      </c>
      <c r="F7" s="55">
        <f t="shared" si="1"/>
        <v>1467.9780000000001</v>
      </c>
      <c r="G7" s="46">
        <f t="shared" si="1"/>
        <v>344.22199999999998</v>
      </c>
      <c r="H7" s="4"/>
      <c r="I7" s="4"/>
      <c r="J7" s="1" t="s">
        <v>26</v>
      </c>
      <c r="K7" s="10">
        <v>0</v>
      </c>
      <c r="L7" s="10">
        <v>3.0000000000000001E-3</v>
      </c>
      <c r="M7" s="10">
        <v>-2E-3</v>
      </c>
      <c r="N7" s="10">
        <v>-7.0000000000000001E-3</v>
      </c>
      <c r="O7" s="10">
        <v>-1.2999999999999999E-2</v>
      </c>
    </row>
    <row r="8" spans="1:16" x14ac:dyDescent="0.3">
      <c r="A8" s="1" t="s">
        <v>4</v>
      </c>
      <c r="B8" s="54">
        <v>169.44300000000001</v>
      </c>
      <c r="C8" s="54">
        <v>209.19399999999999</v>
      </c>
      <c r="D8" s="54">
        <v>282.93200000000002</v>
      </c>
      <c r="E8" s="55">
        <v>251.142</v>
      </c>
      <c r="F8" s="55">
        <v>285.84800000000001</v>
      </c>
      <c r="G8" s="46">
        <v>66.843999999999994</v>
      </c>
      <c r="I8" s="4"/>
      <c r="J8" s="1" t="s">
        <v>27</v>
      </c>
      <c r="K8" s="10">
        <v>89.317999999999998</v>
      </c>
      <c r="L8" s="10">
        <v>134.33000000000001</v>
      </c>
      <c r="M8" s="10">
        <v>138.50899999999999</v>
      </c>
      <c r="N8" s="10">
        <v>256.87400000000002</v>
      </c>
      <c r="O8" s="10">
        <v>122.062</v>
      </c>
    </row>
    <row r="9" spans="1:16" x14ac:dyDescent="0.3">
      <c r="A9" s="2" t="s">
        <v>5</v>
      </c>
      <c r="B9" s="54">
        <v>0</v>
      </c>
      <c r="C9" s="54">
        <v>0</v>
      </c>
      <c r="D9" s="54">
        <v>262.642</v>
      </c>
      <c r="E9" s="55">
        <v>407.51400000000001</v>
      </c>
      <c r="F9" s="55">
        <v>449.09199999999998</v>
      </c>
      <c r="G9" s="46">
        <v>0</v>
      </c>
      <c r="I9" s="4"/>
      <c r="J9" s="1" t="s">
        <v>28</v>
      </c>
      <c r="K9" s="10">
        <v>387.05900000000003</v>
      </c>
      <c r="L9" s="10">
        <v>353.46100000000001</v>
      </c>
      <c r="M9" s="10">
        <v>485.60399999999998</v>
      </c>
      <c r="N9" s="10">
        <v>650.23900000000003</v>
      </c>
      <c r="O9" s="10">
        <v>507.12599999999998</v>
      </c>
    </row>
    <row r="10" spans="1:16" x14ac:dyDescent="0.3">
      <c r="A10" s="1" t="s">
        <v>6</v>
      </c>
      <c r="B10" s="54">
        <v>427.45699999999999</v>
      </c>
      <c r="C10" s="54">
        <v>489.04500000000002</v>
      </c>
      <c r="D10" s="54">
        <v>269.49700000000001</v>
      </c>
      <c r="E10" s="55">
        <v>148.05699999999999</v>
      </c>
      <c r="F10" s="55">
        <v>394.238</v>
      </c>
      <c r="G10" s="46">
        <v>196.941</v>
      </c>
      <c r="J10" s="27" t="s">
        <v>29</v>
      </c>
      <c r="K10" s="37">
        <f t="shared" ref="K10:L10" si="2">SUM(K8:K9)</f>
        <v>476.37700000000001</v>
      </c>
      <c r="L10" s="37">
        <f t="shared" si="2"/>
        <v>487.79100000000005</v>
      </c>
      <c r="M10" s="37">
        <f>SUM(M8:M9)</f>
        <v>624.11299999999994</v>
      </c>
      <c r="N10" s="37">
        <f>SUM(N8:N9)</f>
        <v>907.11300000000006</v>
      </c>
      <c r="O10" s="37">
        <f>SUM(O8:O9)</f>
        <v>629.18799999999999</v>
      </c>
    </row>
    <row r="11" spans="1:16" x14ac:dyDescent="0.3">
      <c r="A11" s="1" t="s">
        <v>7</v>
      </c>
      <c r="B11" s="54">
        <v>170.477</v>
      </c>
      <c r="C11" s="54">
        <v>185.083</v>
      </c>
      <c r="D11" s="54">
        <v>190.30500000000001</v>
      </c>
      <c r="E11" s="55">
        <v>246.29300000000001</v>
      </c>
      <c r="F11" s="55">
        <v>274.387</v>
      </c>
      <c r="G11" s="46">
        <v>71.435000000000002</v>
      </c>
      <c r="J11" s="27" t="s">
        <v>30</v>
      </c>
      <c r="K11" s="37">
        <f>K6+K10+K47</f>
        <v>1482.3449999999998</v>
      </c>
      <c r="L11" s="37">
        <f>L6+L10+L47</f>
        <v>1607.5300000000002</v>
      </c>
      <c r="M11" s="37">
        <f>M6+M10+M47</f>
        <v>1829.6609999999998</v>
      </c>
      <c r="N11" s="37">
        <f>N6+N10+N47</f>
        <v>2224.3389999999999</v>
      </c>
      <c r="O11" s="37">
        <f>O6+O10+O47</f>
        <v>2416.3789999999999</v>
      </c>
      <c r="P11" s="5"/>
    </row>
    <row r="12" spans="1:16" x14ac:dyDescent="0.3">
      <c r="A12" s="1" t="s">
        <v>9</v>
      </c>
      <c r="B12" s="54">
        <v>33.555</v>
      </c>
      <c r="C12" s="54">
        <v>46.686999999999998</v>
      </c>
      <c r="D12" s="54">
        <v>35.441000000000003</v>
      </c>
      <c r="E12" s="55">
        <v>35.173000000000002</v>
      </c>
      <c r="F12" s="55">
        <v>64.412999999999997</v>
      </c>
      <c r="G12" s="46">
        <v>9.0020000000000007</v>
      </c>
      <c r="J12" s="27" t="s">
        <v>30</v>
      </c>
      <c r="K12" s="37">
        <f>K56-K38</f>
        <v>1482.3450000000003</v>
      </c>
      <c r="L12" s="37">
        <f>L56-L38</f>
        <v>1607.5329999999999</v>
      </c>
      <c r="M12" s="37">
        <f>M56-M38</f>
        <v>1829.6589999999999</v>
      </c>
      <c r="N12" s="37">
        <f>N56-N38</f>
        <v>2224.3329999999996</v>
      </c>
      <c r="O12" s="37">
        <f>O56-O38</f>
        <v>2416.364</v>
      </c>
    </row>
    <row r="13" spans="1:16" x14ac:dyDescent="0.3">
      <c r="A13" s="27" t="s">
        <v>21</v>
      </c>
      <c r="B13" s="60">
        <f t="shared" ref="B13:G13" si="3">B4-B7</f>
        <v>234.697</v>
      </c>
      <c r="C13" s="60">
        <f t="shared" si="3"/>
        <v>248.62599999999998</v>
      </c>
      <c r="D13" s="60">
        <f t="shared" si="3"/>
        <v>201.80999999999972</v>
      </c>
      <c r="E13" s="60">
        <f t="shared" si="3"/>
        <v>246.07000000000016</v>
      </c>
      <c r="F13" s="60">
        <f t="shared" si="3"/>
        <v>334.97199999999998</v>
      </c>
      <c r="G13" s="67">
        <f t="shared" si="3"/>
        <v>57.94</v>
      </c>
      <c r="I13" s="4"/>
      <c r="J13" s="1"/>
      <c r="K13" s="10"/>
      <c r="L13" s="10"/>
      <c r="M13" s="10"/>
      <c r="N13" s="10"/>
      <c r="O13" s="10"/>
    </row>
    <row r="14" spans="1:16" x14ac:dyDescent="0.3">
      <c r="A14" s="19" t="s">
        <v>67</v>
      </c>
      <c r="B14" s="20"/>
      <c r="C14" s="20">
        <f>C13/B13-1</f>
        <v>5.9348862576002137E-2</v>
      </c>
      <c r="D14" s="20">
        <f>D13/C13-1</f>
        <v>-0.18829889070330641</v>
      </c>
      <c r="E14" s="20">
        <f>E13/D13-1</f>
        <v>0.2193151974629628</v>
      </c>
      <c r="F14" s="21">
        <f>F13/E13-1</f>
        <v>0.36128743853374967</v>
      </c>
      <c r="G14" s="48" t="s">
        <v>122</v>
      </c>
      <c r="J14" s="27" t="s">
        <v>60</v>
      </c>
      <c r="K14" s="37">
        <f t="shared" ref="K14:L14" si="4">SUM(K15:K25)</f>
        <v>692.07400000000007</v>
      </c>
      <c r="L14" s="37">
        <f t="shared" si="4"/>
        <v>721.47999999999979</v>
      </c>
      <c r="M14" s="37">
        <f>SUM(M15:M25)</f>
        <v>787.12899999999991</v>
      </c>
      <c r="N14" s="37">
        <f>SUM(N15:N25)</f>
        <v>1003.2809999999998</v>
      </c>
      <c r="O14" s="37">
        <f>SUM(O15:O25)</f>
        <v>969.51900000000001</v>
      </c>
    </row>
    <row r="15" spans="1:16" x14ac:dyDescent="0.3">
      <c r="A15" s="19" t="s">
        <v>71</v>
      </c>
      <c r="B15" s="19"/>
      <c r="C15" s="19"/>
      <c r="D15" s="19"/>
      <c r="E15" s="21">
        <f>((E13/B13)^(1/3)-1)</f>
        <v>1.5898635462418653E-2</v>
      </c>
      <c r="F15" s="21">
        <f>((F13/C13)^(1/3)-1)</f>
        <v>0.10447016245353402</v>
      </c>
      <c r="G15" s="48" t="s">
        <v>122</v>
      </c>
      <c r="J15" s="1" t="s">
        <v>31</v>
      </c>
      <c r="K15" s="10">
        <v>566.32100000000003</v>
      </c>
      <c r="L15" s="10">
        <v>501.96100000000001</v>
      </c>
      <c r="M15" s="10">
        <v>537.10799999999995</v>
      </c>
      <c r="N15" s="10">
        <v>725.20799999999997</v>
      </c>
      <c r="O15" s="10">
        <v>625.01300000000003</v>
      </c>
    </row>
    <row r="16" spans="1:16" x14ac:dyDescent="0.3">
      <c r="A16" s="23" t="s">
        <v>8</v>
      </c>
      <c r="B16" s="24">
        <f t="shared" ref="B16:G16" si="5">B13/B4</f>
        <v>0.22662266120396399</v>
      </c>
      <c r="C16" s="24">
        <f t="shared" si="5"/>
        <v>0.2109440157470294</v>
      </c>
      <c r="D16" s="24">
        <f t="shared" si="5"/>
        <v>0.16240593516799467</v>
      </c>
      <c r="E16" s="24">
        <f t="shared" si="5"/>
        <v>0.18442584555056826</v>
      </c>
      <c r="F16" s="24">
        <f t="shared" si="5"/>
        <v>0.18579106464405556</v>
      </c>
      <c r="G16" s="68">
        <f t="shared" si="5"/>
        <v>0.14407129465240376</v>
      </c>
      <c r="J16" s="1" t="s">
        <v>34</v>
      </c>
      <c r="K16" s="10">
        <v>0</v>
      </c>
      <c r="L16" s="10">
        <v>0</v>
      </c>
      <c r="M16" s="10">
        <v>0</v>
      </c>
      <c r="N16" s="10">
        <v>0</v>
      </c>
      <c r="O16" s="10">
        <v>6.7160000000000002</v>
      </c>
    </row>
    <row r="17" spans="1:15" x14ac:dyDescent="0.3">
      <c r="A17" s="1" t="s">
        <v>10</v>
      </c>
      <c r="B17" s="54">
        <v>53.356000000000002</v>
      </c>
      <c r="C17" s="54">
        <v>49.337000000000003</v>
      </c>
      <c r="D17" s="54">
        <v>58.954000000000001</v>
      </c>
      <c r="E17" s="55">
        <v>84.882000000000005</v>
      </c>
      <c r="F17" s="55">
        <v>86.873000000000005</v>
      </c>
      <c r="G17" s="46">
        <v>19.504000000000001</v>
      </c>
      <c r="J17" s="1" t="s">
        <v>35</v>
      </c>
      <c r="K17" s="10">
        <v>15.756</v>
      </c>
      <c r="L17" s="10">
        <v>21.795000000000002</v>
      </c>
      <c r="M17" s="10">
        <v>19.218</v>
      </c>
      <c r="N17" s="10">
        <v>16.640999999999998</v>
      </c>
      <c r="O17" s="10">
        <v>14.064</v>
      </c>
    </row>
    <row r="18" spans="1:15" x14ac:dyDescent="0.3">
      <c r="A18" s="1" t="s">
        <v>11</v>
      </c>
      <c r="B18" s="54">
        <v>77.986000000000004</v>
      </c>
      <c r="C18" s="54">
        <v>74.748000000000005</v>
      </c>
      <c r="D18" s="54">
        <v>71.635999999999996</v>
      </c>
      <c r="E18" s="55">
        <v>87.766000000000005</v>
      </c>
      <c r="F18" s="55">
        <v>95.986000000000004</v>
      </c>
      <c r="G18" s="46">
        <v>21.391999999999999</v>
      </c>
      <c r="J18" s="1" t="s">
        <v>40</v>
      </c>
      <c r="K18" s="10">
        <v>42.475000000000001</v>
      </c>
      <c r="L18" s="10">
        <v>38.44</v>
      </c>
      <c r="M18" s="10">
        <v>34.787999999999997</v>
      </c>
      <c r="N18" s="10">
        <v>31.483000000000001</v>
      </c>
      <c r="O18" s="10">
        <v>28.492000000000001</v>
      </c>
    </row>
    <row r="19" spans="1:15" x14ac:dyDescent="0.3">
      <c r="A19" s="1" t="s">
        <v>12</v>
      </c>
      <c r="B19" s="54">
        <v>28.710999999999999</v>
      </c>
      <c r="C19" s="54">
        <v>27.853999999999999</v>
      </c>
      <c r="D19" s="54">
        <v>41.878</v>
      </c>
      <c r="E19" s="55">
        <v>24.212</v>
      </c>
      <c r="F19" s="55">
        <v>48.478000000000002</v>
      </c>
      <c r="G19" s="46">
        <v>10.919</v>
      </c>
      <c r="J19" s="1" t="s">
        <v>33</v>
      </c>
      <c r="K19" s="10">
        <v>0</v>
      </c>
      <c r="L19" s="10">
        <v>42.875999999999998</v>
      </c>
      <c r="M19" s="10">
        <v>75.772999999999996</v>
      </c>
      <c r="N19" s="10">
        <v>108.19</v>
      </c>
      <c r="O19" s="10">
        <v>143.08099999999999</v>
      </c>
    </row>
    <row r="20" spans="1:15" x14ac:dyDescent="0.3">
      <c r="A20" s="35" t="s">
        <v>17</v>
      </c>
      <c r="B20" s="64">
        <f t="shared" ref="B20:G20" si="6">B13-B17-B18+B19</f>
        <v>132.066</v>
      </c>
      <c r="C20" s="64">
        <f t="shared" si="6"/>
        <v>152.39499999999998</v>
      </c>
      <c r="D20" s="64">
        <f t="shared" si="6"/>
        <v>113.09799999999971</v>
      </c>
      <c r="E20" s="64">
        <f t="shared" si="6"/>
        <v>97.634000000000157</v>
      </c>
      <c r="F20" s="64">
        <f t="shared" si="6"/>
        <v>200.59100000000001</v>
      </c>
      <c r="G20" s="69">
        <f t="shared" si="6"/>
        <v>27.962999999999994</v>
      </c>
      <c r="H20" s="4"/>
      <c r="J20" s="1" t="s">
        <v>32</v>
      </c>
      <c r="K20" s="10">
        <v>1.121</v>
      </c>
      <c r="L20" s="10">
        <v>1.121</v>
      </c>
      <c r="M20" s="10">
        <v>1.121</v>
      </c>
      <c r="N20" s="10">
        <v>1.121</v>
      </c>
      <c r="O20" s="10">
        <v>1.121</v>
      </c>
    </row>
    <row r="21" spans="1:15" x14ac:dyDescent="0.3">
      <c r="A21" s="1" t="s">
        <v>13</v>
      </c>
      <c r="B21" s="54">
        <v>1.821</v>
      </c>
      <c r="C21" s="54">
        <v>-1.7929999999999999</v>
      </c>
      <c r="D21" s="54">
        <v>3.9049999999999998</v>
      </c>
      <c r="E21" s="55">
        <v>11.441000000000001</v>
      </c>
      <c r="F21" s="55">
        <v>13.191000000000001</v>
      </c>
      <c r="G21" s="46">
        <v>3.0529999999999999</v>
      </c>
      <c r="J21" s="1" t="s">
        <v>36</v>
      </c>
      <c r="K21" s="10"/>
      <c r="L21" s="10"/>
      <c r="M21" s="10"/>
      <c r="N21" s="10"/>
      <c r="O21" s="10"/>
    </row>
    <row r="22" spans="1:15" x14ac:dyDescent="0.3">
      <c r="A22" s="35" t="s">
        <v>14</v>
      </c>
      <c r="B22" s="64">
        <f t="shared" ref="B22:G22" si="7">B20+B21</f>
        <v>133.887</v>
      </c>
      <c r="C22" s="64">
        <f t="shared" si="7"/>
        <v>150.60199999999998</v>
      </c>
      <c r="D22" s="64">
        <f t="shared" si="7"/>
        <v>117.00299999999972</v>
      </c>
      <c r="E22" s="64">
        <f t="shared" si="7"/>
        <v>109.07500000000016</v>
      </c>
      <c r="F22" s="64">
        <f t="shared" si="7"/>
        <v>213.78200000000001</v>
      </c>
      <c r="G22" s="69">
        <f t="shared" si="7"/>
        <v>31.015999999999995</v>
      </c>
      <c r="J22" s="6" t="s">
        <v>37</v>
      </c>
      <c r="K22" s="10">
        <v>28.036000000000001</v>
      </c>
      <c r="L22" s="10">
        <v>24.274999999999999</v>
      </c>
      <c r="M22" s="10">
        <v>30.478000000000002</v>
      </c>
      <c r="N22" s="10">
        <v>40.581000000000003</v>
      </c>
      <c r="O22" s="10">
        <v>52.73</v>
      </c>
    </row>
    <row r="23" spans="1:15" x14ac:dyDescent="0.3">
      <c r="A23" s="1" t="s">
        <v>15</v>
      </c>
      <c r="B23" s="54">
        <v>31.672999999999998</v>
      </c>
      <c r="C23" s="54">
        <v>41.418999999999997</v>
      </c>
      <c r="D23" s="54">
        <v>27.300999999999998</v>
      </c>
      <c r="E23" s="55">
        <v>26.382000000000001</v>
      </c>
      <c r="F23" s="55">
        <v>49.524000000000001</v>
      </c>
      <c r="G23" s="46">
        <v>6.984</v>
      </c>
      <c r="J23" s="6" t="s">
        <v>41</v>
      </c>
      <c r="K23" s="10">
        <v>0</v>
      </c>
      <c r="L23" s="10">
        <v>0</v>
      </c>
      <c r="M23" s="10">
        <v>3.359</v>
      </c>
      <c r="N23" s="10">
        <v>3.9969999999999999</v>
      </c>
      <c r="O23" s="10">
        <v>9.109</v>
      </c>
    </row>
    <row r="24" spans="1:15" x14ac:dyDescent="0.3">
      <c r="A24" s="3" t="s">
        <v>110</v>
      </c>
      <c r="B24" s="9">
        <f>B23/B22</f>
        <v>0.23656516315997816</v>
      </c>
      <c r="C24" s="9">
        <f>C23/C22</f>
        <v>0.27502290806230995</v>
      </c>
      <c r="D24" s="9">
        <f>D23/D22</f>
        <v>0.23333589737015345</v>
      </c>
      <c r="E24" s="9">
        <f t="shared" ref="E24:F24" si="8">E23/E22</f>
        <v>0.24187027274810877</v>
      </c>
      <c r="F24" s="9">
        <f t="shared" si="8"/>
        <v>0.23165654732390939</v>
      </c>
      <c r="G24" s="70">
        <f t="shared" ref="G24" si="9">G23/G22</f>
        <v>0.22517410368841892</v>
      </c>
      <c r="J24" s="6" t="s">
        <v>38</v>
      </c>
      <c r="K24" s="10">
        <v>37.847000000000001</v>
      </c>
      <c r="L24" s="10">
        <v>60.631</v>
      </c>
      <c r="M24" s="10">
        <v>50.146000000000001</v>
      </c>
      <c r="N24" s="10">
        <v>70.992000000000004</v>
      </c>
      <c r="O24" s="10">
        <v>57.398000000000003</v>
      </c>
    </row>
    <row r="25" spans="1:15" x14ac:dyDescent="0.3">
      <c r="A25" s="28" t="s">
        <v>16</v>
      </c>
      <c r="B25" s="65">
        <f t="shared" ref="B25:G25" si="10">B22-B23</f>
        <v>102.214</v>
      </c>
      <c r="C25" s="65">
        <f t="shared" si="10"/>
        <v>109.18299999999998</v>
      </c>
      <c r="D25" s="65">
        <f t="shared" si="10"/>
        <v>89.701999999999714</v>
      </c>
      <c r="E25" s="65">
        <f t="shared" si="10"/>
        <v>82.693000000000154</v>
      </c>
      <c r="F25" s="65">
        <f t="shared" si="10"/>
        <v>164.25800000000001</v>
      </c>
      <c r="G25" s="71">
        <f t="shared" si="10"/>
        <v>24.031999999999996</v>
      </c>
      <c r="J25" s="1" t="s">
        <v>39</v>
      </c>
      <c r="K25" s="10">
        <v>0.51800000000000002</v>
      </c>
      <c r="L25" s="10">
        <v>30.381</v>
      </c>
      <c r="M25" s="10">
        <v>35.137999999999998</v>
      </c>
      <c r="N25" s="10">
        <v>5.0679999999999996</v>
      </c>
      <c r="O25" s="10">
        <v>31.795000000000002</v>
      </c>
    </row>
    <row r="26" spans="1:15" x14ac:dyDescent="0.3">
      <c r="A26" s="19" t="s">
        <v>2</v>
      </c>
      <c r="B26" s="21"/>
      <c r="C26" s="21">
        <f>C25/B25-1</f>
        <v>6.8180484082415171E-2</v>
      </c>
      <c r="D26" s="21">
        <f>D25/C25-1</f>
        <v>-0.17842521271626777</v>
      </c>
      <c r="E26" s="21">
        <f>E25/D25-1</f>
        <v>-7.8136496399183741E-2</v>
      </c>
      <c r="F26" s="21">
        <f>F25/E25-1</f>
        <v>0.98635918396961908</v>
      </c>
      <c r="G26" s="48" t="s">
        <v>122</v>
      </c>
      <c r="J26" s="27" t="s">
        <v>61</v>
      </c>
      <c r="K26" s="37">
        <f t="shared" ref="K26" si="11">SUM(K27:K36)</f>
        <v>1093.5170000000001</v>
      </c>
      <c r="L26" s="37">
        <f>SUM(L27:L36)</f>
        <v>1187.6960000000001</v>
      </c>
      <c r="M26" s="37">
        <f>SUM(M27:M36)</f>
        <v>1190.1789999999999</v>
      </c>
      <c r="N26" s="37">
        <f>SUM(N27:N36)</f>
        <v>1346.0569999999998</v>
      </c>
      <c r="O26" s="37">
        <f>SUM(O27:O36)</f>
        <v>1790.9820000000002</v>
      </c>
    </row>
    <row r="27" spans="1:15" x14ac:dyDescent="0.3">
      <c r="A27" s="19" t="s">
        <v>71</v>
      </c>
      <c r="B27" s="19"/>
      <c r="C27" s="19"/>
      <c r="D27" s="19"/>
      <c r="E27" s="21">
        <f>((E25/B25)^(1/3)-1)</f>
        <v>-6.8206976277454867E-2</v>
      </c>
      <c r="F27" s="21">
        <f>((F25/C25)^(1/3)-1)</f>
        <v>0.14583962241315485</v>
      </c>
      <c r="G27" s="48" t="s">
        <v>122</v>
      </c>
      <c r="J27" s="1" t="s">
        <v>42</v>
      </c>
      <c r="K27" s="10">
        <v>324.274</v>
      </c>
      <c r="L27" s="10">
        <v>350.85199999999998</v>
      </c>
      <c r="M27" s="10">
        <v>414.483</v>
      </c>
      <c r="N27" s="10">
        <v>434.23599999999999</v>
      </c>
      <c r="O27" s="10">
        <v>462.404</v>
      </c>
    </row>
    <row r="28" spans="1:15" x14ac:dyDescent="0.3">
      <c r="A28" s="25" t="s">
        <v>18</v>
      </c>
      <c r="B28" s="25">
        <f t="shared" ref="B28:G28" si="12">B25/B4</f>
        <v>9.8697506539504015E-2</v>
      </c>
      <c r="C28" s="25">
        <f t="shared" si="12"/>
        <v>9.2635124529646562E-2</v>
      </c>
      <c r="D28" s="25">
        <f t="shared" si="12"/>
        <v>7.2187390101776092E-2</v>
      </c>
      <c r="E28" s="25">
        <f t="shared" si="12"/>
        <v>6.1977187166713375E-2</v>
      </c>
      <c r="F28" s="25">
        <f t="shared" si="12"/>
        <v>9.1105133253834E-2</v>
      </c>
      <c r="G28" s="72">
        <f t="shared" si="12"/>
        <v>5.9757013342881721E-2</v>
      </c>
      <c r="J28" s="1" t="s">
        <v>36</v>
      </c>
      <c r="K28" s="10"/>
      <c r="L28" s="10"/>
      <c r="M28" s="10"/>
      <c r="N28" s="10"/>
      <c r="O28" s="10"/>
    </row>
    <row r="29" spans="1:15" x14ac:dyDescent="0.3">
      <c r="A29" s="1" t="s">
        <v>65</v>
      </c>
      <c r="B29" s="10">
        <v>3.6789999999999998</v>
      </c>
      <c r="C29" s="10">
        <v>2.0249999999999999</v>
      </c>
      <c r="D29" s="10">
        <v>1.6579999999999999</v>
      </c>
      <c r="E29" s="16">
        <v>0.42299999999999999</v>
      </c>
      <c r="F29" s="16">
        <v>-14.52</v>
      </c>
      <c r="G29" s="42">
        <v>-0.4</v>
      </c>
      <c r="J29" s="6" t="s">
        <v>45</v>
      </c>
      <c r="K29" s="10">
        <v>614.87400000000002</v>
      </c>
      <c r="L29" s="10">
        <v>666.83</v>
      </c>
      <c r="M29" s="10">
        <v>561.88599999999997</v>
      </c>
      <c r="N29" s="10">
        <v>574.49099999999999</v>
      </c>
      <c r="O29" s="10">
        <v>763.44899999999996</v>
      </c>
    </row>
    <row r="30" spans="1:15" x14ac:dyDescent="0.3">
      <c r="A30" s="27" t="s">
        <v>66</v>
      </c>
      <c r="B30" s="60">
        <f t="shared" ref="B30:G30" si="13">B25+B29</f>
        <v>105.893</v>
      </c>
      <c r="C30" s="60">
        <f t="shared" si="13"/>
        <v>111.20799999999998</v>
      </c>
      <c r="D30" s="60">
        <f t="shared" si="13"/>
        <v>91.359999999999715</v>
      </c>
      <c r="E30" s="60">
        <f t="shared" si="13"/>
        <v>83.116000000000156</v>
      </c>
      <c r="F30" s="60">
        <f t="shared" si="13"/>
        <v>149.738</v>
      </c>
      <c r="G30" s="67">
        <f t="shared" si="13"/>
        <v>23.631999999999998</v>
      </c>
      <c r="J30" s="6" t="s">
        <v>46</v>
      </c>
      <c r="K30" s="10">
        <v>5.3490000000000002</v>
      </c>
      <c r="L30" s="14">
        <v>29.687999999999999</v>
      </c>
      <c r="M30" s="10">
        <v>3.198</v>
      </c>
      <c r="N30" s="10">
        <v>6.0880000000000001</v>
      </c>
      <c r="O30" s="10">
        <v>194.40799999999999</v>
      </c>
    </row>
    <row r="31" spans="1:15" x14ac:dyDescent="0.3">
      <c r="A31" s="19" t="s">
        <v>67</v>
      </c>
      <c r="B31" s="21"/>
      <c r="C31" s="21">
        <f t="shared" ref="C31:E31" si="14">C30/B30-1</f>
        <v>5.0192175120168381E-2</v>
      </c>
      <c r="D31" s="21">
        <f t="shared" si="14"/>
        <v>-0.17847636860657756</v>
      </c>
      <c r="E31" s="21">
        <f t="shared" si="14"/>
        <v>-9.0236427320485868E-2</v>
      </c>
      <c r="F31" s="21">
        <f>F30/E30-1</f>
        <v>0.80155445401607062</v>
      </c>
      <c r="G31" s="48" t="s">
        <v>122</v>
      </c>
      <c r="J31" s="6" t="s">
        <v>47</v>
      </c>
      <c r="K31" s="10">
        <v>62.387999999999998</v>
      </c>
      <c r="L31" s="10">
        <v>46.695999999999998</v>
      </c>
      <c r="M31" s="10">
        <v>75.091999999999999</v>
      </c>
      <c r="N31" s="10">
        <v>83.480999999999995</v>
      </c>
      <c r="O31" s="10">
        <v>215.73599999999999</v>
      </c>
    </row>
    <row r="32" spans="1:15" x14ac:dyDescent="0.3">
      <c r="A32" s="19" t="s">
        <v>71</v>
      </c>
      <c r="B32" s="19"/>
      <c r="C32" s="19"/>
      <c r="D32" s="19"/>
      <c r="E32" s="21">
        <f>((E30/B30)^(1/3)-1)</f>
        <v>-7.7557875431070511E-2</v>
      </c>
      <c r="F32" s="21">
        <f>((F30/C30)^(1/3)-1)</f>
        <v>0.10424472319588363</v>
      </c>
      <c r="G32" s="48" t="s">
        <v>122</v>
      </c>
      <c r="J32" s="6" t="s">
        <v>48</v>
      </c>
      <c r="K32" s="10">
        <v>0.4</v>
      </c>
      <c r="L32" s="10">
        <v>0</v>
      </c>
      <c r="M32" s="10">
        <v>0</v>
      </c>
      <c r="N32" s="10">
        <v>0</v>
      </c>
      <c r="O32" s="10">
        <v>0.02</v>
      </c>
    </row>
    <row r="33" spans="1:16" x14ac:dyDescent="0.3">
      <c r="A33" s="27" t="s">
        <v>68</v>
      </c>
      <c r="B33" s="27"/>
      <c r="C33" s="27"/>
      <c r="D33" s="27"/>
      <c r="E33" s="29"/>
      <c r="F33" s="29"/>
      <c r="G33" s="73"/>
      <c r="J33" s="6" t="s">
        <v>49</v>
      </c>
      <c r="K33" s="10">
        <v>10.433999999999999</v>
      </c>
      <c r="L33" s="10">
        <v>12.739000000000001</v>
      </c>
      <c r="M33" s="10">
        <v>6.85</v>
      </c>
      <c r="N33" s="10">
        <v>18.847999999999999</v>
      </c>
      <c r="O33" s="10">
        <v>16.602</v>
      </c>
    </row>
    <row r="34" spans="1:16" x14ac:dyDescent="0.3">
      <c r="A34" s="6" t="s">
        <v>69</v>
      </c>
      <c r="B34" s="54">
        <v>3.66</v>
      </c>
      <c r="C34" s="54">
        <v>3.91</v>
      </c>
      <c r="D34" s="54">
        <v>3.21</v>
      </c>
      <c r="E34" s="39">
        <v>2.96</v>
      </c>
      <c r="F34" s="39">
        <v>5.84</v>
      </c>
      <c r="G34" s="46">
        <v>0.81</v>
      </c>
      <c r="J34" s="1" t="s">
        <v>43</v>
      </c>
      <c r="K34" s="10">
        <v>0</v>
      </c>
      <c r="L34" s="10">
        <v>0.17899999999999999</v>
      </c>
      <c r="M34" s="10">
        <v>0</v>
      </c>
      <c r="N34" s="10">
        <v>2.2799999999999998</v>
      </c>
      <c r="O34" s="10">
        <v>1.7070000000000001</v>
      </c>
    </row>
    <row r="35" spans="1:16" x14ac:dyDescent="0.3">
      <c r="A35" s="6" t="s">
        <v>70</v>
      </c>
      <c r="B35" s="54">
        <v>3.66</v>
      </c>
      <c r="C35" s="54">
        <v>3.91</v>
      </c>
      <c r="D35" s="54">
        <v>3.21</v>
      </c>
      <c r="E35" s="39">
        <v>2.96</v>
      </c>
      <c r="F35" s="39">
        <v>5.83</v>
      </c>
      <c r="G35" s="46">
        <v>0.79</v>
      </c>
      <c r="J35" s="1" t="s">
        <v>44</v>
      </c>
      <c r="K35" s="10">
        <v>75.798000000000002</v>
      </c>
      <c r="L35" s="10">
        <v>80.712000000000003</v>
      </c>
      <c r="M35" s="10">
        <v>128.66999999999999</v>
      </c>
      <c r="N35" s="10">
        <v>157.27799999999999</v>
      </c>
      <c r="O35" s="10">
        <v>136.602</v>
      </c>
    </row>
    <row r="36" spans="1:16" x14ac:dyDescent="0.3">
      <c r="A36" s="19" t="s">
        <v>67</v>
      </c>
      <c r="B36" s="21"/>
      <c r="C36" s="21">
        <f t="shared" ref="C36:E36" si="15">C35/B35-1</f>
        <v>6.8306010928961713E-2</v>
      </c>
      <c r="D36" s="21">
        <f t="shared" si="15"/>
        <v>-0.17902813299232745</v>
      </c>
      <c r="E36" s="21">
        <f t="shared" si="15"/>
        <v>-7.7881619937694713E-2</v>
      </c>
      <c r="F36" s="21">
        <f>F35/E35-1</f>
        <v>0.96959459459459474</v>
      </c>
      <c r="G36" s="48" t="s">
        <v>122</v>
      </c>
      <c r="J36" s="1" t="s">
        <v>50</v>
      </c>
      <c r="K36" s="10">
        <v>0</v>
      </c>
      <c r="L36" s="10">
        <v>0</v>
      </c>
      <c r="M36" s="10">
        <v>0</v>
      </c>
      <c r="N36" s="10">
        <v>69.355000000000004</v>
      </c>
      <c r="O36" s="10">
        <v>5.3999999999999999E-2</v>
      </c>
    </row>
    <row r="37" spans="1:16" x14ac:dyDescent="0.3">
      <c r="A37" s="19" t="s">
        <v>71</v>
      </c>
      <c r="B37" s="19"/>
      <c r="C37" s="19"/>
      <c r="D37" s="19"/>
      <c r="E37" s="21">
        <f>((E35/B35)^(1/3)-1)</f>
        <v>-6.8312629263197366E-2</v>
      </c>
      <c r="F37" s="21">
        <f>((F35/C35)^(1/3)-1)</f>
        <v>0.1424326306679744</v>
      </c>
      <c r="G37" s="48" t="s">
        <v>122</v>
      </c>
      <c r="J37" s="6"/>
      <c r="K37" s="10"/>
      <c r="L37" s="10"/>
      <c r="M37" s="10"/>
      <c r="N37" s="10"/>
      <c r="O37" s="10"/>
    </row>
    <row r="38" spans="1:16" x14ac:dyDescent="0.3">
      <c r="J38" s="27" t="s">
        <v>51</v>
      </c>
      <c r="K38" s="37">
        <f>SUM(K41:K46)</f>
        <v>303.24599999999998</v>
      </c>
      <c r="L38" s="37">
        <f>SUM(L41:L46)</f>
        <v>301.64299999999997</v>
      </c>
      <c r="M38" s="37">
        <f>SUM(M41:M46)</f>
        <v>147.64899999999997</v>
      </c>
      <c r="N38" s="37">
        <f>SUM(N40:N46)</f>
        <v>125.005</v>
      </c>
      <c r="O38" s="37">
        <f>SUM(O40:O46)</f>
        <v>344.13700000000006</v>
      </c>
    </row>
    <row r="39" spans="1:16" x14ac:dyDescent="0.3">
      <c r="A39" s="51" t="s">
        <v>115</v>
      </c>
      <c r="B39" s="52"/>
      <c r="C39" s="52"/>
      <c r="D39" s="52"/>
      <c r="E39" s="52"/>
      <c r="F39" s="53"/>
      <c r="J39" s="1" t="s">
        <v>52</v>
      </c>
      <c r="K39" s="10"/>
      <c r="L39" s="10"/>
      <c r="M39" s="10"/>
      <c r="N39" s="10"/>
      <c r="O39" s="10"/>
    </row>
    <row r="40" spans="1:16" ht="15" customHeight="1" x14ac:dyDescent="0.3">
      <c r="A40" s="26" t="s">
        <v>114</v>
      </c>
      <c r="B40" s="17" t="s">
        <v>112</v>
      </c>
      <c r="C40" s="17" t="s">
        <v>111</v>
      </c>
      <c r="D40" s="17" t="s">
        <v>64</v>
      </c>
      <c r="E40" s="17" t="s">
        <v>63</v>
      </c>
      <c r="F40" s="17" t="s">
        <v>19</v>
      </c>
      <c r="J40" s="6"/>
      <c r="K40" s="10"/>
      <c r="L40" s="10"/>
      <c r="M40" s="10"/>
      <c r="N40" s="10"/>
      <c r="O40" s="10"/>
    </row>
    <row r="41" spans="1:16" ht="16.5" customHeight="1" x14ac:dyDescent="0.3">
      <c r="A41" s="7" t="s">
        <v>72</v>
      </c>
      <c r="B41" s="61">
        <v>6.7770000000000001</v>
      </c>
      <c r="C41" s="61">
        <v>5.3490000000000002</v>
      </c>
      <c r="D41" s="61">
        <v>29.687999999999999</v>
      </c>
      <c r="E41" s="62">
        <f t="shared" ref="E41" si="16">D46</f>
        <v>3.196999999999985</v>
      </c>
      <c r="F41" s="62">
        <f>E46</f>
        <v>6.0889999999999809</v>
      </c>
      <c r="J41" s="6" t="s">
        <v>116</v>
      </c>
      <c r="K41" s="10">
        <v>241.59399999999999</v>
      </c>
      <c r="L41" s="10">
        <f>30.066+166.416</f>
        <v>196.482</v>
      </c>
      <c r="M41" s="10">
        <f>8.493+86.112</f>
        <v>94.60499999999999</v>
      </c>
      <c r="N41" s="10">
        <f>12.267+52.975</f>
        <v>65.242000000000004</v>
      </c>
      <c r="O41" s="10">
        <f>46.234+140.384</f>
        <v>186.61799999999999</v>
      </c>
    </row>
    <row r="42" spans="1:16" x14ac:dyDescent="0.3">
      <c r="A42" s="6" t="s">
        <v>73</v>
      </c>
      <c r="B42" s="54">
        <v>165.083</v>
      </c>
      <c r="C42" s="54">
        <v>96.643000000000001</v>
      </c>
      <c r="D42" s="54">
        <v>35.04</v>
      </c>
      <c r="E42" s="55">
        <v>186.79</v>
      </c>
      <c r="F42" s="55">
        <v>256.87</v>
      </c>
      <c r="J42" s="6" t="s">
        <v>117</v>
      </c>
      <c r="K42" s="10">
        <v>3.4129999999999998</v>
      </c>
      <c r="L42" s="10">
        <v>1.391</v>
      </c>
      <c r="M42" s="10">
        <v>1.516</v>
      </c>
      <c r="N42" s="10">
        <v>1.95</v>
      </c>
      <c r="O42" s="10">
        <v>2.339</v>
      </c>
    </row>
    <row r="43" spans="1:16" x14ac:dyDescent="0.3">
      <c r="A43" s="6" t="s">
        <v>74</v>
      </c>
      <c r="B43" s="54">
        <v>-55.96</v>
      </c>
      <c r="C43" s="54">
        <v>-30.861000000000001</v>
      </c>
      <c r="D43" s="54">
        <v>-135.38200000000001</v>
      </c>
      <c r="E43" s="55">
        <v>-378.30500000000001</v>
      </c>
      <c r="F43" s="55">
        <v>-42.686999999999998</v>
      </c>
      <c r="J43" s="6" t="s">
        <v>118</v>
      </c>
      <c r="K43" s="10">
        <v>31.87</v>
      </c>
      <c r="L43" s="10">
        <v>54.610999999999997</v>
      </c>
      <c r="M43" s="10">
        <v>30.591999999999999</v>
      </c>
      <c r="N43" s="10">
        <v>29.265999999999998</v>
      </c>
      <c r="O43" s="10">
        <v>54.338000000000001</v>
      </c>
    </row>
    <row r="44" spans="1:16" x14ac:dyDescent="0.3">
      <c r="A44" s="6" t="s">
        <v>75</v>
      </c>
      <c r="B44" s="54">
        <v>-110.595</v>
      </c>
      <c r="C44" s="54">
        <v>-41.442999999999998</v>
      </c>
      <c r="D44" s="54">
        <v>73.850999999999999</v>
      </c>
      <c r="E44" s="55">
        <v>194.40700000000001</v>
      </c>
      <c r="F44" s="55">
        <v>-35.677999999999997</v>
      </c>
      <c r="J44" s="1" t="s">
        <v>54</v>
      </c>
      <c r="K44" s="10">
        <v>8.9309999999999992</v>
      </c>
      <c r="L44" s="10">
        <v>10.151999999999999</v>
      </c>
      <c r="M44" s="10">
        <v>13.182</v>
      </c>
      <c r="N44" s="10">
        <v>13.536</v>
      </c>
      <c r="O44" s="10">
        <v>14.539</v>
      </c>
    </row>
    <row r="45" spans="1:16" x14ac:dyDescent="0.3">
      <c r="A45" s="22" t="s">
        <v>76</v>
      </c>
      <c r="B45" s="63">
        <f>B42+B43+B44</f>
        <v>-1.4720000000000084</v>
      </c>
      <c r="C45" s="63">
        <f>C42+C43+C44</f>
        <v>24.338999999999999</v>
      </c>
      <c r="D45" s="63">
        <f>D42+D43+D44</f>
        <v>-26.491000000000014</v>
      </c>
      <c r="E45" s="63">
        <f>E42+E43+E44</f>
        <v>2.8919999999999959</v>
      </c>
      <c r="F45" s="63">
        <f>F42+F43+F44</f>
        <v>178.505</v>
      </c>
      <c r="J45" s="1" t="s">
        <v>55</v>
      </c>
      <c r="K45" s="10">
        <v>9.8070000000000004</v>
      </c>
      <c r="L45" s="10">
        <v>15.343999999999999</v>
      </c>
      <c r="M45" s="10">
        <v>0.27400000000000002</v>
      </c>
      <c r="N45" s="10">
        <v>0</v>
      </c>
      <c r="O45" s="10">
        <v>12.528</v>
      </c>
    </row>
    <row r="46" spans="1:16" x14ac:dyDescent="0.3">
      <c r="A46" s="27" t="s">
        <v>77</v>
      </c>
      <c r="B46" s="60">
        <f>B41+B45</f>
        <v>5.3049999999999917</v>
      </c>
      <c r="C46" s="60">
        <f>C41+C45</f>
        <v>29.687999999999999</v>
      </c>
      <c r="D46" s="60">
        <f>D41+D45</f>
        <v>3.196999999999985</v>
      </c>
      <c r="E46" s="60">
        <f>E41+E45</f>
        <v>6.0889999999999809</v>
      </c>
      <c r="F46" s="60">
        <f>F41+F45</f>
        <v>184.59399999999997</v>
      </c>
      <c r="J46" s="1" t="s">
        <v>53</v>
      </c>
      <c r="K46" s="10">
        <v>7.6310000000000002</v>
      </c>
      <c r="L46" s="10">
        <v>23.663</v>
      </c>
      <c r="M46" s="10">
        <v>7.48</v>
      </c>
      <c r="N46" s="10">
        <v>15.010999999999999</v>
      </c>
      <c r="O46" s="10">
        <v>73.775000000000006</v>
      </c>
    </row>
    <row r="47" spans="1:16" x14ac:dyDescent="0.3">
      <c r="B47" s="11"/>
      <c r="C47" s="11"/>
      <c r="D47" s="11"/>
      <c r="E47" s="11"/>
      <c r="F47" s="11"/>
      <c r="J47" s="27" t="s">
        <v>56</v>
      </c>
      <c r="K47" s="37">
        <f t="shared" ref="K47:L47" si="17">SUM(K49:K52,K54:K55)</f>
        <v>64.322000000000003</v>
      </c>
      <c r="L47" s="37">
        <f t="shared" si="17"/>
        <v>70.391000000000005</v>
      </c>
      <c r="M47" s="37">
        <f>SUM(M49:M52,M54:M55)</f>
        <v>68.36699999999999</v>
      </c>
      <c r="N47" s="37">
        <f>SUM(N49:N52,N54:N55)</f>
        <v>102.24700000000001</v>
      </c>
      <c r="O47" s="37">
        <f>SUM(O49:O52,O54:O55)</f>
        <v>80.893000000000001</v>
      </c>
    </row>
    <row r="48" spans="1:16" x14ac:dyDescent="0.3">
      <c r="A48" s="26" t="s">
        <v>78</v>
      </c>
      <c r="B48" s="17" t="s">
        <v>112</v>
      </c>
      <c r="C48" s="17" t="s">
        <v>111</v>
      </c>
      <c r="D48" s="17" t="s">
        <v>64</v>
      </c>
      <c r="E48" s="17" t="s">
        <v>63</v>
      </c>
      <c r="F48" s="17" t="s">
        <v>19</v>
      </c>
      <c r="I48" s="40"/>
      <c r="J48" s="1" t="s">
        <v>52</v>
      </c>
      <c r="K48" s="41"/>
      <c r="L48" s="41"/>
      <c r="M48" s="41"/>
      <c r="N48" s="41"/>
      <c r="O48" s="41"/>
      <c r="P48" s="40"/>
    </row>
    <row r="49" spans="1:17" x14ac:dyDescent="0.3">
      <c r="A49" s="8" t="s">
        <v>79</v>
      </c>
      <c r="B49" s="55">
        <f>B42</f>
        <v>165.083</v>
      </c>
      <c r="C49" s="55">
        <f>C42</f>
        <v>96.643000000000001</v>
      </c>
      <c r="D49" s="55">
        <f>D42</f>
        <v>35.04</v>
      </c>
      <c r="E49" s="55">
        <f>E42</f>
        <v>186.79</v>
      </c>
      <c r="F49" s="55">
        <f>F42</f>
        <v>256.87</v>
      </c>
      <c r="J49" s="1"/>
      <c r="K49" s="10"/>
      <c r="L49" s="10"/>
      <c r="M49" s="10"/>
      <c r="N49" s="10"/>
      <c r="O49" s="10"/>
    </row>
    <row r="50" spans="1:17" x14ac:dyDescent="0.3">
      <c r="A50" s="30" t="s">
        <v>80</v>
      </c>
      <c r="B50" s="59">
        <f>42.834-72.132</f>
        <v>-29.298000000000002</v>
      </c>
      <c r="C50" s="59">
        <f>33.7-43.338</f>
        <v>-9.6379999999999981</v>
      </c>
      <c r="D50" s="59">
        <f>10.419-110.912</f>
        <v>-100.49300000000001</v>
      </c>
      <c r="E50" s="59">
        <f>-345.524+7.516</f>
        <v>-338.00799999999998</v>
      </c>
      <c r="F50" s="59">
        <f>-22.129+115.12</f>
        <v>92.991</v>
      </c>
      <c r="J50" s="6" t="s">
        <v>119</v>
      </c>
      <c r="K50" s="10">
        <v>16.091999999999999</v>
      </c>
      <c r="L50" s="10">
        <v>21.041</v>
      </c>
      <c r="M50" s="10">
        <v>19.524999999999999</v>
      </c>
      <c r="N50" s="10">
        <v>17.574999999999999</v>
      </c>
      <c r="O50" s="10">
        <v>15.237</v>
      </c>
    </row>
    <row r="51" spans="1:17" x14ac:dyDescent="0.3">
      <c r="A51" s="27" t="s">
        <v>81</v>
      </c>
      <c r="B51" s="60">
        <f>B49+B50</f>
        <v>135.785</v>
      </c>
      <c r="C51" s="60">
        <f>C49+C50</f>
        <v>87.004999999999995</v>
      </c>
      <c r="D51" s="60">
        <f>D49+D50</f>
        <v>-65.453000000000003</v>
      </c>
      <c r="E51" s="60">
        <f>E49+E50</f>
        <v>-151.21799999999999</v>
      </c>
      <c r="F51" s="60">
        <f>F49+F50</f>
        <v>349.86099999999999</v>
      </c>
      <c r="J51" s="6" t="s">
        <v>120</v>
      </c>
      <c r="K51" s="10">
        <v>0.38600000000000001</v>
      </c>
      <c r="L51" s="10">
        <v>0.42199999999999999</v>
      </c>
      <c r="M51" s="10">
        <v>0.46100000000000002</v>
      </c>
      <c r="N51" s="10">
        <v>7.57</v>
      </c>
      <c r="O51" s="10">
        <v>4.0750000000000002</v>
      </c>
    </row>
    <row r="52" spans="1:17" x14ac:dyDescent="0.3">
      <c r="B52" s="11"/>
      <c r="C52" s="11"/>
      <c r="D52" s="11"/>
      <c r="E52" s="11"/>
      <c r="F52" s="11"/>
      <c r="J52" s="1" t="s">
        <v>54</v>
      </c>
      <c r="K52" s="10">
        <v>3.5369999999999999</v>
      </c>
      <c r="L52" s="10">
        <v>3.9249999999999998</v>
      </c>
      <c r="M52" s="10">
        <v>2.97</v>
      </c>
      <c r="N52" s="10">
        <v>6.5039999999999996</v>
      </c>
      <c r="O52" s="10">
        <v>7.9379999999999997</v>
      </c>
    </row>
    <row r="53" spans="1:17" x14ac:dyDescent="0.3">
      <c r="A53" s="26" t="s">
        <v>78</v>
      </c>
      <c r="B53" s="17" t="s">
        <v>111</v>
      </c>
      <c r="C53" s="17" t="s">
        <v>111</v>
      </c>
      <c r="D53" s="17" t="s">
        <v>64</v>
      </c>
      <c r="E53" s="17" t="s">
        <v>63</v>
      </c>
      <c r="F53" s="17" t="s">
        <v>19</v>
      </c>
      <c r="G53" s="17" t="s">
        <v>124</v>
      </c>
      <c r="J53" s="27" t="s">
        <v>109</v>
      </c>
      <c r="K53" s="37">
        <f>K26-K38-K9</f>
        <v>403.21200000000005</v>
      </c>
      <c r="L53" s="37">
        <f>L26-L38-L9</f>
        <v>532.5920000000001</v>
      </c>
      <c r="M53" s="37">
        <f>M26-M38-M9</f>
        <v>556.92599999999993</v>
      </c>
      <c r="N53" s="37">
        <f>N26-N38-N9</f>
        <v>570.81299999999965</v>
      </c>
      <c r="O53" s="37">
        <f>O26-O38-O9</f>
        <v>939.71900000000028</v>
      </c>
    </row>
    <row r="54" spans="1:17" x14ac:dyDescent="0.3">
      <c r="A54" s="1" t="s">
        <v>82</v>
      </c>
      <c r="B54" s="58">
        <f>27902400/10^6</f>
        <v>27.9024</v>
      </c>
      <c r="C54" s="58">
        <f>27902400/10^6</f>
        <v>27.9024</v>
      </c>
      <c r="D54" s="55">
        <f>27902400/10^6</f>
        <v>27.9024</v>
      </c>
      <c r="E54" s="55">
        <f>27902400/10^6</f>
        <v>27.9024</v>
      </c>
      <c r="F54" s="55">
        <f>29830011/10^6</f>
        <v>29.830010999999999</v>
      </c>
      <c r="G54" s="55">
        <f>F54</f>
        <v>29.830010999999999</v>
      </c>
      <c r="J54" s="1" t="s">
        <v>62</v>
      </c>
      <c r="K54" s="10">
        <v>41.865000000000002</v>
      </c>
      <c r="L54" s="10">
        <v>42.665999999999997</v>
      </c>
      <c r="M54" s="10">
        <v>43.179000000000002</v>
      </c>
      <c r="N54" s="10">
        <v>46.734000000000002</v>
      </c>
      <c r="O54" s="10">
        <v>51.469000000000001</v>
      </c>
    </row>
    <row r="55" spans="1:17" x14ac:dyDescent="0.3">
      <c r="A55" s="1" t="s">
        <v>83</v>
      </c>
      <c r="B55" s="55">
        <v>10</v>
      </c>
      <c r="C55" s="55">
        <v>10</v>
      </c>
      <c r="D55" s="55">
        <v>10</v>
      </c>
      <c r="E55" s="55">
        <v>10</v>
      </c>
      <c r="F55" s="55">
        <v>10</v>
      </c>
      <c r="G55" s="55">
        <f>F55</f>
        <v>10</v>
      </c>
      <c r="J55" s="1" t="s">
        <v>57</v>
      </c>
      <c r="K55" s="10">
        <v>2.4420000000000002</v>
      </c>
      <c r="L55" s="10">
        <v>2.3370000000000002</v>
      </c>
      <c r="M55" s="10">
        <v>2.2320000000000002</v>
      </c>
      <c r="N55" s="10">
        <v>23.864000000000001</v>
      </c>
      <c r="O55" s="10">
        <v>2.1739999999999999</v>
      </c>
    </row>
    <row r="56" spans="1:17" x14ac:dyDescent="0.3">
      <c r="A56" s="18" t="s">
        <v>84</v>
      </c>
      <c r="B56" s="59">
        <f>K60*B54</f>
        <v>1513.7052000000001</v>
      </c>
      <c r="C56" s="59">
        <f>L60*C54</f>
        <v>5499.56304</v>
      </c>
      <c r="D56" s="59">
        <f>M60*D54</f>
        <v>2664.6792</v>
      </c>
      <c r="E56" s="59">
        <f>N60*E54</f>
        <v>2906.03496</v>
      </c>
      <c r="F56" s="59">
        <f>O60*F54</f>
        <v>3123.2021516999998</v>
      </c>
      <c r="G56" s="59">
        <f>G54*P60</f>
        <v>4432.7396345999996</v>
      </c>
      <c r="J56" s="27" t="s">
        <v>58</v>
      </c>
      <c r="K56" s="37">
        <f>K14+K26</f>
        <v>1785.5910000000001</v>
      </c>
      <c r="L56" s="37">
        <f>L14+L26</f>
        <v>1909.1759999999999</v>
      </c>
      <c r="M56" s="37">
        <f>M14+M26</f>
        <v>1977.3079999999998</v>
      </c>
      <c r="N56" s="37">
        <f>N14+N26</f>
        <v>2349.3379999999997</v>
      </c>
      <c r="O56" s="37">
        <f>O14+O26</f>
        <v>2760.5010000000002</v>
      </c>
    </row>
    <row r="57" spans="1:17" x14ac:dyDescent="0.3">
      <c r="A57" s="18" t="s">
        <v>85</v>
      </c>
      <c r="B57" s="59">
        <f>K10</f>
        <v>476.37700000000001</v>
      </c>
      <c r="C57" s="59">
        <f>L10</f>
        <v>487.79100000000005</v>
      </c>
      <c r="D57" s="59">
        <f>M10</f>
        <v>624.11299999999994</v>
      </c>
      <c r="E57" s="59">
        <f>N10</f>
        <v>907.11300000000006</v>
      </c>
      <c r="F57" s="59">
        <f>O10</f>
        <v>629.18799999999999</v>
      </c>
      <c r="G57" s="59"/>
      <c r="J57" s="27" t="s">
        <v>59</v>
      </c>
      <c r="K57" s="37">
        <f>K6+K7+K10+K38+K47</f>
        <v>1785.5909999999999</v>
      </c>
      <c r="L57" s="37">
        <f>L6+L7+L10+L38+L47</f>
        <v>1909.1759999999999</v>
      </c>
      <c r="M57" s="37">
        <f>M6+M7+M10+M38+M47</f>
        <v>1977.3079999999998</v>
      </c>
      <c r="N57" s="37">
        <f>N6+N7+N10+N38+N47</f>
        <v>2349.337</v>
      </c>
      <c r="O57" s="37">
        <f>O6+O7+O10+O38+O47</f>
        <v>2760.5030000000002</v>
      </c>
    </row>
    <row r="58" spans="1:17" x14ac:dyDescent="0.3">
      <c r="A58" s="18" t="s">
        <v>86</v>
      </c>
      <c r="B58" s="59">
        <f t="shared" ref="B58:F59" si="18">K30</f>
        <v>5.3490000000000002</v>
      </c>
      <c r="C58" s="59">
        <f t="shared" si="18"/>
        <v>29.687999999999999</v>
      </c>
      <c r="D58" s="59">
        <f t="shared" si="18"/>
        <v>3.198</v>
      </c>
      <c r="E58" s="59">
        <f t="shared" si="18"/>
        <v>6.0880000000000001</v>
      </c>
      <c r="F58" s="59">
        <f t="shared" si="18"/>
        <v>194.40799999999999</v>
      </c>
      <c r="G58" s="59"/>
      <c r="K58" s="11"/>
      <c r="L58" s="11"/>
      <c r="M58" s="11"/>
      <c r="N58" s="11"/>
      <c r="O58" s="11"/>
    </row>
    <row r="59" spans="1:17" x14ac:dyDescent="0.3">
      <c r="A59" s="18" t="s">
        <v>87</v>
      </c>
      <c r="B59" s="59">
        <f t="shared" si="18"/>
        <v>62.387999999999998</v>
      </c>
      <c r="C59" s="59">
        <f t="shared" si="18"/>
        <v>46.695999999999998</v>
      </c>
      <c r="D59" s="59">
        <f t="shared" si="18"/>
        <v>75.091999999999999</v>
      </c>
      <c r="E59" s="59">
        <f t="shared" si="18"/>
        <v>83.480999999999995</v>
      </c>
      <c r="F59" s="59">
        <f t="shared" si="18"/>
        <v>215.73599999999999</v>
      </c>
      <c r="G59" s="59"/>
      <c r="J59" s="26" t="s">
        <v>89</v>
      </c>
      <c r="K59" s="17" t="s">
        <v>112</v>
      </c>
      <c r="L59" s="17" t="s">
        <v>111</v>
      </c>
      <c r="M59" s="17" t="s">
        <v>64</v>
      </c>
      <c r="N59" s="17" t="s">
        <v>63</v>
      </c>
      <c r="O59" s="17" t="s">
        <v>19</v>
      </c>
      <c r="P59" s="17" t="s">
        <v>124</v>
      </c>
    </row>
    <row r="60" spans="1:17" x14ac:dyDescent="0.3">
      <c r="A60" s="27" t="s">
        <v>88</v>
      </c>
      <c r="B60" s="60">
        <f>(B56+B57)-(B58+B59)</f>
        <v>1922.3452</v>
      </c>
      <c r="C60" s="60">
        <f>(C56+C57)-(C58+C59)</f>
        <v>5910.9700400000002</v>
      </c>
      <c r="D60" s="60">
        <f>(D56+D57)-(D58+D59)</f>
        <v>3210.5021999999999</v>
      </c>
      <c r="E60" s="60">
        <f>(E56+E57)-(E58+E59)</f>
        <v>3723.5789600000003</v>
      </c>
      <c r="F60" s="60">
        <f>(F56+F57)-(F58+F59)</f>
        <v>3342.2461517000002</v>
      </c>
      <c r="G60" s="60"/>
      <c r="J60" s="31" t="s">
        <v>90</v>
      </c>
      <c r="K60" s="32">
        <v>54.25</v>
      </c>
      <c r="L60" s="32">
        <v>197.1</v>
      </c>
      <c r="M60" s="32">
        <v>95.5</v>
      </c>
      <c r="N60" s="33">
        <v>104.15</v>
      </c>
      <c r="O60" s="33">
        <v>104.7</v>
      </c>
      <c r="P60" s="33">
        <v>148.6</v>
      </c>
    </row>
    <row r="61" spans="1:17" x14ac:dyDescent="0.3">
      <c r="J61" s="31" t="s">
        <v>91</v>
      </c>
      <c r="K61" s="34">
        <f>B35</f>
        <v>3.66</v>
      </c>
      <c r="L61" s="34">
        <f>C35</f>
        <v>3.91</v>
      </c>
      <c r="M61" s="34">
        <f>D35</f>
        <v>3.21</v>
      </c>
      <c r="N61" s="34">
        <f>E35</f>
        <v>2.96</v>
      </c>
      <c r="O61" s="34">
        <f>F35</f>
        <v>5.83</v>
      </c>
      <c r="P61" s="34">
        <f>F35+G35-0.67</f>
        <v>5.95</v>
      </c>
      <c r="Q61" t="s">
        <v>123</v>
      </c>
    </row>
    <row r="62" spans="1:17" x14ac:dyDescent="0.3">
      <c r="J62" s="8" t="s">
        <v>92</v>
      </c>
      <c r="K62" s="12">
        <f>K6/B54</f>
        <v>33.747849647342164</v>
      </c>
      <c r="L62" s="12">
        <f>L6/C54</f>
        <v>37.607804346579506</v>
      </c>
      <c r="M62" s="12">
        <f>M6/D54</f>
        <v>40.755669763174495</v>
      </c>
      <c r="N62" s="12">
        <f>N6/E54</f>
        <v>43.543888697746432</v>
      </c>
      <c r="O62" s="12">
        <f>O6/F54</f>
        <v>57.200716419447517</v>
      </c>
      <c r="P62" s="44" t="s">
        <v>122</v>
      </c>
    </row>
    <row r="63" spans="1:17" x14ac:dyDescent="0.3">
      <c r="J63" s="8" t="s">
        <v>93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42" t="s">
        <v>122</v>
      </c>
    </row>
    <row r="64" spans="1:17" x14ac:dyDescent="0.3">
      <c r="J64" s="8" t="s">
        <v>94</v>
      </c>
      <c r="K64" s="13">
        <f>K60/K61</f>
        <v>14.8224043715847</v>
      </c>
      <c r="L64" s="13">
        <f>L60/L61</f>
        <v>50.409207161125316</v>
      </c>
      <c r="M64" s="13">
        <f>M60/M61</f>
        <v>29.750778816199379</v>
      </c>
      <c r="N64" s="13">
        <f>N60/N61</f>
        <v>35.185810810810814</v>
      </c>
      <c r="O64" s="13">
        <f>O60/O61</f>
        <v>17.958833619210978</v>
      </c>
      <c r="P64" s="42">
        <f>P60/P61</f>
        <v>24.974789915966383</v>
      </c>
    </row>
    <row r="65" spans="10:16" x14ac:dyDescent="0.3">
      <c r="J65" s="8" t="s">
        <v>95</v>
      </c>
      <c r="K65" s="13">
        <f>K60/K62</f>
        <v>1.6075098285342899</v>
      </c>
      <c r="L65" s="13">
        <f>L60/L62</f>
        <v>5.2409334558220912</v>
      </c>
      <c r="M65" s="13">
        <f>M60/M62</f>
        <v>2.3432322559029739</v>
      </c>
      <c r="N65" s="13">
        <f>N60/N62</f>
        <v>2.3918396614262467</v>
      </c>
      <c r="O65" s="13">
        <f>O60/O62</f>
        <v>1.8303966550391551</v>
      </c>
      <c r="P65" s="42" t="s">
        <v>122</v>
      </c>
    </row>
    <row r="66" spans="10:16" x14ac:dyDescent="0.3">
      <c r="J66" s="8" t="s">
        <v>96</v>
      </c>
      <c r="K66" s="13">
        <f>B60/B13</f>
        <v>8.1907531838924221</v>
      </c>
      <c r="L66" s="13">
        <f>C60/C13</f>
        <v>23.774545059647828</v>
      </c>
      <c r="M66" s="13">
        <f>D60/D13</f>
        <v>15.908538724542909</v>
      </c>
      <c r="N66" s="13">
        <f>E60/E13</f>
        <v>15.132193928556905</v>
      </c>
      <c r="O66" s="13">
        <f>F60/F13</f>
        <v>9.9776881402027637</v>
      </c>
      <c r="P66" s="42" t="s">
        <v>122</v>
      </c>
    </row>
    <row r="67" spans="10:16" x14ac:dyDescent="0.3">
      <c r="J67" s="31" t="s">
        <v>97</v>
      </c>
      <c r="K67" s="38">
        <f>B25/K6</f>
        <v>0.10854822300524826</v>
      </c>
      <c r="L67" s="38">
        <f>C25/L6</f>
        <v>0.10404841863709655</v>
      </c>
      <c r="M67" s="38">
        <f>D25/M6</f>
        <v>7.8881022458166042E-2</v>
      </c>
      <c r="N67" s="38">
        <f>E25/N6</f>
        <v>6.8061258671960709E-2</v>
      </c>
      <c r="O67" s="38">
        <f>F25/O6</f>
        <v>9.626571677397501E-2</v>
      </c>
      <c r="P67" s="43" t="s">
        <v>122</v>
      </c>
    </row>
    <row r="68" spans="10:16" x14ac:dyDescent="0.3">
      <c r="J68" s="31" t="s">
        <v>98</v>
      </c>
      <c r="K68" s="38">
        <f>(B13-B18)/AVERAGE(H12:K12)</f>
        <v>0.10571830444329761</v>
      </c>
      <c r="L68" s="38">
        <f>(C13-C18)/AVERAGE(I12:L12)</f>
        <v>0.11254683841886312</v>
      </c>
      <c r="M68" s="38">
        <f>(D13-D18)/AVERAGE(J12:M12)</f>
        <v>7.9381860528744699E-2</v>
      </c>
      <c r="N68" s="38">
        <f>(E13-E18)/AVERAGE(M12:N12)</f>
        <v>7.8097835417534206E-2</v>
      </c>
      <c r="O68" s="38">
        <f>(F13-F18)/AVERAGE(N12:O12)</f>
        <v>0.10299573533889413</v>
      </c>
      <c r="P68" s="43" t="s">
        <v>122</v>
      </c>
    </row>
    <row r="69" spans="10:16" x14ac:dyDescent="0.3">
      <c r="J69" s="8" t="s">
        <v>99</v>
      </c>
      <c r="K69" s="12">
        <f>(B57-B58-B59)/K6</f>
        <v>0.43396350645571696</v>
      </c>
      <c r="L69" s="12">
        <f>(C57-C58-C59)/L6</f>
        <v>0.39205964084364775</v>
      </c>
      <c r="M69" s="12">
        <f>(D57-D58-D59)/M6</f>
        <v>0.47997900070437333</v>
      </c>
      <c r="N69" s="12">
        <f>N10/N6</f>
        <v>0.74660796606361102</v>
      </c>
      <c r="O69" s="12">
        <f>O10/O6</f>
        <v>0.36874449832327061</v>
      </c>
      <c r="P69" s="44" t="s">
        <v>122</v>
      </c>
    </row>
    <row r="70" spans="10:16" x14ac:dyDescent="0.3">
      <c r="J70" s="31" t="s">
        <v>100</v>
      </c>
      <c r="K70" s="34">
        <f>(B57-B58-B59)/K6</f>
        <v>0.43396350645571696</v>
      </c>
      <c r="L70" s="34">
        <f>(C57-C58-C59)/L6</f>
        <v>0.39205964084364775</v>
      </c>
      <c r="M70" s="34">
        <f>(D57-D58-D59)/M6</f>
        <v>0.47997900070437333</v>
      </c>
      <c r="N70" s="34">
        <f>(E57-E58-E59)/N6</f>
        <v>0.67288735031634295</v>
      </c>
      <c r="O70" s="34">
        <f>(F57-F58-F59)/O6</f>
        <v>0.12837382450193341</v>
      </c>
      <c r="P70" s="45" t="s">
        <v>122</v>
      </c>
    </row>
    <row r="71" spans="10:16" x14ac:dyDescent="0.3">
      <c r="J71" s="8" t="s">
        <v>101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46" t="s">
        <v>122</v>
      </c>
    </row>
    <row r="72" spans="10:16" x14ac:dyDescent="0.3">
      <c r="J72" s="8" t="s">
        <v>102</v>
      </c>
      <c r="K72" s="13">
        <f>(AVERAGE(H41:K41)/(B7)*365)</f>
        <v>110.09899716829895</v>
      </c>
      <c r="L72" s="13">
        <f>(AVERAGE(I41:L41)/(C7)*365)</f>
        <v>85.965694955640217</v>
      </c>
      <c r="M72" s="13">
        <f>(AVERAGE(J41:M41)/(D7)*365)</f>
        <v>62.267931506371113</v>
      </c>
      <c r="N72" s="13">
        <f>AVERAGE(M29:N29/(E4)*365)</f>
        <v>157.1589823188925</v>
      </c>
      <c r="O72" s="13">
        <f>AVERAGE(N29:O29/(F4)*365)</f>
        <v>154.55718960592361</v>
      </c>
      <c r="P72" s="42" t="s">
        <v>122</v>
      </c>
    </row>
    <row r="73" spans="10:16" x14ac:dyDescent="0.3">
      <c r="J73" s="1" t="s">
        <v>103</v>
      </c>
      <c r="K73" s="13">
        <f>(AVERAGE(H27:K27)/(B8+B9))*365</f>
        <v>698.52404643449415</v>
      </c>
      <c r="L73" s="13">
        <f>(AVERAGE(I27:L27)/(C8+C9))*365</f>
        <v>588.97719341854929</v>
      </c>
      <c r="M73" s="13">
        <f>(AVERAGE(J27:M27)/(D8+D9))*365</f>
        <v>242.99012599574019</v>
      </c>
      <c r="N73" s="13">
        <f>(AVERAGE(M41:N41)/(E7)*365)</f>
        <v>26.808160697826366</v>
      </c>
      <c r="O73" s="13">
        <f>(AVERAGE(N41:O41)/(F7)*365)</f>
        <v>31.311402486958254</v>
      </c>
      <c r="P73" s="42" t="s">
        <v>122</v>
      </c>
    </row>
    <row r="74" spans="10:16" x14ac:dyDescent="0.3">
      <c r="J74" s="1" t="s">
        <v>104</v>
      </c>
      <c r="K74" s="13">
        <f t="shared" ref="K74" si="19">K73+K71-K72</f>
        <v>588.42504926619517</v>
      </c>
      <c r="L74" s="13">
        <f t="shared" ref="L74" si="20">L73+L71-L72</f>
        <v>503.01149846290906</v>
      </c>
      <c r="M74" s="13">
        <f t="shared" ref="M74:N75" si="21">M73+M71-M72</f>
        <v>180.72219448936909</v>
      </c>
      <c r="N74" s="13">
        <f>(AVERAGE(M27:N27)/(E8+E9))*365</f>
        <v>235.16253932249919</v>
      </c>
      <c r="O74" s="13">
        <f>(AVERAGE(N27:O27)/(F8+F9))*365</f>
        <v>222.65327781859742</v>
      </c>
      <c r="P74" s="42" t="s">
        <v>122</v>
      </c>
    </row>
    <row r="75" spans="10:16" x14ac:dyDescent="0.3">
      <c r="J75" s="35" t="s">
        <v>105</v>
      </c>
      <c r="K75" s="36">
        <f>AVERAGE(H51:K51)/B4*365</f>
        <v>0.13604292656926373</v>
      </c>
      <c r="L75" s="36">
        <f>AVERAGE(I53:L53)/C4*365</f>
        <v>144.90001569612309</v>
      </c>
      <c r="M75" s="36">
        <f>AVERAGE(J53:M53)/D4*365</f>
        <v>146.15446415805656</v>
      </c>
      <c r="N75" s="36">
        <f t="shared" si="21"/>
        <v>365.51336094356532</v>
      </c>
      <c r="O75" s="36">
        <f>O74+O72-O73</f>
        <v>345.8990649375628</v>
      </c>
      <c r="P75" s="47" t="s">
        <v>122</v>
      </c>
    </row>
    <row r="76" spans="10:16" x14ac:dyDescent="0.3">
      <c r="J76" s="1" t="s">
        <v>108</v>
      </c>
      <c r="K76" s="12">
        <f>B4/(AVERAGE(H15:K15))</f>
        <v>1.8286960928519336</v>
      </c>
      <c r="L76" s="12">
        <f>C4/(AVERAGE(I15:L15))</f>
        <v>2.2065990066293355</v>
      </c>
      <c r="M76" s="12">
        <f>D4/(AVERAGE(J15:M15))</f>
        <v>2.3221030403827108</v>
      </c>
      <c r="N76" s="13">
        <f>AVERAGE(M53:N53)/E4*365</f>
        <v>154.25334214228371</v>
      </c>
      <c r="O76" s="13">
        <f>AVERAGE(N53:O53)/F4*365</f>
        <v>152.90057405918077</v>
      </c>
      <c r="P76" s="42" t="s">
        <v>122</v>
      </c>
    </row>
    <row r="77" spans="10:16" x14ac:dyDescent="0.3">
      <c r="J77" s="8" t="s">
        <v>106</v>
      </c>
      <c r="K77" s="12">
        <f>(B13-B18)/B17</f>
        <v>2.9370829897293653</v>
      </c>
      <c r="L77" s="12">
        <f>(C13-C18)/C17</f>
        <v>3.5242921134240017</v>
      </c>
      <c r="M77" s="12">
        <f>(D13-D18)/D17</f>
        <v>2.2080605217627256</v>
      </c>
      <c r="N77" s="12">
        <f>E4/(AVERAGE(M15:N15))</f>
        <v>2.113969877590081</v>
      </c>
      <c r="O77" s="12">
        <f>F4/(AVERAGE(N15:O15))</f>
        <v>2.6705998499504897</v>
      </c>
      <c r="P77" s="44" t="s">
        <v>122</v>
      </c>
    </row>
    <row r="78" spans="10:16" x14ac:dyDescent="0.3">
      <c r="J78" s="31" t="s">
        <v>107</v>
      </c>
      <c r="K78" s="34">
        <f>(B13-B18)/B17</f>
        <v>2.9370829897293653</v>
      </c>
      <c r="L78" s="34">
        <f>(C13-C18)/C17</f>
        <v>3.5242921134240017</v>
      </c>
      <c r="M78" s="34">
        <f>(D13-D18)/D17</f>
        <v>2.2080605217627256</v>
      </c>
      <c r="N78" s="34">
        <f>(E13-E18)/E17</f>
        <v>1.8649890436134886</v>
      </c>
      <c r="O78" s="34">
        <f>(F13-F18)/F17</f>
        <v>2.750981317555512</v>
      </c>
      <c r="P78" s="45" t="s">
        <v>122</v>
      </c>
    </row>
  </sheetData>
  <mergeCells count="4">
    <mergeCell ref="J2:O2"/>
    <mergeCell ref="A1:O1"/>
    <mergeCell ref="A39:F39"/>
    <mergeCell ref="A2:G2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5" orientation="portrait" horizontalDpi="1200" verticalDpi="1200" r:id="rId1"/>
  <ignoredErrors>
    <ignoredError sqref="K10:O10 O72 N73:O77 N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2025-06-16T11:25:47Z</cp:lastPrinted>
  <dcterms:created xsi:type="dcterms:W3CDTF">2025-06-04T11:22:49Z</dcterms:created>
  <dcterms:modified xsi:type="dcterms:W3CDTF">2025-08-22T08:40:59Z</dcterms:modified>
</cp:coreProperties>
</file>