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1-FY26\"/>
    </mc:Choice>
  </mc:AlternateContent>
  <xr:revisionPtr revIDLastSave="0" documentId="8_{3B994A38-3492-4AD4-9D52-F8E3FECA23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Ltd.'!$A$1:$V$67</definedName>
    <definedName name="_xlnm.Print_Area" localSheetId="6">'Peer analysis'!$A$1:$V$62</definedName>
    <definedName name="_xlnm.Print_Area" localSheetId="4">'Standalone New'!$A$1:$V$75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11" l="1"/>
  <c r="L31" i="11"/>
  <c r="L26" i="11"/>
  <c r="L9" i="11"/>
  <c r="L16" i="11" s="1"/>
  <c r="L6" i="11"/>
  <c r="X60" i="11"/>
  <c r="X67" i="11"/>
  <c r="L19" i="11" l="1"/>
  <c r="L24" i="11"/>
  <c r="K56" i="11"/>
  <c r="L27" i="11" l="1"/>
  <c r="L30" i="11" s="1"/>
  <c r="X61" i="11"/>
  <c r="X63" i="11"/>
  <c r="X62" i="11"/>
  <c r="X53" i="11"/>
  <c r="X50" i="11"/>
  <c r="X14" i="11"/>
  <c r="X10" i="11"/>
  <c r="X66" i="11" s="1"/>
  <c r="X31" i="11"/>
  <c r="K36" i="11"/>
  <c r="K35" i="11"/>
  <c r="W61" i="11" l="1"/>
  <c r="K9" i="11"/>
  <c r="K16" i="11" s="1"/>
  <c r="K19" i="11" l="1"/>
  <c r="X23" i="11"/>
  <c r="X45" i="11" s="1"/>
  <c r="X12" i="11" s="1"/>
  <c r="W14" i="11"/>
  <c r="X6" i="11"/>
  <c r="X11" i="11" s="1"/>
  <c r="X57" i="11" s="1"/>
  <c r="K50" i="11"/>
  <c r="K52" i="11" s="1"/>
  <c r="K46" i="11"/>
  <c r="K47" i="11" s="1"/>
  <c r="K41" i="11"/>
  <c r="K49" i="11" s="1"/>
  <c r="K24" i="11"/>
  <c r="K27" i="11" l="1"/>
  <c r="K26" i="11"/>
  <c r="K30" i="11"/>
  <c r="X56" i="11"/>
  <c r="X46" i="11"/>
  <c r="X51" i="11"/>
  <c r="X54" i="11" s="1"/>
  <c r="X59" i="11"/>
  <c r="X58" i="11"/>
  <c r="X39" i="11"/>
  <c r="J8" i="11"/>
  <c r="K31" i="11" l="1"/>
  <c r="K57" i="11"/>
  <c r="K59" i="11" s="1"/>
  <c r="X55" i="11" s="1"/>
  <c r="K58" i="11"/>
  <c r="J9" i="11" l="1"/>
  <c r="J7" i="11"/>
  <c r="K6" i="11"/>
  <c r="W63" i="11" l="1"/>
  <c r="U63" i="11"/>
  <c r="W62" i="11"/>
  <c r="W67" i="11"/>
  <c r="V61" i="11"/>
  <c r="U61" i="11"/>
  <c r="T61" i="11"/>
  <c r="R61" i="11"/>
  <c r="W31" i="11"/>
  <c r="W23" i="11"/>
  <c r="V10" i="11"/>
  <c r="V6" i="11"/>
  <c r="V11" i="11" s="1"/>
  <c r="C7" i="11"/>
  <c r="D7" i="11"/>
  <c r="E7" i="11"/>
  <c r="H7" i="11"/>
  <c r="U64" i="11" s="1"/>
  <c r="I7" i="11"/>
  <c r="H8" i="11"/>
  <c r="I8" i="11"/>
  <c r="G8" i="11"/>
  <c r="W64" i="11"/>
  <c r="W45" i="11"/>
  <c r="W12" i="11" s="1"/>
  <c r="W10" i="11"/>
  <c r="W6" i="11"/>
  <c r="I51" i="11"/>
  <c r="J51" i="11"/>
  <c r="W39" i="11" l="1"/>
  <c r="X65" i="11" s="1"/>
  <c r="W46" i="11"/>
  <c r="W11" i="11"/>
  <c r="W51" i="11"/>
  <c r="W54" i="11" s="1"/>
  <c r="W66" i="11"/>
  <c r="W59" i="11"/>
  <c r="W58" i="11"/>
  <c r="J36" i="11"/>
  <c r="J35" i="11"/>
  <c r="J56" i="11" l="1"/>
  <c r="I56" i="11"/>
  <c r="H56" i="11"/>
  <c r="W60" i="11"/>
  <c r="W50" i="11"/>
  <c r="W53" i="11" l="1"/>
  <c r="J46" i="11"/>
  <c r="V14" i="11" l="1"/>
  <c r="U14" i="11"/>
  <c r="T14" i="11"/>
  <c r="J58" i="11" l="1"/>
  <c r="J50" i="11"/>
  <c r="J52" i="11" s="1"/>
  <c r="J6" i="11"/>
  <c r="V60" i="11"/>
  <c r="U60" i="11"/>
  <c r="V67" i="11"/>
  <c r="V50" i="11"/>
  <c r="V63" i="11"/>
  <c r="I36" i="11"/>
  <c r="I35" i="11"/>
  <c r="J57" i="11" l="1"/>
  <c r="J59" i="11" s="1"/>
  <c r="V53" i="11"/>
  <c r="V31" i="11"/>
  <c r="I58" i="11"/>
  <c r="V51" i="11"/>
  <c r="V54" i="11" s="1"/>
  <c r="I50" i="11"/>
  <c r="I52" i="11" s="1"/>
  <c r="I46" i="11"/>
  <c r="I47" i="11" s="1"/>
  <c r="J42" i="11" s="1"/>
  <c r="J47" i="11" s="1"/>
  <c r="I57" i="11" l="1"/>
  <c r="I59" i="11" s="1"/>
  <c r="V66" i="11"/>
  <c r="V46" i="11"/>
  <c r="V58" i="11"/>
  <c r="V23" i="11"/>
  <c r="V45" i="11" s="1"/>
  <c r="V12" i="11" s="1"/>
  <c r="V59" i="11"/>
  <c r="I9" i="11"/>
  <c r="I16" i="11" s="1"/>
  <c r="I6" i="11"/>
  <c r="V57" i="11" l="1"/>
  <c r="I24" i="11"/>
  <c r="I27" i="11" s="1"/>
  <c r="V39" i="11"/>
  <c r="W65" i="11" s="1"/>
  <c r="V55" i="11"/>
  <c r="I19" i="11"/>
  <c r="I30" i="11" l="1"/>
  <c r="V56" i="11"/>
  <c r="I26" i="11"/>
  <c r="U67" i="11"/>
  <c r="U53" i="11"/>
  <c r="H58" i="11"/>
  <c r="I31" i="11" l="1"/>
  <c r="H50" i="11"/>
  <c r="H52" i="11" s="1"/>
  <c r="G46" i="11"/>
  <c r="H46" i="11"/>
  <c r="H47" i="11" s="1"/>
  <c r="T32" i="11"/>
  <c r="U32" i="11"/>
  <c r="V62" i="11" s="1"/>
  <c r="V64" i="11" s="1"/>
  <c r="H36" i="11"/>
  <c r="G36" i="11"/>
  <c r="H35" i="11"/>
  <c r="H25" i="11"/>
  <c r="H9" i="11"/>
  <c r="U62" i="11" l="1"/>
  <c r="H6" i="11"/>
  <c r="H16" i="11" l="1"/>
  <c r="I17" i="11" l="1"/>
  <c r="H24" i="1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T63" i="11"/>
  <c r="T67" i="11"/>
  <c r="B14" i="7"/>
  <c r="B6" i="7"/>
  <c r="H31" i="11" l="1"/>
  <c r="B45" i="7"/>
  <c r="C43" i="7"/>
  <c r="C39" i="7"/>
  <c r="C25" i="7"/>
  <c r="C21" i="7"/>
  <c r="C20" i="7"/>
  <c r="U31" i="11" l="1"/>
  <c r="U23" i="11"/>
  <c r="U10" i="11"/>
  <c r="U6" i="11"/>
  <c r="U51" i="11" l="1"/>
  <c r="U54" i="11" s="1"/>
  <c r="U56" i="11"/>
  <c r="U66" i="11"/>
  <c r="U59" i="11"/>
  <c r="U58" i="11"/>
  <c r="H57" i="11"/>
  <c r="H59" i="11" s="1"/>
  <c r="U55" i="11" s="1"/>
  <c r="U39" i="11"/>
  <c r="V65" i="11" s="1"/>
  <c r="U11" i="11"/>
  <c r="U57" i="11" s="1"/>
  <c r="C18" i="7"/>
  <c r="U46" i="11"/>
  <c r="C19" i="7"/>
  <c r="U45" i="11"/>
  <c r="U12" i="11" s="1"/>
  <c r="G56" i="11" l="1"/>
  <c r="B28" i="7" s="1"/>
  <c r="B7" i="7" l="1"/>
  <c r="C7" i="7"/>
  <c r="S32" i="11"/>
  <c r="S26" i="11"/>
  <c r="S20" i="11"/>
  <c r="S14" i="11" s="1"/>
  <c r="S5" i="11"/>
  <c r="F10" i="11"/>
  <c r="F4" i="11"/>
  <c r="S61" i="11" l="1"/>
  <c r="F7" i="11"/>
  <c r="G7" i="11"/>
  <c r="F46" i="11"/>
  <c r="T6" i="11"/>
  <c r="T60" i="11"/>
  <c r="C34" i="7" s="1"/>
  <c r="T53" i="11"/>
  <c r="T10" i="11"/>
  <c r="T66" i="11" s="1"/>
  <c r="G35" i="11"/>
  <c r="G9" i="11"/>
  <c r="G16" i="11" s="1"/>
  <c r="G6" i="11"/>
  <c r="H17" i="11" l="1"/>
  <c r="B33" i="7"/>
  <c r="C33" i="7"/>
  <c r="B8" i="7"/>
  <c r="T59" i="11"/>
  <c r="C50" i="7" s="1"/>
  <c r="C52" i="7"/>
  <c r="T62" i="11"/>
  <c r="B46" i="7" s="1"/>
  <c r="T11" i="11"/>
  <c r="T57" i="11" s="1"/>
  <c r="T51" i="11"/>
  <c r="C40" i="7" s="1"/>
  <c r="G57" i="11"/>
  <c r="T23" i="11"/>
  <c r="T45" i="11" s="1"/>
  <c r="G58" i="11"/>
  <c r="G24" i="11"/>
  <c r="G26" i="11" s="1"/>
  <c r="T31" i="11"/>
  <c r="T46" i="11" s="1"/>
  <c r="T58" i="11"/>
  <c r="C49" i="7" s="1"/>
  <c r="G19" i="11"/>
  <c r="B10" i="7" s="1"/>
  <c r="F6" i="11"/>
  <c r="O60" i="11"/>
  <c r="O62" i="11"/>
  <c r="O63" i="11"/>
  <c r="O67" i="11"/>
  <c r="B6" i="11"/>
  <c r="B7" i="11" s="1"/>
  <c r="B9" i="11"/>
  <c r="B16" i="11" s="1"/>
  <c r="G18" i="11" s="1"/>
  <c r="P67" i="11"/>
  <c r="Q67" i="11"/>
  <c r="R67" i="11"/>
  <c r="S67" i="11"/>
  <c r="P63" i="11"/>
  <c r="E11" i="11"/>
  <c r="E9" i="11" s="1"/>
  <c r="E16" i="11" s="1"/>
  <c r="P5" i="11"/>
  <c r="P6" i="11" s="1"/>
  <c r="Q5" i="11"/>
  <c r="Q6" i="11" s="1"/>
  <c r="P10" i="11"/>
  <c r="Q10" i="11"/>
  <c r="Q66" i="11" s="1"/>
  <c r="P20" i="11"/>
  <c r="P26" i="11"/>
  <c r="P23" i="11" s="1"/>
  <c r="P31" i="11"/>
  <c r="Q20" i="11"/>
  <c r="Q14" i="11" s="1"/>
  <c r="Q26" i="11"/>
  <c r="D58" i="11" s="1"/>
  <c r="Q32" i="11"/>
  <c r="Q31" i="11" s="1"/>
  <c r="F9" i="11"/>
  <c r="F16" i="11" s="1"/>
  <c r="K18" i="11" s="1"/>
  <c r="S6" i="11"/>
  <c r="S51" i="11" s="1"/>
  <c r="R6" i="11"/>
  <c r="R51" i="11" s="1"/>
  <c r="R54" i="11" s="1"/>
  <c r="S10" i="11"/>
  <c r="F57" i="11" s="1"/>
  <c r="S23" i="11"/>
  <c r="F56" i="11"/>
  <c r="K32" i="13"/>
  <c r="C20" i="13"/>
  <c r="D35" i="11"/>
  <c r="F35" i="11"/>
  <c r="E46" i="11"/>
  <c r="E47" i="11" s="1"/>
  <c r="C46" i="11"/>
  <c r="C47" i="11" s="1"/>
  <c r="P50" i="11"/>
  <c r="P53" i="11" s="1"/>
  <c r="C9" i="11"/>
  <c r="C16" i="11" s="1"/>
  <c r="H18" i="11" s="1"/>
  <c r="C6" i="11"/>
  <c r="P62" i="11"/>
  <c r="P66" i="11"/>
  <c r="D9" i="11"/>
  <c r="D16" i="11" s="1"/>
  <c r="D6" i="11"/>
  <c r="S50" i="11"/>
  <c r="S53" i="11" s="1"/>
  <c r="R32" i="11"/>
  <c r="R31" i="11" s="1"/>
  <c r="R26" i="11"/>
  <c r="E58" i="11" s="1"/>
  <c r="R20" i="11"/>
  <c r="R14" i="11" s="1"/>
  <c r="S31" i="11"/>
  <c r="C9" i="7"/>
  <c r="E56" i="11"/>
  <c r="D56" i="11"/>
  <c r="R50" i="11"/>
  <c r="R53" i="11" s="1"/>
  <c r="Q50" i="11"/>
  <c r="Q53" i="11" s="1"/>
  <c r="O50" i="11"/>
  <c r="O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O31" i="11"/>
  <c r="E35" i="11"/>
  <c r="O23" i="11"/>
  <c r="Q63" i="11"/>
  <c r="R10" i="11"/>
  <c r="O10" i="11"/>
  <c r="O6" i="11"/>
  <c r="O51" i="11" s="1"/>
  <c r="O54" i="11" s="1"/>
  <c r="E6" i="11"/>
  <c r="E19" i="7"/>
  <c r="S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7" i="9" s="1"/>
  <c r="Q6" i="9"/>
  <c r="Q54" i="9"/>
  <c r="Q57" i="9" s="1"/>
  <c r="R54" i="9"/>
  <c r="R57" i="9" s="1"/>
  <c r="E59" i="9"/>
  <c r="U54" i="9"/>
  <c r="U57" i="9" s="1"/>
  <c r="F44" i="9"/>
  <c r="F45" i="9" s="1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E44" i="9"/>
  <c r="E45" i="9" s="1"/>
  <c r="D44" i="9"/>
  <c r="C44" i="9"/>
  <c r="B44" i="9"/>
  <c r="T35" i="9"/>
  <c r="S35" i="9"/>
  <c r="R35" i="9"/>
  <c r="P35" i="9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R6" i="9"/>
  <c r="R55" i="9" s="1"/>
  <c r="R58" i="9" s="1"/>
  <c r="P6" i="9"/>
  <c r="P11" i="9" s="1"/>
  <c r="N6" i="9"/>
  <c r="N55" i="9" s="1"/>
  <c r="N58" i="9" s="1"/>
  <c r="H6" i="9"/>
  <c r="T65" i="9" s="1"/>
  <c r="G6" i="9"/>
  <c r="F6" i="9"/>
  <c r="F7" i="9" s="1"/>
  <c r="D6" i="9"/>
  <c r="P65" i="9" s="1"/>
  <c r="C6" i="9"/>
  <c r="O65" i="9" s="1"/>
  <c r="B6" i="9"/>
  <c r="H60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M62" i="6" s="1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N25" i="5" s="1"/>
  <c r="K15" i="5"/>
  <c r="K28" i="5"/>
  <c r="B61" i="5" s="1"/>
  <c r="M28" i="5"/>
  <c r="M25" i="5" s="1"/>
  <c r="M47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I25" i="5"/>
  <c r="I47" i="5" s="1"/>
  <c r="O10" i="5"/>
  <c r="O6" i="5"/>
  <c r="O53" i="5" s="1"/>
  <c r="J10" i="5"/>
  <c r="J68" i="5" s="1"/>
  <c r="I10" i="5"/>
  <c r="F9" i="5"/>
  <c r="J6" i="5"/>
  <c r="J11" i="5" s="1"/>
  <c r="J59" i="5" s="1"/>
  <c r="I6" i="5"/>
  <c r="I58" i="5" s="1"/>
  <c r="F6" i="5"/>
  <c r="O11" i="5"/>
  <c r="O56" i="5"/>
  <c r="J63" i="5"/>
  <c r="I57" i="5"/>
  <c r="J57" i="5"/>
  <c r="O43" i="9"/>
  <c r="U25" i="9"/>
  <c r="E60" i="6"/>
  <c r="E60" i="9"/>
  <c r="T55" i="9"/>
  <c r="T58" i="9" s="1"/>
  <c r="O11" i="9"/>
  <c r="T62" i="9"/>
  <c r="T50" i="9"/>
  <c r="Q62" i="9"/>
  <c r="O49" i="9"/>
  <c r="C60" i="6"/>
  <c r="O63" i="9"/>
  <c r="C16" i="9"/>
  <c r="I19" i="9"/>
  <c r="N11" i="9"/>
  <c r="S65" i="9"/>
  <c r="S68" i="9" s="1"/>
  <c r="G7" i="9"/>
  <c r="U35" i="9"/>
  <c r="U66" i="9"/>
  <c r="S55" i="9"/>
  <c r="S58" i="9" s="1"/>
  <c r="S50" i="9"/>
  <c r="G60" i="9"/>
  <c r="T25" i="9"/>
  <c r="T43" i="9" s="1"/>
  <c r="T63" i="9"/>
  <c r="H61" i="9"/>
  <c r="H7" i="9"/>
  <c r="I8" i="9"/>
  <c r="H8" i="9"/>
  <c r="U63" i="9"/>
  <c r="I7" i="9"/>
  <c r="S62" i="9" l="1"/>
  <c r="L60" i="6"/>
  <c r="J66" i="5"/>
  <c r="N47" i="5"/>
  <c r="N12" i="5" s="1"/>
  <c r="B16" i="6"/>
  <c r="B23" i="6" s="1"/>
  <c r="B26" i="6" s="1"/>
  <c r="B27" i="6" s="1"/>
  <c r="I18" i="11"/>
  <c r="T49" i="9"/>
  <c r="T12" i="9" s="1"/>
  <c r="E61" i="5"/>
  <c r="E62" i="5" s="1"/>
  <c r="P68" i="9"/>
  <c r="R11" i="9"/>
  <c r="R61" i="9" s="1"/>
  <c r="O42" i="5"/>
  <c r="O67" i="5" s="1"/>
  <c r="B60" i="5"/>
  <c r="M12" i="5"/>
  <c r="O62" i="6"/>
  <c r="I12" i="5"/>
  <c r="H62" i="9"/>
  <c r="P55" i="9"/>
  <c r="P58" i="9" s="1"/>
  <c r="J12" i="5"/>
  <c r="O60" i="5"/>
  <c r="P43" i="9"/>
  <c r="D51" i="9" s="1"/>
  <c r="E23" i="9"/>
  <c r="E19" i="9"/>
  <c r="G60" i="6"/>
  <c r="N11" i="5"/>
  <c r="L65" i="6"/>
  <c r="F7" i="6"/>
  <c r="M11" i="5"/>
  <c r="B16" i="5"/>
  <c r="O52" i="6"/>
  <c r="O55" i="6" s="1"/>
  <c r="Q24" i="6"/>
  <c r="Q46" i="6" s="1"/>
  <c r="Q12" i="6" s="1"/>
  <c r="V67" i="9"/>
  <c r="N12" i="9"/>
  <c r="G23" i="9"/>
  <c r="G48" i="9" s="1"/>
  <c r="G53" i="9" s="1"/>
  <c r="G55" i="9" s="1"/>
  <c r="G19" i="9"/>
  <c r="S63" i="9"/>
  <c r="Q52" i="6"/>
  <c r="Q55" i="6" s="1"/>
  <c r="N52" i="6"/>
  <c r="N55" i="6" s="1"/>
  <c r="E16" i="6"/>
  <c r="N58" i="6" s="1"/>
  <c r="D16" i="9"/>
  <c r="D17" i="9" s="1"/>
  <c r="H8" i="6"/>
  <c r="L12" i="6"/>
  <c r="D62" i="6"/>
  <c r="S11" i="9"/>
  <c r="S61" i="9" s="1"/>
  <c r="N62" i="9"/>
  <c r="N59" i="6"/>
  <c r="M65" i="6"/>
  <c r="U43" i="9"/>
  <c r="U69" i="9" s="1"/>
  <c r="F16" i="5"/>
  <c r="O59" i="5" s="1"/>
  <c r="P11" i="6"/>
  <c r="O70" i="9"/>
  <c r="O50" i="9"/>
  <c r="I45" i="9"/>
  <c r="J40" i="9" s="1"/>
  <c r="K61" i="5"/>
  <c r="U70" i="9"/>
  <c r="V35" i="9"/>
  <c r="J44" i="9"/>
  <c r="H23" i="9"/>
  <c r="H26" i="9" s="1"/>
  <c r="H27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Q65" i="6" s="1"/>
  <c r="O68" i="5"/>
  <c r="B62" i="5"/>
  <c r="G7" i="6"/>
  <c r="G62" i="9"/>
  <c r="S59" i="9" s="1"/>
  <c r="T68" i="9"/>
  <c r="U62" i="9"/>
  <c r="V64" i="9"/>
  <c r="J53" i="5"/>
  <c r="J56" i="5" s="1"/>
  <c r="L11" i="5"/>
  <c r="L48" i="5"/>
  <c r="P59" i="6"/>
  <c r="I26" i="9"/>
  <c r="U60" i="9" s="1"/>
  <c r="M52" i="6"/>
  <c r="M55" i="6" s="1"/>
  <c r="C7" i="5"/>
  <c r="I61" i="5"/>
  <c r="D16" i="6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Q66" i="9"/>
  <c r="Q68" i="9" s="1"/>
  <c r="O68" i="9"/>
  <c r="R66" i="9"/>
  <c r="F23" i="9"/>
  <c r="F17" i="9"/>
  <c r="F19" i="9"/>
  <c r="I18" i="9"/>
  <c r="G17" i="9"/>
  <c r="B30" i="6"/>
  <c r="P69" i="9"/>
  <c r="D7" i="6"/>
  <c r="H19" i="9"/>
  <c r="D16" i="5"/>
  <c r="R63" i="9"/>
  <c r="B60" i="9"/>
  <c r="B62" i="9" s="1"/>
  <c r="I53" i="5"/>
  <c r="I56" i="5" s="1"/>
  <c r="I60" i="5"/>
  <c r="L25" i="5"/>
  <c r="L66" i="5"/>
  <c r="R65" i="9"/>
  <c r="I62" i="9"/>
  <c r="U59" i="9" s="1"/>
  <c r="J9" i="9"/>
  <c r="J16" i="9" s="1"/>
  <c r="T59" i="9"/>
  <c r="V25" i="9"/>
  <c r="V49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C7" i="6"/>
  <c r="F60" i="9"/>
  <c r="F62" i="9" s="1"/>
  <c r="R59" i="9" s="1"/>
  <c r="U68" i="9"/>
  <c r="D7" i="5"/>
  <c r="J6" i="9"/>
  <c r="V65" i="9" s="1"/>
  <c r="P62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T54" i="11"/>
  <c r="B35" i="7" s="1"/>
  <c r="S66" i="11"/>
  <c r="G52" i="11"/>
  <c r="B26" i="7" s="1"/>
  <c r="B25" i="7"/>
  <c r="B9" i="7"/>
  <c r="C10" i="7"/>
  <c r="T64" i="11"/>
  <c r="B47" i="7" s="1"/>
  <c r="B44" i="7"/>
  <c r="G59" i="11"/>
  <c r="T55" i="11" s="1"/>
  <c r="Q62" i="11"/>
  <c r="D57" i="11"/>
  <c r="D59" i="11" s="1"/>
  <c r="Q55" i="11" s="1"/>
  <c r="R63" i="11"/>
  <c r="S11" i="11"/>
  <c r="S57" i="11" s="1"/>
  <c r="H30" i="9"/>
  <c r="T69" i="9"/>
  <c r="H25" i="9"/>
  <c r="C19" i="9"/>
  <c r="C23" i="9"/>
  <c r="C17" i="9"/>
  <c r="M61" i="5"/>
  <c r="D61" i="5"/>
  <c r="B19" i="5"/>
  <c r="M60" i="6"/>
  <c r="M47" i="6"/>
  <c r="M59" i="6"/>
  <c r="M67" i="6"/>
  <c r="N24" i="6"/>
  <c r="E61" i="6"/>
  <c r="E62" i="6" s="1"/>
  <c r="Q41" i="6"/>
  <c r="O65" i="6"/>
  <c r="Q67" i="6"/>
  <c r="Q60" i="6"/>
  <c r="H60" i="6"/>
  <c r="Q59" i="6"/>
  <c r="Q47" i="6"/>
  <c r="F26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G26" i="9"/>
  <c r="L61" i="5"/>
  <c r="H59" i="6"/>
  <c r="N60" i="6"/>
  <c r="M42" i="5"/>
  <c r="C62" i="6"/>
  <c r="J48" i="5"/>
  <c r="F7" i="5"/>
  <c r="F8" i="5"/>
  <c r="O24" i="6"/>
  <c r="F61" i="6"/>
  <c r="F62" i="6" s="1"/>
  <c r="O56" i="6" s="1"/>
  <c r="O47" i="6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R62" i="9"/>
  <c r="U11" i="9"/>
  <c r="U61" i="9" s="1"/>
  <c r="Q55" i="9"/>
  <c r="Q58" i="9" s="1"/>
  <c r="R67" i="9"/>
  <c r="D60" i="5"/>
  <c r="D62" i="5" s="1"/>
  <c r="M57" i="5" s="1"/>
  <c r="S58" i="11"/>
  <c r="G27" i="11"/>
  <c r="T56" i="11" s="1"/>
  <c r="Q23" i="11"/>
  <c r="Q45" i="11" s="1"/>
  <c r="Q12" i="11" s="1"/>
  <c r="S46" i="11"/>
  <c r="S62" i="11"/>
  <c r="R11" i="11"/>
  <c r="R57" i="11" s="1"/>
  <c r="P46" i="11"/>
  <c r="P58" i="11"/>
  <c r="E24" i="11"/>
  <c r="E27" i="11" s="1"/>
  <c r="E19" i="11"/>
  <c r="Q59" i="11"/>
  <c r="Q51" i="11"/>
  <c r="Q54" i="11" s="1"/>
  <c r="Q58" i="11"/>
  <c r="R62" i="11"/>
  <c r="R58" i="11"/>
  <c r="O39" i="11"/>
  <c r="O65" i="11" s="1"/>
  <c r="O59" i="11"/>
  <c r="O46" i="11"/>
  <c r="O11" i="11"/>
  <c r="O57" i="11" s="1"/>
  <c r="S39" i="11"/>
  <c r="D24" i="11"/>
  <c r="D27" i="11" s="1"/>
  <c r="D30" i="11" s="1"/>
  <c r="D19" i="11"/>
  <c r="G47" i="11"/>
  <c r="T39" i="11"/>
  <c r="T12" i="11"/>
  <c r="S54" i="11"/>
  <c r="P39" i="11"/>
  <c r="P65" i="11" s="1"/>
  <c r="P45" i="11"/>
  <c r="P12" i="11" s="1"/>
  <c r="F24" i="11"/>
  <c r="G17" i="11"/>
  <c r="F17" i="11"/>
  <c r="F19" i="11"/>
  <c r="P11" i="11"/>
  <c r="P57" i="11" s="1"/>
  <c r="C19" i="11"/>
  <c r="C17" i="11"/>
  <c r="P55" i="11"/>
  <c r="C24" i="11"/>
  <c r="D17" i="11"/>
  <c r="O55" i="11"/>
  <c r="B17" i="11"/>
  <c r="B24" i="11"/>
  <c r="B19" i="11"/>
  <c r="E17" i="11"/>
  <c r="E57" i="11"/>
  <c r="E59" i="11" s="1"/>
  <c r="R55" i="11" s="1"/>
  <c r="O45" i="11"/>
  <c r="O12" i="11" s="1"/>
  <c r="Q46" i="11"/>
  <c r="R23" i="11"/>
  <c r="P59" i="11"/>
  <c r="F58" i="11"/>
  <c r="F59" i="11" s="1"/>
  <c r="C29" i="7" s="1"/>
  <c r="Q11" i="11"/>
  <c r="Q57" i="11" s="1"/>
  <c r="O58" i="11"/>
  <c r="S59" i="11"/>
  <c r="R66" i="11"/>
  <c r="R46" i="11"/>
  <c r="R59" i="11"/>
  <c r="Q61" i="11"/>
  <c r="P61" i="11"/>
  <c r="P64" i="11" s="1"/>
  <c r="O66" i="11"/>
  <c r="O61" i="11"/>
  <c r="O64" i="11" s="1"/>
  <c r="S45" i="11"/>
  <c r="S12" i="11" s="1"/>
  <c r="G25" i="9" l="1"/>
  <c r="B48" i="6"/>
  <c r="B53" i="6" s="1"/>
  <c r="K57" i="6"/>
  <c r="T60" i="9"/>
  <c r="H48" i="9"/>
  <c r="H53" i="9" s="1"/>
  <c r="H55" i="9" s="1"/>
  <c r="G62" i="6"/>
  <c r="V12" i="9"/>
  <c r="B19" i="6"/>
  <c r="M59" i="5"/>
  <c r="F17" i="6"/>
  <c r="E23" i="6"/>
  <c r="N56" i="6"/>
  <c r="M56" i="6"/>
  <c r="R68" i="9"/>
  <c r="B19" i="9"/>
  <c r="J45" i="9"/>
  <c r="K57" i="5"/>
  <c r="H19" i="6"/>
  <c r="B23" i="5"/>
  <c r="K59" i="5"/>
  <c r="V43" i="9"/>
  <c r="V69" i="9" s="1"/>
  <c r="N59" i="9"/>
  <c r="F25" i="6"/>
  <c r="E48" i="9"/>
  <c r="E53" i="9" s="1"/>
  <c r="E55" i="9" s="1"/>
  <c r="E26" i="9"/>
  <c r="U65" i="11"/>
  <c r="T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Q64" i="11"/>
  <c r="G30" i="11"/>
  <c r="H32" i="11" s="1"/>
  <c r="B11" i="7"/>
  <c r="Q39" i="11"/>
  <c r="C26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Q56" i="11"/>
  <c r="R64" i="11"/>
  <c r="D26" i="11"/>
  <c r="E26" i="11"/>
  <c r="S64" i="11"/>
  <c r="S55" i="11"/>
  <c r="B26" i="11"/>
  <c r="B27" i="11"/>
  <c r="C27" i="11"/>
  <c r="C26" i="11"/>
  <c r="R39" i="11"/>
  <c r="S65" i="11" s="1"/>
  <c r="R45" i="11"/>
  <c r="R12" i="11" s="1"/>
  <c r="E30" i="11"/>
  <c r="R56" i="11"/>
  <c r="D31" i="11"/>
  <c r="I33" i="11" s="1"/>
  <c r="F26" i="11"/>
  <c r="F27" i="11"/>
  <c r="C25" i="5" l="1"/>
  <c r="F26" i="5"/>
  <c r="F30" i="5" s="1"/>
  <c r="E30" i="9"/>
  <c r="H32" i="9" s="1"/>
  <c r="Q60" i="9"/>
  <c r="E27" i="9"/>
  <c r="B30" i="9"/>
  <c r="N60" i="9"/>
  <c r="Q65" i="11"/>
  <c r="R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R69" i="9"/>
  <c r="Q69" i="9"/>
  <c r="C25" i="6"/>
  <c r="C26" i="6"/>
  <c r="C48" i="6"/>
  <c r="C53" i="6" s="1"/>
  <c r="C55" i="6" s="1"/>
  <c r="L58" i="6"/>
  <c r="D30" i="6"/>
  <c r="G31" i="11"/>
  <c r="B36" i="7"/>
  <c r="C36" i="7"/>
  <c r="E30" i="6"/>
  <c r="F31" i="6" s="1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O58" i="5"/>
  <c r="C27" i="9"/>
  <c r="O60" i="9"/>
  <c r="C30" i="9"/>
  <c r="E48" i="5"/>
  <c r="E53" i="5" s="1"/>
  <c r="E55" i="5" s="1"/>
  <c r="E25" i="5"/>
  <c r="E26" i="5"/>
  <c r="E32" i="11"/>
  <c r="E31" i="11"/>
  <c r="O56" i="11"/>
  <c r="B30" i="11"/>
  <c r="S56" i="11"/>
  <c r="F30" i="11"/>
  <c r="G32" i="11" s="1"/>
  <c r="C13" i="7"/>
  <c r="C30" i="11"/>
  <c r="P56" i="11"/>
  <c r="F27" i="5" l="1"/>
  <c r="M57" i="6"/>
  <c r="B13" i="7"/>
  <c r="D30" i="9"/>
  <c r="D31" i="9" s="1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F32" i="11"/>
  <c r="F31" i="11"/>
  <c r="K33" i="11" s="1"/>
  <c r="G33" i="11" l="1"/>
  <c r="B12" i="7" s="1"/>
  <c r="D31" i="6"/>
  <c r="H31" i="6"/>
  <c r="E31" i="5"/>
  <c r="E32" i="5"/>
  <c r="J16" i="11"/>
  <c r="J18" i="11" l="1"/>
  <c r="K17" i="11"/>
  <c r="J24" i="11"/>
  <c r="J26" i="11" s="1"/>
  <c r="J17" i="11"/>
  <c r="W55" i="11"/>
  <c r="W57" i="11"/>
  <c r="J19" i="11"/>
  <c r="J27" i="11" l="1"/>
  <c r="W56" i="11" l="1"/>
  <c r="J30" i="11"/>
  <c r="K32" i="11" s="1"/>
  <c r="J31" i="11" l="1"/>
  <c r="J33" i="11" s="1"/>
  <c r="J3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O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R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<sst xmlns="http://schemas.openxmlformats.org/spreadsheetml/2006/main" count="873" uniqueCount="240">
  <si>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</si>
  <si>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</si>
  <si>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</si>
  <si>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</si>
  <si>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</si>
  <si>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</si>
  <si>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</si>
  <si>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</si>
  <si>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</si>
  <si>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</si>
  <si>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</si>
  <si>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</si>
  <si>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</si>
  <si>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</si>
  <si>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</si>
  <si>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</si>
  <si>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</si>
  <si>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</si>
  <si>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</si>
  <si>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</si>
  <si>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</si>
  <si>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</si>
  <si>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</si>
  <si>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</si>
  <si>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</si>
  <si>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</si>
  <si>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</si>
  <si>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</si>
  <si>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</si>
  <si>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</si>
  <si>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</si>
  <si>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</si>
  <si>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</si>
  <si>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</si>
  <si>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</si>
  <si>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</si>
  <si>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</si>
  <si>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</si>
  <si>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</si>
  <si>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</si>
  <si>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</si>
  <si>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</si>
  <si>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</si>
  <si>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</si>
  <si>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</si>
  <si>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</si>
  <si>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</si>
  <si>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</si>
  <si>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</si>
  <si>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</si>
  <si>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</si>
  <si>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</si>
  <si>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</si>
  <si>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</si>
  <si>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</si>
  <si>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</si>
  <si>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</si>
  <si>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</si>
  <si>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</si>
  <si>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</si>
  <si>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</si>
  <si>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</si>
  <si>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</si>
  <si>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</si>
  <si>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</si>
  <si>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</si>
  <si>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</si>
  <si>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</si>
  <si>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</si>
  <si>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</si>
  <si>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</si>
  <si>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</si>
  <si>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</si>
  <si>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</si>
  <si>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</si>
  <si>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</si>
  <si>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</si>
  <si>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</si>
  <si>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</si>
  <si>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</si>
  <si>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</si>
  <si>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</si>
  <si>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</si>
  <si>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</si>
  <si>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</si>
  <si>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</si>
  <si>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</si>
  <si>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</si>
  <si>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</si>
  <si>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</si>
  <si>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</si>
  <si>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</si>
  <si>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</si>
  <si>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</si>
  <si>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</si>
  <si>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</si>
  <si>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</si>
  <si>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</si>
  <si>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</si>
  <si>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</si>
  <si>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</si>
  <si>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</si>
  <si>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</si>
  <si>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</si>
  <si>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</si>
  <si>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</si>
  <si>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</si>
  <si>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</si>
  <si>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</si>
  <si>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</si>
  <si>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</si>
  <si>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</si>
  <si>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</si>
  <si>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</si>
  <si>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</si>
  <si>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</si>
  <si>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</si>
  <si>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</si>
  <si>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</si>
  <si>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</si>
  <si>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</si>
  <si>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</si>
  <si>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</si>
  <si>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</si>
  <si>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</si>
  <si>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</si>
  <si>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</si>
  <si>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</si>
  <si>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</si>
  <si>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</si>
  <si>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</si>
  <si>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</si>
  <si>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</si>
  <si>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</si>
  <si>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</si>
  <si>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</si>
  <si>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</si>
  <si>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</si>
  <si>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</si>
  <si>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</si>
  <si>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</si>
  <si>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</si>
  <si>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</si>
  <si>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</si>
  <si>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</si>
  <si>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</si>
  <si>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</si>
  <si>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</si>
  <si>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</si>
  <si>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</si>
  <si>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</si>
  <si>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</si>
  <si>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</si>
  <si>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</si>
  <si>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</si>
  <si>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</si>
  <si>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</si>
  <si>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</si>
  <si>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</si>
  <si>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</si>
  <si>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</si>
  <si>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</si>
  <si>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</si>
  <si>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</si>
  <si>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</si>
  <si>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</si>
  <si>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</si>
  <si>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</si>
  <si>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</si>
  <si>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</si>
  <si>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</si>
  <si>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</si>
  <si>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</si>
  <si>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</si>
  <si>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</si>
  <si>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</si>
  <si>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</si>
  <si>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</si>
  <si>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</si>
  <si>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</si>
  <si>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</si>
  <si>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</si>
  <si>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</si>
  <si>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</si>
  <si>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</si>
  <si>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</si>
  <si>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</si>
  <si>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</si>
  <si>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</si>
  <si>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</si>
  <si>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</si>
  <si>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</si>
  <si>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</si>
  <si>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</si>
  <si>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</si>
  <si>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</si>
  <si>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</si>
  <si>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</si>
  <si>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</si>
  <si>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</si>
  <si>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</si>
  <si>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</si>
  <si>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</si>
  <si>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</si>
  <si>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</si>
  <si>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</si>
  <si>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</si>
  <si>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</si>
  <si>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</si>
  <si>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</si>
  <si>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</si>
  <si>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</si>
  <si>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</si>
  <si>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</si>
  <si>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</si>
  <si>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</si>
  <si>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</si>
  <si>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</si>
  <si>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</si>
  <si>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</si>
  <si>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</si>
  <si>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</si>
  <si>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</si>
  <si>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</si>
  <si>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</si>
  <si>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</si>
  <si>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</si>
  <si>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</si>
  <si>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 xml:space="preserve">Total Non Current Assets </t>
  </si>
  <si>
    <t>Note:</t>
  </si>
  <si>
    <t>FY24</t>
  </si>
  <si>
    <t>Balance Sheet ratios are as in FY24 basis.</t>
  </si>
  <si>
    <t>FY 25</t>
  </si>
  <si>
    <t>Other Manufacturing expenses(Power &amp; Fuel)</t>
  </si>
  <si>
    <t>FY25</t>
  </si>
  <si>
    <t>Other Financial Assetes</t>
  </si>
  <si>
    <t>CMP(Rs) (31st March)</t>
  </si>
  <si>
    <t>Q1-FY 26</t>
  </si>
  <si>
    <t>Q1-FY26</t>
  </si>
  <si>
    <t>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</si>
</sst>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2" formatCode="0.000"/>
  </numFmts>
  <fonts count="4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sz val="10"/>
      <color rgb="FF000000"/>
      <name val="MyFirstFont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26" fillId="0" borderId="1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3" borderId="1" xfId="0" applyNumberFormat="1" applyFont="1" applyFill="1" applyBorder="1"/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0" fontId="25" fillId="5" borderId="1" xfId="0" applyFont="1" applyFill="1" applyBorder="1"/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3" fontId="28" fillId="0" borderId="1" xfId="2" applyFont="1" applyBorder="1" applyAlignment="1">
      <alignment wrapText="1"/>
    </xf>
    <xf numFmtId="10" fontId="33" fillId="4" borderId="1" xfId="1" applyNumberFormat="1" applyFont="1" applyFill="1" applyBorder="1"/>
    <xf numFmtId="43" fontId="25" fillId="0" borderId="1" xfId="2" applyFont="1" applyBorder="1" applyAlignment="1">
      <alignment horizontal="right"/>
    </xf>
    <xf numFmtId="170" fontId="28" fillId="0" borderId="1" xfId="2" applyNumberFormat="1" applyFont="1" applyBorder="1"/>
    <xf numFmtId="43" fontId="1" fillId="0" borderId="0" xfId="1" applyNumberFormat="1" applyFont="1"/>
    <xf numFmtId="172" fontId="28" fillId="0" borderId="1" xfId="0" applyNumberFormat="1" applyFont="1" applyBorder="1"/>
    <xf numFmtId="165" fontId="29" fillId="0" borderId="1" xfId="1" applyNumberFormat="1" applyFont="1" applyFill="1" applyBorder="1"/>
    <xf numFmtId="169" fontId="26" fillId="0" borderId="1" xfId="2" applyNumberFormat="1" applyFont="1" applyFill="1" applyBorder="1"/>
    <xf numFmtId="169" fontId="29" fillId="0" borderId="1" xfId="2" applyNumberFormat="1" applyFont="1" applyFill="1" applyBorder="1"/>
    <xf numFmtId="170" fontId="25" fillId="0" borderId="1" xfId="0" applyNumberFormat="1" applyFont="1" applyBorder="1"/>
    <xf numFmtId="43" fontId="25" fillId="4" borderId="1" xfId="2" applyFont="1" applyFill="1" applyBorder="1" applyAlignment="1">
      <alignment horizontal="right"/>
    </xf>
    <xf numFmtId="0" fontId="44" fillId="0" borderId="0" xfId="0" applyFont="1"/>
    <xf numFmtId="0" fontId="25" fillId="5" borderId="3" xfId="0" applyFont="1" applyFill="1" applyBorder="1"/>
    <xf numFmtId="0" fontId="28" fillId="0" borderId="0" xfId="0" applyFont="1" applyAlignment="1">
      <alignment horizontal="center"/>
    </xf>
    <xf numFmtId="170" fontId="29" fillId="0" borderId="0" xfId="2" applyNumberFormat="1" applyFont="1" applyFill="1" applyBorder="1"/>
    <xf numFmtId="43" fontId="29" fillId="0" borderId="0" xfId="2" applyFont="1" applyFill="1" applyBorder="1"/>
    <xf numFmtId="170" fontId="26" fillId="0" borderId="0" xfId="2" applyNumberFormat="1" applyFont="1" applyFill="1" applyBorder="1"/>
    <xf numFmtId="170" fontId="25" fillId="0" borderId="0" xfId="2" applyNumberFormat="1" applyFont="1" applyFill="1" applyBorder="1"/>
    <xf numFmtId="170" fontId="28" fillId="0" borderId="0" xfId="2" applyNumberFormat="1" applyFont="1" applyFill="1" applyBorder="1"/>
    <xf numFmtId="170" fontId="25" fillId="0" borderId="1" xfId="2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left"/>
    </xf>
    <xf numFmtId="9" fontId="28" fillId="0" borderId="0" xfId="1" applyFont="1" applyFill="1"/>
    <xf numFmtId="170" fontId="30" fillId="0" borderId="1" xfId="0" applyNumberFormat="1" applyFont="1" applyBorder="1"/>
    <xf numFmtId="169" fontId="28" fillId="0" borderId="0" xfId="0" applyNumberFormat="1" applyFont="1" applyAlignment="1">
      <alignment horizontal="center"/>
    </xf>
    <xf numFmtId="170" fontId="28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right"/>
    </xf>
    <xf numFmtId="43" fontId="25" fillId="4" borderId="3" xfId="2" applyFont="1" applyFill="1" applyBorder="1" applyAlignment="1">
      <alignment horizontal="right"/>
    </xf>
    <xf numFmtId="171" fontId="28" fillId="4" borderId="3" xfId="2" applyNumberFormat="1" applyFont="1" applyFill="1" applyBorder="1" applyAlignment="1">
      <alignment horizontal="right"/>
    </xf>
    <xf numFmtId="43" fontId="28" fillId="0" borderId="3" xfId="0" applyNumberFormat="1" applyFont="1" applyBorder="1" applyAlignment="1">
      <alignment horizontal="right"/>
    </xf>
    <xf numFmtId="10" fontId="28" fillId="0" borderId="3" xfId="0" applyNumberFormat="1" applyFont="1" applyBorder="1"/>
    <xf numFmtId="165" fontId="29" fillId="0" borderId="3" xfId="1" applyNumberFormat="1" applyFont="1" applyFill="1" applyBorder="1"/>
    <xf numFmtId="43" fontId="29" fillId="4" borderId="3" xfId="0" applyNumberFormat="1" applyFont="1" applyFill="1" applyBorder="1"/>
    <xf numFmtId="43" fontId="28" fillId="4" borderId="3" xfId="0" applyNumberFormat="1" applyFont="1" applyFill="1" applyBorder="1"/>
    <xf numFmtId="0" fontId="15" fillId="8" borderId="0" xfId="0" applyFont="1" applyFill="1" applyAlignment="1">
      <alignment horizontal="right" vertical="center" wrapText="1" indent="1"/>
    </xf>
    <xf numFmtId="0" fontId="44" fillId="0" borderId="1" xfId="0" applyFont="1" applyBorder="1"/>
    <xf numFmtId="171" fontId="28" fillId="0" borderId="1" xfId="2" applyNumberFormat="1" applyFont="1" applyFill="1" applyBorder="1" applyAlignment="1">
      <alignment horizontal="right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43" fontId="26" fillId="0" borderId="1" xfId="2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80"/>
  <sheetViews>
    <sheetView tabSelected="1" showRuler="0" topLeftCell="S42" zoomScale="74" zoomScaleNormal="74" zoomScaleSheetLayoutView="80" zoomScalePageLayoutView="85" workbookViewId="0">
      <selection activeCell="AC54" sqref="AC54"/>
    </sheetView>
  </sheetViews>
  <sheetFormatPr defaultColWidth="9.1796875" defaultRowHeight="11.5"/>
  <cols>
    <col min="1" max="1" width="52.453125" style="1" bestFit="1" customWidth="1"/>
    <col min="2" max="2" width="12.26953125" style="1" hidden="1" customWidth="1"/>
    <col min="3" max="3" width="18" style="1" customWidth="1"/>
    <col min="4" max="9" width="15" style="10" bestFit="1" customWidth="1"/>
    <col min="10" max="10" width="19.81640625" style="10" bestFit="1" customWidth="1"/>
    <col min="11" max="11" width="18.453125" style="10" bestFit="1" customWidth="1"/>
    <col min="12" max="12" width="18.453125" style="10" customWidth="1"/>
    <col min="13" max="13" width="13.453125" style="10" customWidth="1"/>
    <col min="14" max="14" width="61" style="1" customWidth="1"/>
    <col min="15" max="15" width="11.453125" style="10" hidden="1" customWidth="1"/>
    <col min="16" max="16" width="8.81640625" style="1" hidden="1" customWidth="1"/>
    <col min="17" max="17" width="13.1796875" style="16" bestFit="1" customWidth="1"/>
    <col min="18" max="19" width="13.1796875" style="1" bestFit="1" customWidth="1"/>
    <col min="20" max="20" width="15.453125" style="1" customWidth="1"/>
    <col min="21" max="21" width="13.453125" style="1" customWidth="1"/>
    <col min="22" max="23" width="13.453125" style="1" bestFit="1" customWidth="1"/>
    <col min="24" max="24" width="15.453125" style="1" bestFit="1" customWidth="1"/>
    <col min="25" max="25" width="10.453125" style="1" bestFit="1" customWidth="1"/>
    <col min="26" max="16384" width="9.1796875" style="1"/>
  </cols>
  <sheetData>
    <row r="1" spans="1:39" ht="15" customHeight="1">
      <c r="A1" s="431" t="s">
        <v>176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</row>
    <row r="2" spans="1:39" ht="15" customHeight="1">
      <c r="A2" s="415" t="s">
        <v>97</v>
      </c>
      <c r="B2" s="415"/>
      <c r="C2" s="415"/>
      <c r="D2" s="415"/>
      <c r="E2" s="415"/>
      <c r="F2" s="415"/>
      <c r="G2" s="247"/>
      <c r="H2" s="247"/>
      <c r="I2" s="247"/>
      <c r="J2" s="247"/>
      <c r="K2" s="247"/>
      <c r="L2" s="247"/>
      <c r="M2"/>
      <c r="N2" s="257" t="s">
        <v>96</v>
      </c>
      <c r="O2" s="257"/>
      <c r="P2" s="257"/>
      <c r="Q2" s="257"/>
      <c r="R2" s="257"/>
      <c r="S2" s="257"/>
      <c r="T2" s="257"/>
      <c r="U2" s="378"/>
      <c r="V2" s="102"/>
    </row>
    <row r="3" spans="1:39" ht="15" customHeigh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230</v>
      </c>
      <c r="K3" s="131" t="s">
        <v>232</v>
      </c>
      <c r="L3" s="131" t="s">
        <v>237</v>
      </c>
      <c r="M3"/>
      <c r="N3" s="101" t="s">
        <v>0</v>
      </c>
      <c r="O3" s="162" t="s">
        <v>33</v>
      </c>
      <c r="P3" s="162" t="s">
        <v>34</v>
      </c>
      <c r="Q3" s="163" t="s">
        <v>87</v>
      </c>
      <c r="R3" s="144" t="s">
        <v>133</v>
      </c>
      <c r="S3" s="144" t="s">
        <v>166</v>
      </c>
      <c r="T3" s="144" t="s">
        <v>213</v>
      </c>
      <c r="U3" s="380" t="s">
        <v>224</v>
      </c>
      <c r="V3" s="162" t="s">
        <v>226</v>
      </c>
      <c r="W3" s="162" t="s">
        <v>230</v>
      </c>
      <c r="X3" s="144" t="s">
        <v>234</v>
      </c>
    </row>
    <row r="4" spans="1:39" ht="15" customHeight="1">
      <c r="A4" s="101" t="s">
        <v>169</v>
      </c>
      <c r="B4" s="332">
        <v>1666.95</v>
      </c>
      <c r="C4" s="279">
        <v>2039.0170000000001</v>
      </c>
      <c r="D4" s="402">
        <v>2428.377</v>
      </c>
      <c r="E4" s="402">
        <v>2498.7089999999998</v>
      </c>
      <c r="F4" s="402">
        <f>3057.909+7.017</f>
        <v>3064.9259999999999</v>
      </c>
      <c r="G4" s="402">
        <v>3965.694</v>
      </c>
      <c r="H4" s="402">
        <v>6431.83</v>
      </c>
      <c r="I4" s="402">
        <v>6480.41</v>
      </c>
      <c r="J4" s="402">
        <v>6214.7259999999997</v>
      </c>
      <c r="K4" s="414">
        <v>5378.9840000000004</v>
      </c>
      <c r="L4" s="414">
        <v>1310.6300000000001</v>
      </c>
      <c r="M4"/>
      <c r="N4" s="102" t="s">
        <v>35</v>
      </c>
      <c r="O4" s="113">
        <v>137.94</v>
      </c>
      <c r="P4" s="282">
        <v>376.09800000000001</v>
      </c>
      <c r="Q4" s="282">
        <v>376.09800000000001</v>
      </c>
      <c r="R4" s="282">
        <v>390.62700000000001</v>
      </c>
      <c r="S4" s="312">
        <v>0</v>
      </c>
      <c r="T4" s="312">
        <v>130.209</v>
      </c>
      <c r="U4" s="381">
        <v>130.209</v>
      </c>
      <c r="V4" s="102">
        <v>130.209</v>
      </c>
      <c r="W4" s="102">
        <v>130.209</v>
      </c>
      <c r="X4" s="102">
        <v>130.209</v>
      </c>
    </row>
    <row r="5" spans="1:39" ht="15" customHeight="1">
      <c r="A5" s="102" t="s">
        <v>6</v>
      </c>
      <c r="B5" s="102">
        <v>8.1999999999999993</v>
      </c>
      <c r="C5" s="280">
        <v>0.93400000000000005</v>
      </c>
      <c r="D5" s="403">
        <v>27.035</v>
      </c>
      <c r="E5" s="403">
        <v>43.515999999999998</v>
      </c>
      <c r="F5" s="403">
        <v>65.885999999999996</v>
      </c>
      <c r="G5" s="403">
        <v>2.8220000000000001</v>
      </c>
      <c r="H5" s="403">
        <v>3.62</v>
      </c>
      <c r="I5" s="403">
        <v>6.7560000000000002</v>
      </c>
      <c r="J5" s="403">
        <v>11.339</v>
      </c>
      <c r="K5" s="403">
        <v>13.387</v>
      </c>
      <c r="L5" s="403">
        <v>1.3360000000000001</v>
      </c>
      <c r="M5"/>
      <c r="N5" s="102" t="s">
        <v>179</v>
      </c>
      <c r="O5" s="113">
        <v>494.613</v>
      </c>
      <c r="P5" s="282">
        <f>14.529+329.017</f>
        <v>343.54599999999999</v>
      </c>
      <c r="Q5" s="282">
        <f>14.529+482.751</f>
        <v>497.28</v>
      </c>
      <c r="R5" s="282">
        <v>635.53200000000004</v>
      </c>
      <c r="S5" s="289">
        <f>130.209+1136.998</f>
        <v>1267.2070000000001</v>
      </c>
      <c r="T5" s="289">
        <v>1557.136</v>
      </c>
      <c r="U5" s="382">
        <v>2191.2800000000002</v>
      </c>
      <c r="V5" s="102">
        <v>2462.3919999999998</v>
      </c>
      <c r="W5" s="298">
        <v>2769.1190000000001</v>
      </c>
      <c r="X5" s="136">
        <v>2890.0970000000002</v>
      </c>
    </row>
    <row r="6" spans="1:39" ht="15" customHeight="1">
      <c r="A6" s="105" t="s">
        <v>95</v>
      </c>
      <c r="B6" s="301">
        <f t="shared" ref="B6:I6" si="0">B4+B5</f>
        <v>1675.15</v>
      </c>
      <c r="C6" s="284">
        <f t="shared" si="0"/>
        <v>2039.951</v>
      </c>
      <c r="D6" s="284">
        <f t="shared" si="0"/>
        <v>2455.4119999999998</v>
      </c>
      <c r="E6" s="284">
        <f t="shared" si="0"/>
        <v>2542.2249999999999</v>
      </c>
      <c r="F6" s="284">
        <f t="shared" si="0"/>
        <v>3130.8119999999999</v>
      </c>
      <c r="G6" s="284">
        <f t="shared" si="0"/>
        <v>3968.5160000000001</v>
      </c>
      <c r="H6" s="284">
        <f t="shared" si="0"/>
        <v>6435.45</v>
      </c>
      <c r="I6" s="284">
        <f t="shared" si="0"/>
        <v>6487.1660000000002</v>
      </c>
      <c r="J6" s="284">
        <f>J4+J5</f>
        <v>6226.0649999999996</v>
      </c>
      <c r="K6" s="284">
        <f>K4+K5</f>
        <v>5392.3710000000001</v>
      </c>
      <c r="L6" s="284">
        <f>L4+L5</f>
        <v>1311.9660000000001</v>
      </c>
      <c r="M6"/>
      <c r="N6" s="105" t="s">
        <v>37</v>
      </c>
      <c r="O6" s="106">
        <f t="shared" ref="O6:S6" si="1">(O4+O5)</f>
        <v>632.553</v>
      </c>
      <c r="P6" s="284">
        <f t="shared" ref="P6" si="2">(P4+P5)</f>
        <v>719.64400000000001</v>
      </c>
      <c r="Q6" s="284">
        <f t="shared" si="1"/>
        <v>873.37799999999993</v>
      </c>
      <c r="R6" s="284">
        <f>(R4+R5)</f>
        <v>1026.1590000000001</v>
      </c>
      <c r="S6" s="284">
        <f t="shared" si="1"/>
        <v>1267.2070000000001</v>
      </c>
      <c r="T6" s="284">
        <f>(T4+T5)</f>
        <v>1687.345</v>
      </c>
      <c r="U6" s="284">
        <f>(U4+U5)</f>
        <v>2321.489</v>
      </c>
      <c r="V6" s="284">
        <f>(V4+V5)</f>
        <v>2592.6009999999997</v>
      </c>
      <c r="W6" s="284">
        <f>(W4+W5)</f>
        <v>2899.328</v>
      </c>
      <c r="X6" s="105">
        <f>SUM(X4:X5)</f>
        <v>3020.306</v>
      </c>
    </row>
    <row r="7" spans="1:39" ht="15" customHeight="1">
      <c r="A7" s="107" t="s">
        <v>2</v>
      </c>
      <c r="B7" s="285" t="e">
        <f t="shared" ref="B7" si="3">(B6/A6-1)</f>
        <v>#VALUE!</v>
      </c>
      <c r="C7" s="109">
        <f t="shared" ref="C7:I7" si="4">(C4/B4-1)</f>
        <v>0.22320225561654516</v>
      </c>
      <c r="D7" s="109">
        <f t="shared" si="4"/>
        <v>0.19095475908244008</v>
      </c>
      <c r="E7" s="109">
        <f t="shared" si="4"/>
        <v>2.8962554002117447E-2</v>
      </c>
      <c r="F7" s="109">
        <f t="shared" si="4"/>
        <v>0.22660381821172448</v>
      </c>
      <c r="G7" s="109">
        <f t="shared" si="4"/>
        <v>0.29389551330113672</v>
      </c>
      <c r="H7" s="109">
        <f t="shared" si="4"/>
        <v>0.62186744615192202</v>
      </c>
      <c r="I7" s="109">
        <f t="shared" si="4"/>
        <v>7.553060326532357E-3</v>
      </c>
      <c r="J7" s="109">
        <f>(J4/I4-1)</f>
        <v>-4.0998023273218887E-2</v>
      </c>
      <c r="K7" s="109"/>
      <c r="L7" s="109"/>
      <c r="M7"/>
      <c r="N7" s="102" t="s">
        <v>168</v>
      </c>
      <c r="O7" s="113"/>
      <c r="P7" s="282"/>
      <c r="Q7" s="282"/>
      <c r="R7" s="298">
        <v>0</v>
      </c>
      <c r="S7" s="298">
        <v>0</v>
      </c>
      <c r="T7" s="298">
        <v>0</v>
      </c>
      <c r="U7" s="286"/>
      <c r="V7" s="102"/>
      <c r="W7" s="102"/>
      <c r="X7" s="102"/>
      <c r="Y7" s="239"/>
      <c r="Z7" s="239"/>
      <c r="AA7" s="239"/>
      <c r="AB7" s="239"/>
      <c r="AC7" s="239"/>
    </row>
    <row r="8" spans="1:39" ht="15" customHeight="1">
      <c r="A8" s="107" t="s">
        <v>214</v>
      </c>
      <c r="B8" s="107"/>
      <c r="C8" s="302"/>
      <c r="D8" s="285"/>
      <c r="E8" s="285"/>
      <c r="F8" s="285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0.21690667841224909</v>
      </c>
      <c r="J8" s="109">
        <f>((J4/E4)^(1/5)-1)</f>
        <v>0.19988952219964662</v>
      </c>
      <c r="K8" s="109"/>
      <c r="L8" s="109"/>
      <c r="M8"/>
      <c r="N8" s="102" t="s">
        <v>39</v>
      </c>
      <c r="O8" s="113">
        <v>115.227</v>
      </c>
      <c r="P8" s="282">
        <v>187.60599999999999</v>
      </c>
      <c r="Q8" s="282">
        <v>163.506</v>
      </c>
      <c r="R8" s="298">
        <v>82.914000000000001</v>
      </c>
      <c r="S8" s="398">
        <v>163.316</v>
      </c>
      <c r="T8" s="398">
        <v>259.82</v>
      </c>
      <c r="U8" s="286">
        <v>99.87</v>
      </c>
      <c r="V8" s="398">
        <v>0</v>
      </c>
      <c r="W8" s="398">
        <v>0</v>
      </c>
      <c r="X8" s="398">
        <v>0</v>
      </c>
      <c r="Y8" s="239"/>
      <c r="Z8" s="239"/>
      <c r="AA8" s="239"/>
      <c r="AB8" s="239"/>
      <c r="AC8" s="239"/>
    </row>
    <row r="9" spans="1:39" ht="15" customHeight="1">
      <c r="A9" s="105" t="s">
        <v>3</v>
      </c>
      <c r="B9" s="301">
        <f t="shared" ref="B9:I9" si="5">SUM(B10:B15)</f>
        <v>1440.462</v>
      </c>
      <c r="C9" s="301">
        <f t="shared" si="5"/>
        <v>1802.3679999999999</v>
      </c>
      <c r="D9" s="284">
        <f t="shared" si="5"/>
        <v>2090.165</v>
      </c>
      <c r="E9" s="284">
        <f t="shared" si="5"/>
        <v>2138.2159999999999</v>
      </c>
      <c r="F9" s="284">
        <f t="shared" si="5"/>
        <v>2581.2489999999998</v>
      </c>
      <c r="G9" s="284">
        <f t="shared" si="5"/>
        <v>3278.9720000000002</v>
      </c>
      <c r="H9" s="284">
        <f t="shared" si="5"/>
        <v>5383.1900000000014</v>
      </c>
      <c r="I9" s="284">
        <f t="shared" si="5"/>
        <v>5757.0990000000002</v>
      </c>
      <c r="J9" s="284">
        <f>SUM(J10:J15)</f>
        <v>5544.927999999999</v>
      </c>
      <c r="K9" s="284">
        <f>SUM(K10:K15)</f>
        <v>4951.1619999999994</v>
      </c>
      <c r="L9" s="284">
        <f>SUM(L10:L15)</f>
        <v>1258.405</v>
      </c>
      <c r="M9" s="336"/>
      <c r="N9" s="102" t="s">
        <v>40</v>
      </c>
      <c r="O9" s="113">
        <v>169.977</v>
      </c>
      <c r="P9" s="282">
        <v>315.267</v>
      </c>
      <c r="Q9" s="282">
        <v>387.74700000000001</v>
      </c>
      <c r="R9" s="298">
        <v>404.9</v>
      </c>
      <c r="S9" s="398">
        <v>443.73700000000002</v>
      </c>
      <c r="T9" s="398">
        <v>222.33199999999999</v>
      </c>
      <c r="U9" s="286">
        <v>520.42999999999995</v>
      </c>
      <c r="V9" s="398">
        <v>501.67599999999999</v>
      </c>
      <c r="W9" s="298">
        <v>73.177000000000007</v>
      </c>
      <c r="X9" s="102">
        <v>630.31899999999996</v>
      </c>
      <c r="Y9" s="239"/>
      <c r="Z9" s="239"/>
      <c r="AA9" s="239"/>
      <c r="AB9" s="239"/>
      <c r="AC9" s="239"/>
    </row>
    <row r="10" spans="1:39" ht="15" customHeight="1">
      <c r="A10" s="102" t="s">
        <v>111</v>
      </c>
      <c r="B10" s="333">
        <v>1002.18</v>
      </c>
      <c r="C10" s="280">
        <v>1245.7239999999999</v>
      </c>
      <c r="D10" s="282">
        <v>1585.7139999999999</v>
      </c>
      <c r="E10" s="282">
        <v>1738.1469999999999</v>
      </c>
      <c r="F10" s="282">
        <f>2008.693+188.398</f>
        <v>2197.0909999999999</v>
      </c>
      <c r="G10" s="282">
        <v>2776.625</v>
      </c>
      <c r="H10" s="282">
        <v>4709.0200000000004</v>
      </c>
      <c r="I10" s="282">
        <v>5013.3950000000004</v>
      </c>
      <c r="J10" s="282">
        <v>4577.5519999999997</v>
      </c>
      <c r="K10" s="282">
        <v>4197.4920000000002</v>
      </c>
      <c r="L10" s="282">
        <v>907.25099999999998</v>
      </c>
      <c r="M10" s="223"/>
      <c r="N10" s="105" t="s">
        <v>41</v>
      </c>
      <c r="O10" s="106">
        <f t="shared" ref="O10:Q10" si="6">(O8+O9)</f>
        <v>285.20400000000001</v>
      </c>
      <c r="P10" s="284">
        <f t="shared" ref="P10" si="7">(P8+P9)</f>
        <v>502.87299999999999</v>
      </c>
      <c r="Q10" s="284">
        <f t="shared" si="6"/>
        <v>551.25300000000004</v>
      </c>
      <c r="R10" s="284">
        <f t="shared" ref="R10:U10" si="8">(R8+R9)</f>
        <v>487.81399999999996</v>
      </c>
      <c r="S10" s="284">
        <f t="shared" si="8"/>
        <v>607.053</v>
      </c>
      <c r="T10" s="284">
        <f t="shared" si="8"/>
        <v>482.15199999999999</v>
      </c>
      <c r="U10" s="284">
        <f t="shared" si="8"/>
        <v>620.29999999999995</v>
      </c>
      <c r="V10" s="284">
        <f>(V8+V9)</f>
        <v>501.67599999999999</v>
      </c>
      <c r="W10" s="284">
        <f>(W8+W9)</f>
        <v>73.177000000000007</v>
      </c>
      <c r="X10" s="284">
        <f>(X8+X9)</f>
        <v>630.31899999999996</v>
      </c>
      <c r="Y10" s="88"/>
      <c r="Z10" s="88"/>
      <c r="AA10" s="88"/>
      <c r="AB10" s="88"/>
      <c r="AC10" s="88"/>
    </row>
    <row r="11" spans="1:39" ht="15" customHeight="1">
      <c r="A11" s="148" t="s">
        <v>114</v>
      </c>
      <c r="B11" s="148">
        <v>-7.1109999999999998</v>
      </c>
      <c r="C11" s="281">
        <v>-7.8159999999999998</v>
      </c>
      <c r="D11" s="282">
        <v>0.69399999999999995</v>
      </c>
      <c r="E11" s="282">
        <f>-86.892+1.508</f>
        <v>-85.384</v>
      </c>
      <c r="F11" s="286">
        <v>62.58</v>
      </c>
      <c r="G11" s="282">
        <v>-108.68300000000001</v>
      </c>
      <c r="H11" s="282">
        <v>-122.03</v>
      </c>
      <c r="I11" s="282">
        <v>-106.25</v>
      </c>
      <c r="J11" s="282">
        <v>61.829000000000001</v>
      </c>
      <c r="K11" s="282">
        <v>-181.059</v>
      </c>
      <c r="L11" s="282">
        <v>161.15799999999999</v>
      </c>
      <c r="M11" s="223"/>
      <c r="N11" s="105" t="s">
        <v>42</v>
      </c>
      <c r="O11" s="106">
        <f t="shared" ref="O11:U11" si="9">(O6+O8+O7+SUM(O40:O43))</f>
        <v>828.23099999999999</v>
      </c>
      <c r="P11" s="284">
        <f t="shared" si="9"/>
        <v>1011.058</v>
      </c>
      <c r="Q11" s="284">
        <f t="shared" si="9"/>
        <v>1147.181</v>
      </c>
      <c r="R11" s="284">
        <f t="shared" si="9"/>
        <v>1239.6010000000001</v>
      </c>
      <c r="S11" s="284">
        <f t="shared" si="9"/>
        <v>1558.2460000000001</v>
      </c>
      <c r="T11" s="284">
        <f t="shared" si="9"/>
        <v>2078.3939999999998</v>
      </c>
      <c r="U11" s="284">
        <f t="shared" si="9"/>
        <v>2566.913</v>
      </c>
      <c r="V11" s="284">
        <f>(V6+V8+V7+SUM(V40:V43))</f>
        <v>2756.3299999999995</v>
      </c>
      <c r="W11" s="284">
        <f>(W6+W8+W7+SUM(W40:W43))</f>
        <v>3082.442</v>
      </c>
      <c r="X11" s="284">
        <f>(X6+X8+X7+SUM(X40:X43))</f>
        <v>3232.7049999999999</v>
      </c>
    </row>
    <row r="12" spans="1:39" ht="15.65" customHeight="1">
      <c r="A12" s="148" t="s">
        <v>174</v>
      </c>
      <c r="B12" s="334">
        <v>149.74199999999999</v>
      </c>
      <c r="C12" s="281">
        <v>184.71100000000001</v>
      </c>
      <c r="D12" s="282">
        <v>65.087000000000003</v>
      </c>
      <c r="E12" s="282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282">
        <v>0</v>
      </c>
      <c r="M12" s="223"/>
      <c r="N12" s="105" t="s">
        <v>42</v>
      </c>
      <c r="O12" s="111">
        <f t="shared" ref="O12:U12" si="10">O45-O31-O9</f>
        <v>828.23100000000011</v>
      </c>
      <c r="P12" s="288">
        <f t="shared" si="10"/>
        <v>1011.0579999999998</v>
      </c>
      <c r="Q12" s="288">
        <f t="shared" si="10"/>
        <v>1147.1809999999996</v>
      </c>
      <c r="R12" s="288">
        <f t="shared" si="10"/>
        <v>1239.6009999999997</v>
      </c>
      <c r="S12" s="288">
        <f t="shared" si="10"/>
        <v>1558.2459999999999</v>
      </c>
      <c r="T12" s="288">
        <f t="shared" si="10"/>
        <v>2077.2740000000003</v>
      </c>
      <c r="U12" s="288">
        <f t="shared" si="10"/>
        <v>2566.949000000001</v>
      </c>
      <c r="V12" s="288">
        <f>V45-V31-V9</f>
        <v>2756.3300000000008</v>
      </c>
      <c r="W12" s="288">
        <f>W45-W31-W9</f>
        <v>3082.442</v>
      </c>
      <c r="X12" s="288">
        <f>X45-X31-X9</f>
        <v>3232.7049999999995</v>
      </c>
      <c r="Y12" s="239"/>
      <c r="Z12" s="239"/>
      <c r="AA12" s="239"/>
      <c r="AB12" s="239"/>
      <c r="AC12" s="239"/>
    </row>
    <row r="13" spans="1:39" ht="15" customHeight="1">
      <c r="A13" s="148" t="s">
        <v>233</v>
      </c>
      <c r="B13" s="148"/>
      <c r="C13" s="395">
        <v>0</v>
      </c>
      <c r="D13" s="395">
        <v>0</v>
      </c>
      <c r="E13" s="395">
        <v>0</v>
      </c>
      <c r="F13" s="395">
        <v>0</v>
      </c>
      <c r="G13" s="282">
        <v>213.73500000000001</v>
      </c>
      <c r="H13" s="282">
        <v>364.05</v>
      </c>
      <c r="I13" s="282">
        <v>368.21</v>
      </c>
      <c r="J13" s="282">
        <v>364.73099999999999</v>
      </c>
      <c r="K13" s="282">
        <v>351.82</v>
      </c>
      <c r="L13" s="282">
        <v>66.478999999999999</v>
      </c>
      <c r="M13" s="223"/>
      <c r="N13" s="105" t="s">
        <v>91</v>
      </c>
      <c r="O13" s="106"/>
      <c r="P13" s="288"/>
      <c r="Q13" s="288"/>
      <c r="R13" s="288"/>
      <c r="S13" s="288"/>
      <c r="T13" s="288"/>
      <c r="U13" s="288">
        <v>1694.4690000000001</v>
      </c>
      <c r="V13" s="288">
        <v>1922.4480000000001</v>
      </c>
      <c r="W13" s="288"/>
      <c r="X13" s="122"/>
      <c r="Y13" s="88"/>
      <c r="Z13" s="88"/>
      <c r="AA13" s="88"/>
      <c r="AB13" s="88"/>
      <c r="AC13" s="88"/>
    </row>
    <row r="14" spans="1:39" ht="15" customHeight="1">
      <c r="A14" s="102" t="s">
        <v>115</v>
      </c>
      <c r="B14" s="102">
        <v>77.308999999999997</v>
      </c>
      <c r="C14" s="280">
        <v>110.774</v>
      </c>
      <c r="D14" s="282">
        <v>129.70500000000001</v>
      </c>
      <c r="E14" s="282">
        <v>151.738</v>
      </c>
      <c r="F14" s="282">
        <v>140.13499999999999</v>
      </c>
      <c r="G14" s="282">
        <v>160.78800000000001</v>
      </c>
      <c r="H14" s="282">
        <v>177.47</v>
      </c>
      <c r="I14" s="282">
        <v>196.16499999999999</v>
      </c>
      <c r="J14" s="282">
        <v>220.37799999999999</v>
      </c>
      <c r="K14" s="282">
        <v>238.86500000000001</v>
      </c>
      <c r="L14" s="282">
        <v>60.152999999999999</v>
      </c>
      <c r="M14" s="223"/>
      <c r="N14" s="407" t="s">
        <v>228</v>
      </c>
      <c r="O14" s="383"/>
      <c r="P14" s="384"/>
      <c r="Q14" s="392">
        <f t="shared" ref="Q14:V14" si="11">SUM(Q15:Q22)</f>
        <v>1083.3899999999999</v>
      </c>
      <c r="R14" s="392">
        <f t="shared" si="11"/>
        <v>1181.4669999999999</v>
      </c>
      <c r="S14" s="392">
        <f t="shared" si="11"/>
        <v>1440.0739999999998</v>
      </c>
      <c r="T14" s="392">
        <f t="shared" si="11"/>
        <v>1605.9350000000002</v>
      </c>
      <c r="U14" s="392">
        <f t="shared" si="11"/>
        <v>1868.2350000000001</v>
      </c>
      <c r="V14" s="392">
        <f t="shared" si="11"/>
        <v>1938.3530000000005</v>
      </c>
      <c r="W14" s="404">
        <f>SUM(W15:W22)</f>
        <v>2014.569</v>
      </c>
      <c r="X14" s="404">
        <f>SUM(X15:X22)</f>
        <v>2212.4519999999998</v>
      </c>
      <c r="Y14" s="88"/>
    </row>
    <row r="15" spans="1:39" ht="15" customHeight="1">
      <c r="A15" s="102" t="s">
        <v>70</v>
      </c>
      <c r="B15" s="333">
        <v>218.34200000000001</v>
      </c>
      <c r="C15" s="280">
        <v>268.97500000000002</v>
      </c>
      <c r="D15" s="282">
        <v>308.96499999999997</v>
      </c>
      <c r="E15" s="282">
        <v>333.71499999999997</v>
      </c>
      <c r="F15" s="282">
        <v>181.44300000000001</v>
      </c>
      <c r="G15" s="282">
        <v>236.50700000000001</v>
      </c>
      <c r="H15" s="282">
        <v>254.68</v>
      </c>
      <c r="I15" s="282">
        <v>285.57900000000001</v>
      </c>
      <c r="J15" s="282">
        <v>320.43799999999999</v>
      </c>
      <c r="K15" s="282">
        <v>344.04399999999998</v>
      </c>
      <c r="L15" s="282">
        <v>63.363999999999997</v>
      </c>
      <c r="M15" s="223"/>
      <c r="N15" s="102" t="s">
        <v>100</v>
      </c>
      <c r="O15" s="113">
        <v>734.09199999999998</v>
      </c>
      <c r="P15" s="313">
        <v>935.08699999999999</v>
      </c>
      <c r="Q15" s="313">
        <v>1015.468</v>
      </c>
      <c r="R15" s="314">
        <v>1152.425</v>
      </c>
      <c r="S15" s="398">
        <v>1219.223</v>
      </c>
      <c r="T15" s="398">
        <v>1219.9159999999999</v>
      </c>
      <c r="U15" s="286">
        <v>1363.31</v>
      </c>
      <c r="V15" s="398">
        <v>1514.5450000000001</v>
      </c>
      <c r="W15" s="298">
        <v>1867.9190000000001</v>
      </c>
      <c r="X15" s="102">
        <v>1971.0119999999999</v>
      </c>
      <c r="Y15" s="399"/>
      <c r="Z15" s="11"/>
      <c r="AA15" s="11"/>
      <c r="AB15" s="11"/>
      <c r="AC15" s="11"/>
    </row>
    <row r="16" spans="1:39" ht="15" customHeight="1">
      <c r="A16" s="105" t="s">
        <v>171</v>
      </c>
      <c r="B16" s="301">
        <f t="shared" ref="B16:I16" si="12">(B4-B9)</f>
        <v>226.48800000000006</v>
      </c>
      <c r="C16" s="301">
        <f t="shared" si="12"/>
        <v>236.64900000000011</v>
      </c>
      <c r="D16" s="284">
        <f t="shared" si="12"/>
        <v>338.21199999999999</v>
      </c>
      <c r="E16" s="284">
        <f t="shared" si="12"/>
        <v>360.49299999999994</v>
      </c>
      <c r="F16" s="284">
        <f t="shared" si="12"/>
        <v>483.67700000000013</v>
      </c>
      <c r="G16" s="284">
        <f t="shared" si="12"/>
        <v>686.72199999999975</v>
      </c>
      <c r="H16" s="284">
        <f t="shared" si="12"/>
        <v>1048.6399999999985</v>
      </c>
      <c r="I16" s="284">
        <f t="shared" si="12"/>
        <v>723.31099999999969</v>
      </c>
      <c r="J16" s="284">
        <f>J4-J9</f>
        <v>669.79800000000068</v>
      </c>
      <c r="K16" s="284">
        <f>K4-K9</f>
        <v>427.82200000000103</v>
      </c>
      <c r="L16" s="284">
        <f>L4-L9</f>
        <v>52.225000000000136</v>
      </c>
      <c r="M16"/>
      <c r="N16" s="102" t="s">
        <v>101</v>
      </c>
      <c r="O16" s="113">
        <v>52.639000000000003</v>
      </c>
      <c r="P16" s="313">
        <v>32.067999999999998</v>
      </c>
      <c r="Q16" s="313">
        <v>33.813000000000002</v>
      </c>
      <c r="R16" s="314">
        <v>8.7910000000000004</v>
      </c>
      <c r="S16" s="398">
        <v>94.284999999999997</v>
      </c>
      <c r="T16" s="398">
        <v>294.529</v>
      </c>
      <c r="U16" s="286">
        <v>419.98</v>
      </c>
      <c r="V16" s="398">
        <v>348.697</v>
      </c>
      <c r="W16" s="298">
        <v>60.156999999999996</v>
      </c>
      <c r="X16" s="102">
        <v>117.179</v>
      </c>
    </row>
    <row r="17" spans="1:26" ht="15" customHeight="1">
      <c r="A17" s="107" t="s">
        <v>2</v>
      </c>
      <c r="B17" s="285" t="e">
        <f t="shared" ref="B17:C17" si="13">(B16/A16-1)</f>
        <v>#VALUE!</v>
      </c>
      <c r="C17" s="109">
        <f t="shared" si="13"/>
        <v>4.4863304016107053E-2</v>
      </c>
      <c r="D17" s="109">
        <f t="shared" ref="D17:I17" si="14">(D16/C16-1)</f>
        <v>0.42917147336350392</v>
      </c>
      <c r="E17" s="109">
        <f t="shared" si="14"/>
        <v>6.5878797913734521E-2</v>
      </c>
      <c r="F17" s="109">
        <f t="shared" si="14"/>
        <v>0.34170982515610637</v>
      </c>
      <c r="G17" s="109">
        <f t="shared" si="14"/>
        <v>0.41979461500133253</v>
      </c>
      <c r="H17" s="109">
        <f t="shared" si="14"/>
        <v>0.52702257973386457</v>
      </c>
      <c r="I17" s="109">
        <f t="shared" si="14"/>
        <v>-0.3102389761977411</v>
      </c>
      <c r="J17" s="109">
        <f>(J16/I16-1)</f>
        <v>-7.3983390270573879E-2</v>
      </c>
      <c r="K17" s="109">
        <f>(K16/J16-1)</f>
        <v>-0.36126712829838159</v>
      </c>
      <c r="L17" s="109"/>
      <c r="M17"/>
      <c r="N17" s="102" t="s">
        <v>108</v>
      </c>
      <c r="O17" s="113"/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86"/>
      <c r="V17" s="398"/>
      <c r="W17" s="398"/>
      <c r="X17" s="102"/>
    </row>
    <row r="18" spans="1:26" ht="15" customHeight="1">
      <c r="A18" s="107" t="s">
        <v>214</v>
      </c>
      <c r="B18" s="107"/>
      <c r="C18" s="302"/>
      <c r="D18" s="285"/>
      <c r="E18" s="285"/>
      <c r="F18" s="285"/>
      <c r="G18" s="109">
        <f t="shared" ref="G18:K18" si="15">((G16/B16)^(1/5)-1)</f>
        <v>0.2483810074696573</v>
      </c>
      <c r="H18" s="109">
        <f t="shared" si="15"/>
        <v>0.34680385004687864</v>
      </c>
      <c r="I18" s="109">
        <f t="shared" si="15"/>
        <v>0.16419897195081767</v>
      </c>
      <c r="J18" s="109">
        <f t="shared" si="15"/>
        <v>0.13190349803997403</v>
      </c>
      <c r="K18" s="109">
        <f t="shared" si="15"/>
        <v>-2.4243314671043903E-2</v>
      </c>
      <c r="L18" s="109"/>
      <c r="M18"/>
      <c r="N18" s="102" t="s">
        <v>225</v>
      </c>
      <c r="O18" s="113"/>
      <c r="P18" s="298">
        <v>0</v>
      </c>
      <c r="Q18" s="298">
        <v>0</v>
      </c>
      <c r="R18" s="298">
        <v>0</v>
      </c>
      <c r="S18" s="298">
        <v>43.442999999999998</v>
      </c>
      <c r="T18" s="298">
        <v>42.796999999999997</v>
      </c>
      <c r="U18" s="286">
        <v>42.15</v>
      </c>
      <c r="V18" s="398">
        <v>41.505000000000003</v>
      </c>
      <c r="W18" s="298">
        <v>40.859000000000002</v>
      </c>
      <c r="X18" s="102">
        <v>40.213000000000001</v>
      </c>
    </row>
    <row r="19" spans="1:26" ht="15" customHeight="1">
      <c r="A19" s="105" t="s">
        <v>172</v>
      </c>
      <c r="B19" s="115">
        <f t="shared" ref="B19:I19" si="16">(B16/B4)</f>
        <v>0.13586970215063443</v>
      </c>
      <c r="C19" s="115">
        <f t="shared" si="16"/>
        <v>0.11606033691724989</v>
      </c>
      <c r="D19" s="115">
        <f t="shared" si="16"/>
        <v>0.13927491489171573</v>
      </c>
      <c r="E19" s="115">
        <f t="shared" si="16"/>
        <v>0.1442717019068647</v>
      </c>
      <c r="F19" s="115">
        <f t="shared" si="16"/>
        <v>0.15781033538819539</v>
      </c>
      <c r="G19" s="115">
        <f t="shared" si="16"/>
        <v>0.17316565524218452</v>
      </c>
      <c r="H19" s="116">
        <f t="shared" si="16"/>
        <v>0.16303913505176576</v>
      </c>
      <c r="I19" s="116">
        <f t="shared" si="16"/>
        <v>0.11161500584067979</v>
      </c>
      <c r="J19" s="116">
        <f>(J16/J4)</f>
        <v>0.10777595021888346</v>
      </c>
      <c r="K19" s="116">
        <f>(K16/K4)</f>
        <v>7.953583799468468E-2</v>
      </c>
      <c r="L19" s="116">
        <f>(L16/L4)</f>
        <v>3.9847249032907942E-2</v>
      </c>
      <c r="M19"/>
      <c r="N19" s="102" t="s">
        <v>102</v>
      </c>
      <c r="O19" s="113"/>
      <c r="P19" s="313"/>
      <c r="Q19" s="313"/>
      <c r="R19" s="314"/>
      <c r="S19" s="398">
        <v>0.746</v>
      </c>
      <c r="T19" s="398">
        <v>0.47699999999999998</v>
      </c>
      <c r="U19" s="286">
        <v>2.5</v>
      </c>
      <c r="V19" s="398">
        <v>5.173</v>
      </c>
      <c r="W19" s="298">
        <v>3.47</v>
      </c>
      <c r="X19" s="102">
        <v>1.5940000000000001</v>
      </c>
    </row>
    <row r="20" spans="1:26" ht="15" customHeight="1">
      <c r="A20" s="102" t="s">
        <v>7</v>
      </c>
      <c r="B20" s="102">
        <v>29.943000000000001</v>
      </c>
      <c r="C20" s="280">
        <v>42.209000000000003</v>
      </c>
      <c r="D20" s="282">
        <v>49.491</v>
      </c>
      <c r="E20" s="282">
        <v>54.459000000000003</v>
      </c>
      <c r="F20" s="282">
        <v>59.594999999999999</v>
      </c>
      <c r="G20" s="282">
        <v>65.733000000000004</v>
      </c>
      <c r="H20" s="282">
        <v>71.31</v>
      </c>
      <c r="I20" s="282">
        <v>81.519000000000005</v>
      </c>
      <c r="J20" s="282">
        <v>92.784000000000006</v>
      </c>
      <c r="K20" s="282">
        <v>105.342</v>
      </c>
      <c r="L20" s="282">
        <v>27.353999999999999</v>
      </c>
      <c r="M20"/>
      <c r="N20" s="260" t="s">
        <v>235</v>
      </c>
      <c r="O20" s="113">
        <v>14.179</v>
      </c>
      <c r="P20" s="313">
        <f>0.1+1.875</f>
        <v>1.9750000000000001</v>
      </c>
      <c r="Q20" s="313">
        <f>0.1+2.185+1.314</f>
        <v>3.5990000000000002</v>
      </c>
      <c r="R20" s="314">
        <f>0.2+0.151+1.378</f>
        <v>1.7289999999999999</v>
      </c>
      <c r="S20" s="398">
        <f>2.769+0.053</f>
        <v>2.8220000000000001</v>
      </c>
      <c r="T20" s="398">
        <v>3.5999999999999997E-2</v>
      </c>
      <c r="U20" s="286">
        <v>1.784</v>
      </c>
      <c r="V20" s="398">
        <v>2.0529999999999999</v>
      </c>
      <c r="W20" s="298">
        <v>2.097</v>
      </c>
      <c r="X20" s="102">
        <v>2.3540000000000001</v>
      </c>
    </row>
    <row r="21" spans="1:26" ht="15" customHeight="1">
      <c r="A21" s="102" t="s">
        <v>116</v>
      </c>
      <c r="B21" s="102">
        <v>39.209000000000003</v>
      </c>
      <c r="C21" s="280">
        <v>46.930999999999997</v>
      </c>
      <c r="D21" s="282">
        <v>57.557000000000002</v>
      </c>
      <c r="E21" s="282">
        <v>57.348999999999997</v>
      </c>
      <c r="F21" s="282">
        <v>65.790000000000006</v>
      </c>
      <c r="G21" s="282">
        <v>68.203000000000003</v>
      </c>
      <c r="H21" s="282">
        <v>68.56</v>
      </c>
      <c r="I21" s="282">
        <v>62.624000000000002</v>
      </c>
      <c r="J21" s="282">
        <v>42.393000000000001</v>
      </c>
      <c r="K21" s="282">
        <v>36.662999999999997</v>
      </c>
      <c r="L21" s="282">
        <v>10.052</v>
      </c>
      <c r="M21"/>
      <c r="N21" s="102" t="s">
        <v>103</v>
      </c>
      <c r="O21" s="113">
        <v>0.90300000000000002</v>
      </c>
      <c r="P21" s="313">
        <v>5.367</v>
      </c>
      <c r="Q21" s="313">
        <v>14.787000000000001</v>
      </c>
      <c r="R21" s="314">
        <v>12.567</v>
      </c>
      <c r="S21" s="398">
        <v>65.388000000000005</v>
      </c>
      <c r="T21" s="398">
        <v>29.876000000000001</v>
      </c>
      <c r="U21" s="286">
        <v>19.565999999999999</v>
      </c>
      <c r="V21" s="398">
        <v>8.15</v>
      </c>
      <c r="W21" s="298">
        <v>21.277999999999999</v>
      </c>
      <c r="X21" s="102">
        <v>13.114000000000001</v>
      </c>
    </row>
    <row r="22" spans="1:26" ht="15" customHeight="1">
      <c r="A22" s="102" t="s">
        <v>117</v>
      </c>
      <c r="B22" s="102"/>
      <c r="C22" s="282"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/>
      <c r="N22" s="114" t="s">
        <v>177</v>
      </c>
      <c r="O22" s="113"/>
      <c r="P22" s="313">
        <v>15.723000000000001</v>
      </c>
      <c r="Q22" s="313">
        <v>15.723000000000001</v>
      </c>
      <c r="R22" s="314">
        <v>5.9550000000000001</v>
      </c>
      <c r="S22" s="398">
        <v>14.167</v>
      </c>
      <c r="T22" s="398">
        <v>18.303999999999998</v>
      </c>
      <c r="U22" s="286">
        <v>18.945</v>
      </c>
      <c r="V22" s="398">
        <v>18.23</v>
      </c>
      <c r="W22" s="298">
        <v>18.789000000000001</v>
      </c>
      <c r="X22" s="102">
        <v>66.986000000000004</v>
      </c>
    </row>
    <row r="23" spans="1:26" ht="15" customHeight="1">
      <c r="A23" s="102" t="s">
        <v>167</v>
      </c>
      <c r="B23" s="102"/>
      <c r="C23" s="282">
        <v>0</v>
      </c>
      <c r="D23" s="282">
        <v>0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/>
      <c r="N23" s="105" t="s">
        <v>43</v>
      </c>
      <c r="O23" s="106">
        <f t="shared" ref="O23:V23" si="17">SUM(O24:O30)</f>
        <v>342.89700000000005</v>
      </c>
      <c r="P23" s="284">
        <f t="shared" si="17"/>
        <v>547.59199999999998</v>
      </c>
      <c r="Q23" s="284">
        <f t="shared" si="17"/>
        <v>681.17299999999989</v>
      </c>
      <c r="R23" s="315">
        <f t="shared" si="17"/>
        <v>695.83899999999994</v>
      </c>
      <c r="S23" s="315">
        <f t="shared" si="17"/>
        <v>748.53899999999999</v>
      </c>
      <c r="T23" s="315">
        <f t="shared" si="17"/>
        <v>978.97100000000012</v>
      </c>
      <c r="U23" s="284">
        <f t="shared" si="17"/>
        <v>1372.5450000000003</v>
      </c>
      <c r="V23" s="284">
        <f t="shared" si="17"/>
        <v>1485.7270000000001</v>
      </c>
      <c r="W23" s="284">
        <f>SUM(W24:W30)</f>
        <v>1328.5250000000001</v>
      </c>
      <c r="X23" s="284">
        <f>SUM(X24:X30)</f>
        <v>1805.8359999999998</v>
      </c>
    </row>
    <row r="24" spans="1:26" ht="15" customHeight="1">
      <c r="A24" s="105" t="s">
        <v>8</v>
      </c>
      <c r="B24" s="304">
        <f>(B16-B20-B21+B22)+B5</f>
        <v>165.53600000000003</v>
      </c>
      <c r="C24" s="304">
        <f>(C16-C20-C21+C22)+C5</f>
        <v>148.44300000000013</v>
      </c>
      <c r="D24" s="288">
        <f>(D16-D20-D21+D22)+D5</f>
        <v>258.19900000000001</v>
      </c>
      <c r="E24" s="288">
        <f>(E16-E20-E21+E22)+E5</f>
        <v>292.20099999999996</v>
      </c>
      <c r="F24" s="288">
        <f>(F16-F20-F21+F22)+F5+F23</f>
        <v>424.17800000000011</v>
      </c>
      <c r="G24" s="288">
        <f>(G16-G20-G21+G22)+G5+G23</f>
        <v>555.60799999999983</v>
      </c>
      <c r="H24" s="288">
        <f>H16-H20-H21+H5</f>
        <v>912.38999999999862</v>
      </c>
      <c r="I24" s="288">
        <f>I16-I20-I21+I5</f>
        <v>585.92399999999964</v>
      </c>
      <c r="J24" s="288">
        <f>J16-J20-J21+J5</f>
        <v>545.96000000000072</v>
      </c>
      <c r="K24" s="288">
        <f>K16-K20-K21+K5</f>
        <v>299.20400000000103</v>
      </c>
      <c r="L24" s="288">
        <f>L16-L20-L21+L5</f>
        <v>16.155000000000136</v>
      </c>
      <c r="M24" s="90"/>
      <c r="N24" s="102" t="s">
        <v>44</v>
      </c>
      <c r="O24" s="113">
        <v>134.161</v>
      </c>
      <c r="P24" s="313">
        <v>231.51599999999999</v>
      </c>
      <c r="Q24" s="313">
        <v>304.27199999999999</v>
      </c>
      <c r="R24" s="314">
        <v>340.06200000000001</v>
      </c>
      <c r="S24" s="312">
        <v>352.46100000000001</v>
      </c>
      <c r="T24" s="312">
        <v>452.94900000000001</v>
      </c>
      <c r="U24" s="381">
        <v>700.25599999999997</v>
      </c>
      <c r="V24" s="102">
        <v>799.56899999999996</v>
      </c>
      <c r="W24" s="102">
        <v>697.01599999999996</v>
      </c>
      <c r="X24" s="102">
        <v>883.06</v>
      </c>
    </row>
    <row r="25" spans="1:26" ht="15" customHeight="1">
      <c r="A25" s="102" t="s">
        <v>9</v>
      </c>
      <c r="B25" s="102">
        <v>59.542999999999999</v>
      </c>
      <c r="C25" s="280">
        <v>57.86</v>
      </c>
      <c r="D25" s="282">
        <v>64.23</v>
      </c>
      <c r="E25" s="282">
        <v>77.025000000000006</v>
      </c>
      <c r="F25" s="282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140.95699999999999</v>
      </c>
      <c r="K25" s="137">
        <v>79.460999999999984</v>
      </c>
      <c r="L25" s="137">
        <v>4.42</v>
      </c>
      <c r="M25"/>
      <c r="N25" s="102" t="s">
        <v>45</v>
      </c>
      <c r="O25" s="113">
        <v>172.26599999999999</v>
      </c>
      <c r="P25" s="313">
        <v>253.93600000000001</v>
      </c>
      <c r="Q25" s="313">
        <v>320.26299999999998</v>
      </c>
      <c r="R25" s="314">
        <v>321.31299999999999</v>
      </c>
      <c r="S25" s="312">
        <v>378.79</v>
      </c>
      <c r="T25" s="312">
        <v>467.673</v>
      </c>
      <c r="U25" s="381">
        <v>622.21500000000003</v>
      </c>
      <c r="V25" s="102">
        <v>625.79100000000005</v>
      </c>
      <c r="W25" s="400">
        <v>568.13</v>
      </c>
      <c r="X25" s="102">
        <v>861.33799999999997</v>
      </c>
    </row>
    <row r="26" spans="1:26" ht="15" customHeight="1">
      <c r="A26" s="107" t="s">
        <v>10</v>
      </c>
      <c r="B26" s="109">
        <f t="shared" ref="B26:C26" si="18">(B25/B24)</f>
        <v>0.35969819253817892</v>
      </c>
      <c r="C26" s="109">
        <f t="shared" si="18"/>
        <v>0.38977924186388008</v>
      </c>
      <c r="D26" s="109">
        <f t="shared" ref="D26:E26" si="19">(D25/D24)</f>
        <v>0.24876161410385014</v>
      </c>
      <c r="E26" s="109">
        <f t="shared" si="19"/>
        <v>0.26360279396716652</v>
      </c>
      <c r="F26" s="109">
        <f>(F25/F24)</f>
        <v>0.18185054387544847</v>
      </c>
      <c r="G26" s="109">
        <f>(G25/G24)</f>
        <v>0.23534758318814711</v>
      </c>
      <c r="H26" s="379">
        <f t="shared" ref="H26:I26" si="20">(H25/H24)</f>
        <v>0.25575685836100831</v>
      </c>
      <c r="I26" s="379">
        <f t="shared" si="20"/>
        <v>0.25755900082604583</v>
      </c>
      <c r="J26" s="379">
        <f>(J25/J24)</f>
        <v>0.25818191808923696</v>
      </c>
      <c r="K26" s="379">
        <f>(K25/K24)</f>
        <v>0.26557465809280528</v>
      </c>
      <c r="L26" s="379">
        <f>(L25/L24)</f>
        <v>0.27359950479727407</v>
      </c>
      <c r="M26"/>
      <c r="N26" s="102" t="s">
        <v>46</v>
      </c>
      <c r="O26" s="113">
        <v>1.512</v>
      </c>
      <c r="P26" s="313">
        <f>3.373+1.356</f>
        <v>4.7290000000000001</v>
      </c>
      <c r="Q26" s="313">
        <f>0.201+3.8</f>
        <v>4.0009999999999994</v>
      </c>
      <c r="R26" s="313">
        <f>0.164+1.653</f>
        <v>1.8169999999999999</v>
      </c>
      <c r="S26" s="312">
        <f>0.308+1.787</f>
        <v>2.0949999999999998</v>
      </c>
      <c r="T26" s="312">
        <v>2.7</v>
      </c>
      <c r="U26" s="381">
        <v>1.681</v>
      </c>
      <c r="V26" s="102">
        <v>0.67600000000000005</v>
      </c>
      <c r="W26" s="102">
        <v>0.90200000000000002</v>
      </c>
      <c r="X26" s="102">
        <v>12.861000000000001</v>
      </c>
    </row>
    <row r="27" spans="1:26" ht="15" customHeight="1">
      <c r="A27" s="105" t="s">
        <v>11</v>
      </c>
      <c r="B27" s="304">
        <f t="shared" ref="B27:C27" si="21">(B24-B25)</f>
        <v>105.99300000000002</v>
      </c>
      <c r="C27" s="304">
        <f t="shared" si="21"/>
        <v>90.583000000000126</v>
      </c>
      <c r="D27" s="288">
        <f t="shared" ref="D27:E27" si="22">(D24-D25)</f>
        <v>193.96899999999999</v>
      </c>
      <c r="E27" s="288">
        <f t="shared" si="22"/>
        <v>215.17599999999996</v>
      </c>
      <c r="F27" s="288">
        <f t="shared" ref="F27:J27" si="23">(F24-F25)</f>
        <v>347.04100000000011</v>
      </c>
      <c r="G27" s="288">
        <f t="shared" si="23"/>
        <v>424.84699999999987</v>
      </c>
      <c r="H27" s="288">
        <f t="shared" si="23"/>
        <v>679.0399999999986</v>
      </c>
      <c r="I27" s="288">
        <f t="shared" si="23"/>
        <v>435.01399999999967</v>
      </c>
      <c r="J27" s="288">
        <f t="shared" si="23"/>
        <v>405.00300000000072</v>
      </c>
      <c r="K27" s="288">
        <f>(K24-K25)</f>
        <v>219.74300000000105</v>
      </c>
      <c r="L27" s="288">
        <f t="shared" ref="L27" si="24">(L24-L25)</f>
        <v>11.735000000000136</v>
      </c>
      <c r="M27"/>
      <c r="N27" s="102" t="s">
        <v>175</v>
      </c>
      <c r="O27" s="113">
        <v>25.437000000000001</v>
      </c>
      <c r="P27" s="313">
        <v>1.7000000000000001E-2</v>
      </c>
      <c r="Q27" s="313">
        <v>4.7E-2</v>
      </c>
      <c r="R27" s="314">
        <v>7.3999999999999996E-2</v>
      </c>
      <c r="S27" s="312">
        <v>0.122</v>
      </c>
      <c r="T27" s="312">
        <v>1.7000000000000001E-2</v>
      </c>
      <c r="U27" s="381">
        <v>0.13</v>
      </c>
      <c r="V27" s="102">
        <v>0.13600000000000001</v>
      </c>
      <c r="W27" s="400">
        <v>0.14199999999999999</v>
      </c>
      <c r="X27" s="102">
        <v>0.128</v>
      </c>
    </row>
    <row r="28" spans="1:26" ht="15" customHeight="1">
      <c r="A28" s="102" t="s">
        <v>12</v>
      </c>
      <c r="B28" s="102"/>
      <c r="C28" s="282">
        <v>0</v>
      </c>
      <c r="D28" s="282">
        <v>0</v>
      </c>
      <c r="E28" s="282">
        <v>0</v>
      </c>
      <c r="F28" s="282">
        <v>0</v>
      </c>
      <c r="G28" s="282">
        <v>0</v>
      </c>
      <c r="H28" s="282">
        <v>0</v>
      </c>
      <c r="I28" s="282">
        <v>0</v>
      </c>
      <c r="J28" s="282">
        <v>0</v>
      </c>
      <c r="K28" s="282">
        <v>0</v>
      </c>
      <c r="L28" s="282">
        <v>0</v>
      </c>
      <c r="M28"/>
      <c r="N28" s="102" t="s">
        <v>178</v>
      </c>
      <c r="O28" s="113"/>
      <c r="P28" s="313">
        <v>19.873000000000001</v>
      </c>
      <c r="Q28" s="313">
        <v>28.506</v>
      </c>
      <c r="R28" s="314">
        <v>0.124</v>
      </c>
      <c r="S28" s="312">
        <v>0.124</v>
      </c>
      <c r="T28" s="312">
        <v>0.05</v>
      </c>
      <c r="U28" s="381">
        <v>7.4999999999999997E-2</v>
      </c>
      <c r="V28" s="102">
        <v>0.16200000000000001</v>
      </c>
      <c r="W28" s="102">
        <v>0.23899999999999999</v>
      </c>
      <c r="X28" s="102">
        <v>0.13700000000000001</v>
      </c>
    </row>
    <row r="29" spans="1:26" ht="15" customHeight="1">
      <c r="A29" s="102" t="s">
        <v>71</v>
      </c>
      <c r="B29" s="102"/>
      <c r="C29" s="280">
        <v>-3.4910000000000001</v>
      </c>
      <c r="D29" s="282">
        <v>-5.8000000000000003E-2</v>
      </c>
      <c r="E29" s="282">
        <v>-2.0920000000000001</v>
      </c>
      <c r="F29" s="289">
        <v>-0.96499999999999997</v>
      </c>
      <c r="G29" s="289">
        <v>-4.7089999999999996</v>
      </c>
      <c r="H29" s="289">
        <v>0.7</v>
      </c>
      <c r="I29" s="289">
        <v>5.36</v>
      </c>
      <c r="J29" s="289">
        <v>-0.61899999999999999</v>
      </c>
      <c r="K29" s="289">
        <v>-1.1080000000000001</v>
      </c>
      <c r="L29" s="289">
        <v>-0.64400000000000002</v>
      </c>
      <c r="M29"/>
      <c r="N29" s="102" t="s">
        <v>68</v>
      </c>
      <c r="O29" s="113">
        <v>9.5210000000000008</v>
      </c>
      <c r="P29" s="313">
        <v>37.521000000000001</v>
      </c>
      <c r="Q29" s="313">
        <v>24.084</v>
      </c>
      <c r="R29" s="314">
        <v>32.448999999999998</v>
      </c>
      <c r="S29" s="312">
        <v>14.946999999999999</v>
      </c>
      <c r="T29" s="312">
        <v>55.582000000000001</v>
      </c>
      <c r="U29" s="381">
        <v>48.188000000000002</v>
      </c>
      <c r="V29" s="102">
        <v>59.393000000000001</v>
      </c>
      <c r="W29" s="102">
        <v>62.095999999999997</v>
      </c>
      <c r="X29" s="102">
        <v>48.311999999999998</v>
      </c>
    </row>
    <row r="30" spans="1:26" ht="15" customHeight="1">
      <c r="A30" s="105" t="s">
        <v>13</v>
      </c>
      <c r="B30" s="303">
        <f t="shared" ref="B30:G30" si="25">B27-B28+B29</f>
        <v>105.99300000000002</v>
      </c>
      <c r="C30" s="303">
        <f t="shared" si="25"/>
        <v>87.092000000000127</v>
      </c>
      <c r="D30" s="287">
        <f t="shared" si="25"/>
        <v>193.911</v>
      </c>
      <c r="E30" s="287">
        <f t="shared" si="25"/>
        <v>213.08399999999995</v>
      </c>
      <c r="F30" s="287">
        <f t="shared" si="25"/>
        <v>346.07600000000014</v>
      </c>
      <c r="G30" s="287">
        <f t="shared" si="25"/>
        <v>420.13799999999986</v>
      </c>
      <c r="H30" s="287">
        <f t="shared" ref="H30:J30" si="26">H27-H28+H29</f>
        <v>679.73999999999864</v>
      </c>
      <c r="I30" s="287">
        <f t="shared" si="26"/>
        <v>440.37399999999968</v>
      </c>
      <c r="J30" s="287">
        <f t="shared" si="26"/>
        <v>404.3840000000007</v>
      </c>
      <c r="K30" s="287">
        <f>K27-K28+K29</f>
        <v>218.63500000000104</v>
      </c>
      <c r="L30" s="287">
        <f>L27-L28+L29</f>
        <v>11.091000000000136</v>
      </c>
      <c r="M30"/>
      <c r="N30" s="102"/>
      <c r="O30" s="113"/>
      <c r="P30" s="313"/>
      <c r="Q30" s="313"/>
      <c r="R30" s="314"/>
      <c r="S30" s="298"/>
      <c r="T30" s="298"/>
      <c r="U30" s="286"/>
      <c r="V30" s="102"/>
      <c r="W30" s="102"/>
      <c r="X30" s="102"/>
    </row>
    <row r="31" spans="1:26" ht="15" customHeight="1">
      <c r="A31" s="105" t="s">
        <v>81</v>
      </c>
      <c r="B31" s="115">
        <f t="shared" ref="B31:J31" si="27">B30/B4</f>
        <v>6.3584990551606241E-2</v>
      </c>
      <c r="C31" s="115">
        <f t="shared" si="27"/>
        <v>4.271273854018879E-2</v>
      </c>
      <c r="D31" s="115">
        <f t="shared" si="27"/>
        <v>7.9852098747435013E-2</v>
      </c>
      <c r="E31" s="115">
        <f t="shared" si="27"/>
        <v>8.5277637371938858E-2</v>
      </c>
      <c r="F31" s="115">
        <f t="shared" si="27"/>
        <v>0.1129149610789951</v>
      </c>
      <c r="G31" s="115">
        <f t="shared" si="27"/>
        <v>0.10594312117878986</v>
      </c>
      <c r="H31" s="116">
        <f t="shared" si="27"/>
        <v>0.10568376340792568</v>
      </c>
      <c r="I31" s="116">
        <f t="shared" si="27"/>
        <v>6.7954651017451004E-2</v>
      </c>
      <c r="J31" s="116">
        <f t="shared" si="27"/>
        <v>6.5068677203146325E-2</v>
      </c>
      <c r="K31" s="116">
        <f>K30/K4</f>
        <v>4.0646151763976436E-2</v>
      </c>
      <c r="L31" s="116">
        <f>L30/L4</f>
        <v>8.4623425375583775E-3</v>
      </c>
      <c r="M31"/>
      <c r="N31" s="105" t="s">
        <v>47</v>
      </c>
      <c r="O31" s="106">
        <f t="shared" ref="O31:R31" si="28">SUM(O32:O38)</f>
        <v>146.50199999999998</v>
      </c>
      <c r="P31" s="284">
        <f t="shared" ref="P31" si="29">SUM(P32:P38)</f>
        <v>211.48699999999999</v>
      </c>
      <c r="Q31" s="284">
        <f t="shared" si="28"/>
        <v>229.63500000000002</v>
      </c>
      <c r="R31" s="315">
        <f t="shared" si="28"/>
        <v>232.80500000000001</v>
      </c>
      <c r="S31" s="284">
        <f t="shared" ref="S31:W31" si="30">SUM(S32:S38)</f>
        <v>186.62999999999997</v>
      </c>
      <c r="T31" s="284">
        <f t="shared" si="30"/>
        <v>285.3</v>
      </c>
      <c r="U31" s="284">
        <f t="shared" si="30"/>
        <v>153.40100000000001</v>
      </c>
      <c r="V31" s="284">
        <f t="shared" si="30"/>
        <v>166.07399999999998</v>
      </c>
      <c r="W31" s="284">
        <f t="shared" si="30"/>
        <v>187.47499999999999</v>
      </c>
      <c r="X31" s="284">
        <f>SUM(X32:X38)</f>
        <v>155.26399999999998</v>
      </c>
      <c r="Z31" s="88"/>
    </row>
    <row r="32" spans="1:26" ht="15" customHeight="1">
      <c r="A32" s="107" t="s">
        <v>2</v>
      </c>
      <c r="B32" s="290" t="e">
        <f t="shared" ref="B32:C32" si="31">B30/A30-1</f>
        <v>#VALUE!</v>
      </c>
      <c r="C32" s="396">
        <f t="shared" si="31"/>
        <v>-0.17832309680827874</v>
      </c>
      <c r="D32" s="396">
        <f t="shared" ref="D32:I32" si="32">D30/C30-1</f>
        <v>1.2265076011573934</v>
      </c>
      <c r="E32" s="396">
        <f t="shared" si="32"/>
        <v>9.8875257205625067E-2</v>
      </c>
      <c r="F32" s="396">
        <f t="shared" si="32"/>
        <v>0.62412945129620345</v>
      </c>
      <c r="G32" s="396">
        <f t="shared" si="32"/>
        <v>0.21400501623920665</v>
      </c>
      <c r="H32" s="396">
        <f t="shared" si="32"/>
        <v>0.61789697670765054</v>
      </c>
      <c r="I32" s="396">
        <f t="shared" si="32"/>
        <v>-0.35214346661958906</v>
      </c>
      <c r="J32" s="396">
        <f>J30/I30-1</f>
        <v>-8.172598745611459E-2</v>
      </c>
      <c r="K32" s="396">
        <f>K30/J30-1</f>
        <v>-0.45933815383397791</v>
      </c>
      <c r="L32" s="396"/>
      <c r="M32"/>
      <c r="N32" s="102" t="s">
        <v>83</v>
      </c>
      <c r="O32" s="113">
        <v>28.163</v>
      </c>
      <c r="P32" s="313">
        <v>60.302999999999997</v>
      </c>
      <c r="Q32" s="313">
        <f>3.711+70.283</f>
        <v>73.994</v>
      </c>
      <c r="R32" s="313">
        <f>5.774+94.223</f>
        <v>99.997</v>
      </c>
      <c r="S32" s="312">
        <f>4.129+59.986</f>
        <v>64.114999999999995</v>
      </c>
      <c r="T32" s="312">
        <f>(63.34+1028.13)/10</f>
        <v>109.14700000000001</v>
      </c>
      <c r="U32" s="381">
        <f>(101.46+803.84)/10</f>
        <v>90.53</v>
      </c>
      <c r="V32" s="102">
        <v>105.69499999999999</v>
      </c>
      <c r="W32" s="102">
        <v>130.22</v>
      </c>
      <c r="X32" s="102">
        <v>83.373999999999995</v>
      </c>
    </row>
    <row r="33" spans="1:27" ht="15" customHeight="1">
      <c r="A33" s="107" t="s">
        <v>214</v>
      </c>
      <c r="B33" s="107"/>
      <c r="C33" s="302"/>
      <c r="D33" s="285"/>
      <c r="E33" s="285"/>
      <c r="F33" s="285"/>
      <c r="G33" s="109">
        <f t="shared" ref="G33:K33" si="33">((G31/B31)^(1/5)-1)</f>
        <v>0.10749973373001143</v>
      </c>
      <c r="H33" s="109">
        <f t="shared" si="33"/>
        <v>0.1986438751994033</v>
      </c>
      <c r="I33" s="109">
        <f t="shared" si="33"/>
        <v>-3.1752085434868405E-2</v>
      </c>
      <c r="J33" s="109">
        <f t="shared" si="33"/>
        <v>-5.2656753005058898E-2</v>
      </c>
      <c r="K33" s="109">
        <f t="shared" si="33"/>
        <v>-0.1848198627986769</v>
      </c>
      <c r="L33" s="109"/>
      <c r="M33"/>
      <c r="N33" s="102" t="s">
        <v>84</v>
      </c>
      <c r="O33" s="113"/>
      <c r="P33" s="313">
        <v>128.31700000000001</v>
      </c>
      <c r="Q33" s="313">
        <v>141.90299999999999</v>
      </c>
      <c r="R33" s="314">
        <v>112.38</v>
      </c>
      <c r="S33" s="312">
        <v>80.575999999999993</v>
      </c>
      <c r="T33" s="312">
        <v>106.605</v>
      </c>
      <c r="U33" s="381">
        <v>7.5940000000000003</v>
      </c>
      <c r="V33" s="102">
        <v>10.656000000000001</v>
      </c>
      <c r="W33" s="102">
        <v>2.7549999999999999</v>
      </c>
      <c r="X33" s="102">
        <v>16.484000000000002</v>
      </c>
    </row>
    <row r="34" spans="1:27" ht="15" customHeight="1">
      <c r="A34" s="101" t="s">
        <v>14</v>
      </c>
      <c r="B34" s="101">
        <v>7.68</v>
      </c>
      <c r="C34" s="279">
        <v>2.96</v>
      </c>
      <c r="D34" s="283">
        <v>4.97</v>
      </c>
      <c r="E34" s="283">
        <v>5.51</v>
      </c>
      <c r="F34" s="283">
        <v>26.65</v>
      </c>
      <c r="G34" s="283">
        <v>32.630000000000003</v>
      </c>
      <c r="H34" s="283">
        <v>52.15</v>
      </c>
      <c r="I34" s="283">
        <v>33.409999999999997</v>
      </c>
      <c r="J34" s="283">
        <v>31.1</v>
      </c>
      <c r="K34" s="283">
        <v>16.88</v>
      </c>
      <c r="L34" s="452">
        <v>0.9</v>
      </c>
      <c r="M34"/>
      <c r="N34" s="102" t="s">
        <v>79</v>
      </c>
      <c r="O34" s="113">
        <v>76.212999999999994</v>
      </c>
      <c r="P34" s="313">
        <v>20.088000000000001</v>
      </c>
      <c r="Q34" s="313">
        <v>7.3540000000000001</v>
      </c>
      <c r="R34" s="314">
        <v>8.3190000000000008</v>
      </c>
      <c r="S34" s="312">
        <v>28.785</v>
      </c>
      <c r="T34" s="312">
        <v>45.981000000000002</v>
      </c>
      <c r="U34" s="381">
        <v>35.905999999999999</v>
      </c>
      <c r="V34" s="102">
        <v>35.854999999999997</v>
      </c>
      <c r="W34" s="102">
        <v>42.582999999999998</v>
      </c>
      <c r="X34" s="102">
        <v>41.716999999999999</v>
      </c>
    </row>
    <row r="35" spans="1:27" ht="15.5">
      <c r="A35" s="122" t="s">
        <v>2</v>
      </c>
      <c r="B35" s="122"/>
      <c r="C35" s="396"/>
      <c r="D35" s="396">
        <f t="shared" ref="D35:I35" si="34">D34/C34-1</f>
        <v>0.67905405405405395</v>
      </c>
      <c r="E35" s="396">
        <f t="shared" si="34"/>
        <v>0.10865191146881292</v>
      </c>
      <c r="F35" s="396">
        <f t="shared" si="34"/>
        <v>3.8366606170598914</v>
      </c>
      <c r="G35" s="396">
        <f t="shared" si="34"/>
        <v>0.22439024390243922</v>
      </c>
      <c r="H35" s="396">
        <f t="shared" si="34"/>
        <v>0.59822249463683708</v>
      </c>
      <c r="I35" s="396">
        <f t="shared" si="34"/>
        <v>-0.35934803451581976</v>
      </c>
      <c r="J35" s="396">
        <f>J34/I34-1</f>
        <v>-6.9140975755761613E-2</v>
      </c>
      <c r="K35" s="396">
        <f>K34/J34-1</f>
        <v>-0.45723472668810294</v>
      </c>
      <c r="L35" s="396"/>
      <c r="M35"/>
      <c r="N35" s="102" t="s">
        <v>164</v>
      </c>
      <c r="O35" s="113"/>
      <c r="P35" s="313"/>
      <c r="Q35" s="313"/>
      <c r="R35" s="314"/>
      <c r="S35" s="312"/>
      <c r="T35" s="312"/>
      <c r="U35" s="381"/>
      <c r="V35" s="102"/>
      <c r="W35" s="102"/>
      <c r="X35" s="102"/>
    </row>
    <row r="36" spans="1:27" ht="15.5">
      <c r="A36" s="122" t="s">
        <v>227</v>
      </c>
      <c r="B36" s="122"/>
      <c r="C36" s="305"/>
      <c r="D36" s="291"/>
      <c r="E36" s="291"/>
      <c r="F36" s="291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>
        <f>((J34/E34)^(1/5)-1)</f>
        <v>0.41358444650023718</v>
      </c>
      <c r="K36" s="109">
        <f>((K34/F34)^(1/5)-1)</f>
        <v>-8.728529886709091E-2</v>
      </c>
      <c r="L36" s="109"/>
      <c r="M36"/>
      <c r="N36" s="102" t="s">
        <v>98</v>
      </c>
      <c r="O36" s="113">
        <v>42.125999999999998</v>
      </c>
      <c r="P36" s="313">
        <v>2.7789999999999999</v>
      </c>
      <c r="Q36" s="313">
        <v>2.5259999999999998</v>
      </c>
      <c r="R36" s="314">
        <v>5.75</v>
      </c>
      <c r="S36" s="312">
        <v>3.3759999999999999</v>
      </c>
      <c r="T36" s="312">
        <v>10.209</v>
      </c>
      <c r="U36" s="381">
        <v>9.8889999999999993</v>
      </c>
      <c r="V36" s="102">
        <v>8.9849999999999994</v>
      </c>
      <c r="W36" s="102">
        <v>11.301</v>
      </c>
      <c r="X36" s="102">
        <v>13.689</v>
      </c>
    </row>
    <row r="37" spans="1:27" ht="15.5">
      <c r="C37" s="306"/>
      <c r="D37" s="292"/>
      <c r="E37" s="292"/>
      <c r="F37" s="292"/>
      <c r="I37" s="391"/>
      <c r="J37" s="391"/>
      <c r="K37" s="391"/>
      <c r="L37" s="391"/>
      <c r="M37"/>
      <c r="N37" s="102" t="s">
        <v>99</v>
      </c>
      <c r="O37" s="113"/>
      <c r="P37" s="316" t="s">
        <v>128</v>
      </c>
      <c r="Q37" s="313">
        <v>3.8580000000000001</v>
      </c>
      <c r="R37" s="314">
        <v>6.359</v>
      </c>
      <c r="S37" s="312">
        <v>9.7780000000000005</v>
      </c>
      <c r="T37" s="312">
        <v>13.358000000000001</v>
      </c>
      <c r="U37" s="381">
        <v>9.4819999999999993</v>
      </c>
      <c r="V37" s="102">
        <v>4.883</v>
      </c>
      <c r="W37" s="102">
        <v>0.61599999999999999</v>
      </c>
      <c r="X37" s="102">
        <v>0</v>
      </c>
    </row>
    <row r="38" spans="1:27" ht="15.5">
      <c r="A38" s="114"/>
      <c r="B38" s="114"/>
      <c r="C38" s="307"/>
      <c r="D38" s="293"/>
      <c r="E38" s="293"/>
      <c r="F38" s="293"/>
      <c r="G38" s="248"/>
      <c r="H38" s="248"/>
      <c r="I38" s="390"/>
      <c r="J38" s="390"/>
      <c r="K38" s="390"/>
      <c r="L38" s="416"/>
      <c r="M38"/>
      <c r="N38" s="102"/>
      <c r="O38" s="113"/>
      <c r="P38" s="313"/>
      <c r="Q38" s="313"/>
      <c r="R38" s="314"/>
      <c r="S38" s="312"/>
      <c r="T38" s="312"/>
      <c r="U38" s="381"/>
      <c r="V38" s="102"/>
      <c r="W38" s="102"/>
      <c r="X38" s="102"/>
    </row>
    <row r="39" spans="1:27" ht="15.5">
      <c r="A39" s="114"/>
      <c r="B39" s="114"/>
      <c r="C39" s="307"/>
      <c r="D39" s="294"/>
      <c r="E39" s="294"/>
      <c r="F39" s="294"/>
      <c r="G39" s="240"/>
      <c r="H39" s="240"/>
      <c r="I39" s="240"/>
      <c r="J39" s="240"/>
      <c r="K39" s="240"/>
      <c r="L39" s="240"/>
      <c r="M39"/>
      <c r="N39" s="105" t="s">
        <v>48</v>
      </c>
      <c r="O39" s="106">
        <f t="shared" ref="O39:V39" si="35">(O23-O31-O9)</f>
        <v>26.418000000000063</v>
      </c>
      <c r="P39" s="284">
        <f t="shared" si="35"/>
        <v>20.838000000000022</v>
      </c>
      <c r="Q39" s="284">
        <f t="shared" si="35"/>
        <v>63.790999999999883</v>
      </c>
      <c r="R39" s="315">
        <f t="shared" si="35"/>
        <v>58.133999999999958</v>
      </c>
      <c r="S39" s="284">
        <f t="shared" si="35"/>
        <v>118.17199999999997</v>
      </c>
      <c r="T39" s="284">
        <f t="shared" si="35"/>
        <v>471.33900000000006</v>
      </c>
      <c r="U39" s="284">
        <f t="shared" si="35"/>
        <v>698.71400000000028</v>
      </c>
      <c r="V39" s="284">
        <f t="shared" si="35"/>
        <v>817.97700000000009</v>
      </c>
      <c r="W39" s="284">
        <f>(W23-W31-W9)</f>
        <v>1067.8730000000003</v>
      </c>
      <c r="X39" s="284">
        <f>(X23-X31-X9)</f>
        <v>1020.2529999999999</v>
      </c>
    </row>
    <row r="40" spans="1:27" ht="15.5">
      <c r="A40" s="127" t="s">
        <v>15</v>
      </c>
      <c r="B40" s="127"/>
      <c r="C40" s="308"/>
      <c r="D40" s="295"/>
      <c r="E40" s="295"/>
      <c r="F40" s="295"/>
      <c r="G40" s="241"/>
      <c r="H40" s="241"/>
      <c r="I40" s="241"/>
      <c r="J40" s="241"/>
      <c r="K40" s="241"/>
      <c r="L40" s="241"/>
      <c r="M40"/>
      <c r="N40" s="102" t="s">
        <v>49</v>
      </c>
      <c r="O40" s="113">
        <v>77.230999999999995</v>
      </c>
      <c r="P40" s="313">
        <v>97.225999999999999</v>
      </c>
      <c r="Q40" s="313">
        <v>104.102</v>
      </c>
      <c r="R40" s="314">
        <v>121.574</v>
      </c>
      <c r="S40" s="312">
        <v>116.29</v>
      </c>
      <c r="T40" s="312">
        <v>113.509</v>
      </c>
      <c r="U40" s="381">
        <v>128.05600000000001</v>
      </c>
      <c r="V40" s="102">
        <v>145.80500000000001</v>
      </c>
      <c r="W40" s="102">
        <v>161.24299999999999</v>
      </c>
      <c r="X40" s="102">
        <v>187.3</v>
      </c>
    </row>
    <row r="41" spans="1:27" ht="15.5">
      <c r="A41" s="101" t="s">
        <v>0</v>
      </c>
      <c r="B41" s="101"/>
      <c r="C41" s="309" t="s">
        <v>34</v>
      </c>
      <c r="D41" s="296" t="s">
        <v>87</v>
      </c>
      <c r="E41" s="296" t="s">
        <v>133</v>
      </c>
      <c r="F41" s="296" t="s">
        <v>166</v>
      </c>
      <c r="G41" s="130" t="s">
        <v>213</v>
      </c>
      <c r="H41" s="130" t="s">
        <v>224</v>
      </c>
      <c r="I41" s="130" t="s">
        <v>226</v>
      </c>
      <c r="J41" s="130" t="s">
        <v>230</v>
      </c>
      <c r="K41" s="130" t="str">
        <f>K3</f>
        <v>FY 25</v>
      </c>
      <c r="L41" s="192"/>
      <c r="M41"/>
      <c r="N41" s="102" t="s">
        <v>86</v>
      </c>
      <c r="O41" s="113"/>
      <c r="P41" s="313"/>
      <c r="Q41" s="313"/>
      <c r="R41" s="314"/>
      <c r="S41" s="312"/>
      <c r="T41" s="312"/>
      <c r="U41" s="381"/>
      <c r="V41" s="102"/>
      <c r="W41" s="102"/>
      <c r="X41" s="102"/>
    </row>
    <row r="42" spans="1:27" ht="15.5">
      <c r="A42" s="101" t="s">
        <v>16</v>
      </c>
      <c r="B42" s="101"/>
      <c r="C42" s="297">
        <v>0.54100000000000004</v>
      </c>
      <c r="D42" s="297">
        <v>3.3730000000000002</v>
      </c>
      <c r="E42" s="297">
        <v>0.20100000000000001</v>
      </c>
      <c r="F42" s="297">
        <v>0.16400000000000001</v>
      </c>
      <c r="G42" s="297">
        <f>F47</f>
        <v>0.30799999999997707</v>
      </c>
      <c r="H42" s="297">
        <v>0.3</v>
      </c>
      <c r="I42" s="297">
        <v>8.3000000000000004E-2</v>
      </c>
      <c r="J42" s="297">
        <f>I47</f>
        <v>7.7999999999947708E-2</v>
      </c>
      <c r="K42" s="297">
        <v>8.4000000000000005E-2</v>
      </c>
      <c r="L42" s="412"/>
      <c r="M42"/>
      <c r="N42" s="102" t="s">
        <v>164</v>
      </c>
      <c r="O42" s="113"/>
      <c r="P42" s="313"/>
      <c r="Q42" s="313"/>
      <c r="R42" s="314"/>
      <c r="S42" s="312"/>
      <c r="T42" s="312"/>
      <c r="U42" s="381"/>
      <c r="V42" s="102"/>
      <c r="W42" s="102"/>
      <c r="X42" s="102"/>
    </row>
    <row r="43" spans="1:27" ht="15.5">
      <c r="A43" s="101" t="s">
        <v>17</v>
      </c>
      <c r="B43" s="101"/>
      <c r="C43" s="297">
        <v>38.253</v>
      </c>
      <c r="D43" s="297">
        <v>154.66999999999999</v>
      </c>
      <c r="E43" s="297">
        <v>342.00200000000001</v>
      </c>
      <c r="F43" s="297">
        <v>311.76</v>
      </c>
      <c r="G43" s="297">
        <v>394.25900000000001</v>
      </c>
      <c r="H43" s="297">
        <v>404.85</v>
      </c>
      <c r="I43" s="297">
        <v>496.15</v>
      </c>
      <c r="J43" s="297">
        <v>744.80499999999995</v>
      </c>
      <c r="K43" s="297">
        <v>-167.78800000000001</v>
      </c>
      <c r="L43" s="412"/>
      <c r="M43"/>
      <c r="N43" s="102" t="s">
        <v>72</v>
      </c>
      <c r="O43" s="113">
        <v>3.22</v>
      </c>
      <c r="P43" s="313">
        <v>6.5819999999999999</v>
      </c>
      <c r="Q43" s="313">
        <v>6.1950000000000003</v>
      </c>
      <c r="R43" s="314">
        <v>8.9540000000000006</v>
      </c>
      <c r="S43" s="312">
        <v>11.433</v>
      </c>
      <c r="T43" s="312">
        <v>17.72</v>
      </c>
      <c r="U43" s="381">
        <v>17.498000000000001</v>
      </c>
      <c r="V43" s="102">
        <v>17.923999999999999</v>
      </c>
      <c r="W43" s="102">
        <v>21.870999999999999</v>
      </c>
      <c r="X43" s="102">
        <v>25.099</v>
      </c>
    </row>
    <row r="44" spans="1:27" ht="15.5">
      <c r="A44" s="102" t="s">
        <v>80</v>
      </c>
      <c r="B44" s="102"/>
      <c r="C44" s="298">
        <v>-201.476</v>
      </c>
      <c r="D44" s="298">
        <v>-125.806</v>
      </c>
      <c r="E44" s="298">
        <v>-136.774</v>
      </c>
      <c r="F44" s="298">
        <v>-239.03200000000001</v>
      </c>
      <c r="G44" s="298">
        <v>-228</v>
      </c>
      <c r="H44" s="298">
        <v>-341.84</v>
      </c>
      <c r="I44" s="298">
        <v>-144.91800000000001</v>
      </c>
      <c r="J44" s="298">
        <v>-176.25040000000001</v>
      </c>
      <c r="K44" s="298">
        <v>-255.036</v>
      </c>
      <c r="L44" s="413"/>
      <c r="M44"/>
      <c r="N44" s="258"/>
      <c r="O44" s="155"/>
      <c r="P44" s="317"/>
      <c r="Q44" s="317"/>
      <c r="R44" s="317"/>
      <c r="S44" s="289"/>
      <c r="T44" s="289"/>
      <c r="U44" s="382"/>
      <c r="V44" s="102"/>
      <c r="W44" s="102"/>
      <c r="X44" s="102"/>
    </row>
    <row r="45" spans="1:27" ht="15.5">
      <c r="A45" s="102" t="s">
        <v>18</v>
      </c>
      <c r="B45" s="102"/>
      <c r="C45" s="298">
        <v>166.05500000000001</v>
      </c>
      <c r="D45" s="298">
        <v>-32.036000000000001</v>
      </c>
      <c r="E45" s="298">
        <v>-205.26499999999999</v>
      </c>
      <c r="F45" s="298">
        <v>-72.584000000000003</v>
      </c>
      <c r="G45" s="298">
        <v>-166</v>
      </c>
      <c r="H45" s="298">
        <v>-63.189</v>
      </c>
      <c r="I45" s="298">
        <v>-351.23700000000002</v>
      </c>
      <c r="J45" s="298">
        <v>-568.54899999999998</v>
      </c>
      <c r="K45" s="298">
        <v>422.822</v>
      </c>
      <c r="L45" s="413"/>
      <c r="M45"/>
      <c r="N45" s="105" t="s">
        <v>93</v>
      </c>
      <c r="O45" s="111">
        <f t="shared" ref="O45:V45" si="36">SUM(O15:O22)+O23</f>
        <v>1144.71</v>
      </c>
      <c r="P45" s="288">
        <f t="shared" si="36"/>
        <v>1537.8119999999999</v>
      </c>
      <c r="Q45" s="288">
        <f t="shared" si="36"/>
        <v>1764.5629999999996</v>
      </c>
      <c r="R45" s="318">
        <f t="shared" si="36"/>
        <v>1877.3059999999998</v>
      </c>
      <c r="S45" s="318">
        <f t="shared" si="36"/>
        <v>2188.6129999999998</v>
      </c>
      <c r="T45" s="318">
        <f t="shared" si="36"/>
        <v>2584.9060000000004</v>
      </c>
      <c r="U45" s="288">
        <f t="shared" si="36"/>
        <v>3240.7800000000007</v>
      </c>
      <c r="V45" s="288">
        <f t="shared" si="36"/>
        <v>3424.0800000000008</v>
      </c>
      <c r="W45" s="288">
        <f>SUM(W15:W22)+W23</f>
        <v>3343.0940000000001</v>
      </c>
      <c r="X45" s="288">
        <f>SUM(X15:X22)+X23</f>
        <v>4018.2879999999996</v>
      </c>
    </row>
    <row r="46" spans="1:27" ht="15.5">
      <c r="A46" s="101" t="s">
        <v>19</v>
      </c>
      <c r="B46" s="101"/>
      <c r="C46" s="284">
        <f t="shared" ref="C46:D46" si="37">+C43+C44+C45</f>
        <v>2.8319999999999936</v>
      </c>
      <c r="D46" s="284">
        <f t="shared" si="37"/>
        <v>-3.1720000000000113</v>
      </c>
      <c r="E46" s="284">
        <f>+E43+E44+E45</f>
        <v>-3.6999999999977717E-2</v>
      </c>
      <c r="F46" s="284">
        <f>+F43+F44+F45</f>
        <v>0.14399999999997704</v>
      </c>
      <c r="G46" s="284">
        <f>+G43+G44+G45</f>
        <v>0.25900000000001455</v>
      </c>
      <c r="H46" s="284">
        <f>H43+H44+H45</f>
        <v>-0.17899999999995231</v>
      </c>
      <c r="I46" s="284">
        <f>I43+I44+I45</f>
        <v>-5.0000000000522959E-3</v>
      </c>
      <c r="J46" s="284">
        <f>J43+J44+J45</f>
        <v>5.599999999958527E-3</v>
      </c>
      <c r="K46" s="284">
        <f>SUM(K43:K45)</f>
        <v>-2.0000000000095497E-3</v>
      </c>
      <c r="L46" s="412"/>
      <c r="M46"/>
      <c r="N46" s="105" t="s">
        <v>94</v>
      </c>
      <c r="O46" s="111">
        <f>O43+O31+O10+O6+O40+O41+O44+O7</f>
        <v>1144.71</v>
      </c>
      <c r="P46" s="288">
        <f>P43+P31+P10+P6+P40+P41+P44+P7</f>
        <v>1537.8119999999999</v>
      </c>
      <c r="Q46" s="288">
        <f>Q43+Q31+Q10+Q6+Q40+Q41+Q44+Q7</f>
        <v>1764.5630000000001</v>
      </c>
      <c r="R46" s="318">
        <f>R43+R31+R10+R6+R40+R41+R44+R7</f>
        <v>1877.306</v>
      </c>
      <c r="S46" s="318">
        <f t="shared" ref="S46:W46" si="38">S43+S31+S10+S6+S40+S41+S44+S7+S42</f>
        <v>2188.6130000000003</v>
      </c>
      <c r="T46" s="318">
        <f t="shared" si="38"/>
        <v>2586.0259999999998</v>
      </c>
      <c r="U46" s="288">
        <f t="shared" si="38"/>
        <v>3240.7440000000001</v>
      </c>
      <c r="V46" s="288">
        <f t="shared" si="38"/>
        <v>3424.0799999999995</v>
      </c>
      <c r="W46" s="288">
        <f t="shared" si="38"/>
        <v>3343.0940000000001</v>
      </c>
      <c r="X46" s="288">
        <f>X43+X31+X10+X6+X40+X41+X44+X7+X42</f>
        <v>4018.288</v>
      </c>
      <c r="Y46" s="88"/>
      <c r="Z46" s="88"/>
      <c r="AA46" s="88"/>
    </row>
    <row r="47" spans="1:27" ht="15.5">
      <c r="A47" s="101" t="s">
        <v>73</v>
      </c>
      <c r="B47" s="101"/>
      <c r="C47" s="284">
        <f t="shared" ref="C47:I47" si="39">C46+C42</f>
        <v>3.3729999999999936</v>
      </c>
      <c r="D47" s="284">
        <f t="shared" si="39"/>
        <v>0.20099999999998897</v>
      </c>
      <c r="E47" s="284">
        <f t="shared" si="39"/>
        <v>0.16400000000002229</v>
      </c>
      <c r="F47" s="284">
        <f t="shared" si="39"/>
        <v>0.30799999999997707</v>
      </c>
      <c r="G47" s="284">
        <f t="shared" si="39"/>
        <v>0.56699999999999162</v>
      </c>
      <c r="H47" s="284">
        <f t="shared" si="39"/>
        <v>0.12100000000004768</v>
      </c>
      <c r="I47" s="284">
        <f t="shared" si="39"/>
        <v>7.7999999999947708E-2</v>
      </c>
      <c r="J47" s="284">
        <f>J46+J42</f>
        <v>8.3599999999906235E-2</v>
      </c>
      <c r="K47" s="284">
        <f>K46+K42</f>
        <v>8.1999999999990456E-2</v>
      </c>
      <c r="L47" s="412"/>
      <c r="M47"/>
      <c r="N47" s="127" t="s">
        <v>50</v>
      </c>
      <c r="O47" s="104"/>
      <c r="P47" s="249"/>
      <c r="Q47" s="249"/>
      <c r="R47" s="114"/>
      <c r="S47" s="250"/>
      <c r="T47" s="250"/>
      <c r="U47" s="154"/>
      <c r="V47" s="102"/>
      <c r="W47" s="102"/>
      <c r="X47" s="6"/>
    </row>
    <row r="48" spans="1:27" ht="15.5">
      <c r="A48" s="102"/>
      <c r="B48" s="102"/>
      <c r="C48" s="280"/>
      <c r="D48" s="417"/>
      <c r="E48" s="417"/>
      <c r="F48" s="417"/>
      <c r="G48" s="171"/>
      <c r="H48" s="171"/>
      <c r="I48" s="171"/>
      <c r="J48" s="171"/>
      <c r="K48" s="171"/>
      <c r="L48" s="104"/>
      <c r="M48"/>
      <c r="N48" s="101" t="s">
        <v>51</v>
      </c>
      <c r="O48" s="162" t="s">
        <v>33</v>
      </c>
      <c r="P48" s="144" t="s">
        <v>34</v>
      </c>
      <c r="Q48" s="144" t="s">
        <v>87</v>
      </c>
      <c r="R48" s="251" t="s">
        <v>133</v>
      </c>
      <c r="S48" s="252" t="s">
        <v>166</v>
      </c>
      <c r="T48" s="252" t="s">
        <v>213</v>
      </c>
      <c r="U48" s="375" t="s">
        <v>224</v>
      </c>
      <c r="V48" s="252" t="s">
        <v>226</v>
      </c>
      <c r="W48" s="252" t="s">
        <v>230</v>
      </c>
      <c r="X48" s="420" t="s">
        <v>234</v>
      </c>
      <c r="Y48" s="89" t="s">
        <v>238</v>
      </c>
    </row>
    <row r="49" spans="1:26" ht="15.5">
      <c r="A49" s="129" t="s">
        <v>20</v>
      </c>
      <c r="B49" s="129"/>
      <c r="C49" s="310"/>
      <c r="D49" s="299" t="s">
        <v>87</v>
      </c>
      <c r="E49" s="299" t="s">
        <v>133</v>
      </c>
      <c r="F49" s="299" t="s">
        <v>166</v>
      </c>
      <c r="G49" s="130" t="s">
        <v>213</v>
      </c>
      <c r="H49" s="130" t="s">
        <v>224</v>
      </c>
      <c r="I49" s="130" t="s">
        <v>226</v>
      </c>
      <c r="J49" s="130" t="s">
        <v>230</v>
      </c>
      <c r="K49" s="130" t="str">
        <f>K41</f>
        <v>FY 25</v>
      </c>
      <c r="L49" s="192"/>
      <c r="M49"/>
      <c r="N49" s="157" t="s">
        <v>236</v>
      </c>
      <c r="O49" s="121"/>
      <c r="P49" s="158"/>
      <c r="Q49" s="158"/>
      <c r="R49" s="164"/>
      <c r="S49" s="121"/>
      <c r="T49" s="121">
        <v>748.6</v>
      </c>
      <c r="U49" s="376">
        <v>1504.8</v>
      </c>
      <c r="V49" s="397">
        <v>914.1</v>
      </c>
      <c r="W49" s="397">
        <v>1187</v>
      </c>
      <c r="X49" s="406">
        <v>876.45</v>
      </c>
      <c r="Y49" s="429">
        <v>1005.35</v>
      </c>
      <c r="Z49" s="428"/>
    </row>
    <row r="50" spans="1:26" ht="15.5">
      <c r="A50" s="101" t="s">
        <v>26</v>
      </c>
      <c r="B50" s="101"/>
      <c r="C50" s="279"/>
      <c r="D50" s="288">
        <f t="shared" ref="D50:I50" si="40">D43</f>
        <v>154.66999999999999</v>
      </c>
      <c r="E50" s="288">
        <f t="shared" si="40"/>
        <v>342.00200000000001</v>
      </c>
      <c r="F50" s="288">
        <f t="shared" si="40"/>
        <v>311.76</v>
      </c>
      <c r="G50" s="288">
        <f t="shared" si="40"/>
        <v>394.25900000000001</v>
      </c>
      <c r="H50" s="288">
        <f t="shared" si="40"/>
        <v>404.85</v>
      </c>
      <c r="I50" s="288">
        <f t="shared" si="40"/>
        <v>496.15</v>
      </c>
      <c r="J50" s="288">
        <f t="shared" ref="J50" si="41">J43</f>
        <v>744.80499999999995</v>
      </c>
      <c r="K50" s="288">
        <f>K43</f>
        <v>-167.78800000000001</v>
      </c>
      <c r="L50" s="411"/>
      <c r="M50"/>
      <c r="N50" s="118" t="s">
        <v>53</v>
      </c>
      <c r="O50" s="134" t="e">
        <f>#REF!</f>
        <v>#REF!</v>
      </c>
      <c r="P50" s="319">
        <f>C34</f>
        <v>2.96</v>
      </c>
      <c r="Q50" s="319">
        <f>D34</f>
        <v>4.97</v>
      </c>
      <c r="R50" s="320">
        <f>E34</f>
        <v>5.51</v>
      </c>
      <c r="S50" s="319">
        <f>F34</f>
        <v>26.65</v>
      </c>
      <c r="T50" s="319">
        <v>32.630000000000003</v>
      </c>
      <c r="U50" s="319">
        <v>52.15</v>
      </c>
      <c r="V50" s="385">
        <f>I34</f>
        <v>33.409999999999997</v>
      </c>
      <c r="W50" s="385">
        <f>J34</f>
        <v>31.1</v>
      </c>
      <c r="X50" s="421">
        <f>K34</f>
        <v>16.88</v>
      </c>
      <c r="Y50" s="405">
        <f>X50+L34-10.64</f>
        <v>7.139999999999997</v>
      </c>
      <c r="Z50" s="2" t="s">
        <v>239</v>
      </c>
    </row>
    <row r="51" spans="1:26" ht="15.5">
      <c r="A51" s="102" t="s">
        <v>27</v>
      </c>
      <c r="B51" s="102"/>
      <c r="C51" s="280"/>
      <c r="D51" s="300">
        <v>-151.30000000000001</v>
      </c>
      <c r="E51" s="300">
        <v>-176.5</v>
      </c>
      <c r="F51" s="300">
        <v>-303.29300000000001</v>
      </c>
      <c r="G51" s="300">
        <v>-231.22800000000001</v>
      </c>
      <c r="H51" s="300">
        <v>-345</v>
      </c>
      <c r="I51" s="300">
        <f>-147.259+23.04</f>
        <v>-124.21899999999999</v>
      </c>
      <c r="J51" s="300">
        <f>-181.28+4.684</f>
        <v>-176.596</v>
      </c>
      <c r="K51" s="300">
        <v>-255.70599999999999</v>
      </c>
      <c r="L51" s="409"/>
      <c r="M51"/>
      <c r="N51" s="259" t="s">
        <v>54</v>
      </c>
      <c r="O51" s="321" t="e">
        <f>(O6*1000000)/B55</f>
        <v>#DIV/0!</v>
      </c>
      <c r="P51" s="321" t="s">
        <v>128</v>
      </c>
      <c r="Q51" s="321">
        <f t="shared" ref="Q51:W51" si="42">(Q6*1000000)/D55</f>
        <v>36.085791979133667</v>
      </c>
      <c r="R51" s="322">
        <f t="shared" si="42"/>
        <v>42.398320328100588</v>
      </c>
      <c r="S51" s="321">
        <f t="shared" si="42"/>
        <v>52.357820092219001</v>
      </c>
      <c r="T51" s="321">
        <f t="shared" si="42"/>
        <v>129.58741260782088</v>
      </c>
      <c r="U51" s="321">
        <f t="shared" si="42"/>
        <v>178.28941497294119</v>
      </c>
      <c r="V51" s="386">
        <f t="shared" si="42"/>
        <v>199.11070676977675</v>
      </c>
      <c r="W51" s="386">
        <f t="shared" si="42"/>
        <v>222.66721614216894</v>
      </c>
      <c r="X51" s="422">
        <f t="shared" ref="X51" si="43">(X6*1000000)/K55</f>
        <v>231.95827754482755</v>
      </c>
      <c r="Y51" s="386" t="s">
        <v>92</v>
      </c>
    </row>
    <row r="52" spans="1:26" ht="15.5">
      <c r="A52" s="105" t="s">
        <v>28</v>
      </c>
      <c r="B52" s="105"/>
      <c r="C52" s="303"/>
      <c r="D52" s="288">
        <f t="shared" ref="D52" si="44">SUM(D50:D51)</f>
        <v>3.3699999999999761</v>
      </c>
      <c r="E52" s="288">
        <f t="shared" ref="E52:H52" si="45">SUM(E50:E51)</f>
        <v>165.50200000000001</v>
      </c>
      <c r="F52" s="288">
        <f t="shared" si="45"/>
        <v>8.4669999999999845</v>
      </c>
      <c r="G52" s="288">
        <f t="shared" si="45"/>
        <v>163.03100000000001</v>
      </c>
      <c r="H52" s="288">
        <f t="shared" si="45"/>
        <v>59.850000000000023</v>
      </c>
      <c r="I52" s="288">
        <f>SUM(I50:I51)</f>
        <v>371.93099999999998</v>
      </c>
      <c r="J52" s="300">
        <f>SUM(J50:J51)</f>
        <v>568.20899999999995</v>
      </c>
      <c r="K52" s="300">
        <f>SUM(K50:K51)</f>
        <v>-423.49400000000003</v>
      </c>
      <c r="L52" s="409"/>
      <c r="M52"/>
      <c r="N52" s="156" t="s">
        <v>55</v>
      </c>
      <c r="O52" s="323"/>
      <c r="P52" s="323"/>
      <c r="Q52" s="323"/>
      <c r="R52" s="324"/>
      <c r="S52" s="323"/>
      <c r="T52" s="323"/>
      <c r="U52" s="377">
        <v>13</v>
      </c>
      <c r="V52" s="387">
        <v>7.5</v>
      </c>
      <c r="W52" s="387">
        <v>7.5</v>
      </c>
      <c r="X52" s="423">
        <v>7.5</v>
      </c>
      <c r="Y52" s="430" t="s">
        <v>92</v>
      </c>
    </row>
    <row r="53" spans="1:26" ht="15.5">
      <c r="A53" s="408"/>
      <c r="B53" s="408"/>
      <c r="C53" s="418"/>
      <c r="D53" s="419"/>
      <c r="E53" s="419"/>
      <c r="F53" s="419"/>
      <c r="G53" s="408"/>
      <c r="H53" s="408"/>
      <c r="I53" s="408"/>
      <c r="J53" s="408"/>
      <c r="K53" s="408"/>
      <c r="L53" s="408"/>
      <c r="M53"/>
      <c r="N53" s="156" t="s">
        <v>56</v>
      </c>
      <c r="O53" s="321" t="e">
        <f t="shared" ref="O53:P53" si="46">(O49/O50)</f>
        <v>#REF!</v>
      </c>
      <c r="P53" s="321">
        <f t="shared" si="46"/>
        <v>0</v>
      </c>
      <c r="Q53" s="321">
        <f>(Q49/Q50)</f>
        <v>0</v>
      </c>
      <c r="R53" s="322">
        <f t="shared" ref="R53:V53" si="47">(R49/R50)</f>
        <v>0</v>
      </c>
      <c r="S53" s="321">
        <f t="shared" si="47"/>
        <v>0</v>
      </c>
      <c r="T53" s="321">
        <f t="shared" si="47"/>
        <v>22.942077842476248</v>
      </c>
      <c r="U53" s="321">
        <f t="shared" si="47"/>
        <v>28.855225311601149</v>
      </c>
      <c r="V53" s="386">
        <f t="shared" si="47"/>
        <v>27.360071834780008</v>
      </c>
      <c r="W53" s="321">
        <f>(W49/W50)</f>
        <v>38.167202572347264</v>
      </c>
      <c r="X53" s="322">
        <f>(X49/X50)</f>
        <v>51.922393364928915</v>
      </c>
      <c r="Y53" s="386" t="s">
        <v>92</v>
      </c>
    </row>
    <row r="54" spans="1:26" ht="15.5">
      <c r="A54" s="408"/>
      <c r="B54" s="408"/>
      <c r="C54" s="418"/>
      <c r="D54" s="419"/>
      <c r="E54" s="419"/>
      <c r="F54" s="419"/>
      <c r="G54" s="408"/>
      <c r="H54" s="335"/>
      <c r="I54" s="335"/>
      <c r="J54" s="335"/>
      <c r="K54" s="335"/>
      <c r="L54" s="335"/>
      <c r="M54"/>
      <c r="N54" s="156" t="s">
        <v>57</v>
      </c>
      <c r="O54" s="321" t="e">
        <f t="shared" ref="O54" si="48">(O49/O51)</f>
        <v>#DIV/0!</v>
      </c>
      <c r="P54" s="321" t="s">
        <v>128</v>
      </c>
      <c r="Q54" s="321">
        <f t="shared" ref="Q54:R54" si="49">(Q49/Q51)</f>
        <v>0</v>
      </c>
      <c r="R54" s="322">
        <f t="shared" si="49"/>
        <v>0</v>
      </c>
      <c r="S54" s="321">
        <f t="shared" ref="S54:W54" si="50">(S49/S51)</f>
        <v>0</v>
      </c>
      <c r="T54" s="321">
        <f t="shared" si="50"/>
        <v>5.7767956388290473</v>
      </c>
      <c r="U54" s="321">
        <f t="shared" si="50"/>
        <v>8.4402094214532148</v>
      </c>
      <c r="V54" s="386">
        <f t="shared" si="50"/>
        <v>4.5909133407724525</v>
      </c>
      <c r="W54" s="321">
        <f t="shared" si="50"/>
        <v>5.3308251684528276</v>
      </c>
      <c r="X54" s="322">
        <f>(X49/X51)</f>
        <v>3.7784812392850262</v>
      </c>
      <c r="Y54" s="386" t="s">
        <v>92</v>
      </c>
    </row>
    <row r="55" spans="1:26" ht="15.5">
      <c r="A55" s="102" t="s">
        <v>74</v>
      </c>
      <c r="B55" s="102"/>
      <c r="C55" s="280"/>
      <c r="D55" s="138">
        <v>24202822</v>
      </c>
      <c r="E55" s="138">
        <v>24202822</v>
      </c>
      <c r="F55" s="138">
        <v>24202822</v>
      </c>
      <c r="G55" s="138">
        <v>13020902</v>
      </c>
      <c r="H55" s="138">
        <v>13020902</v>
      </c>
      <c r="I55" s="138">
        <v>13020902</v>
      </c>
      <c r="J55" s="282">
        <v>13020902</v>
      </c>
      <c r="K55" s="137">
        <v>13020902</v>
      </c>
      <c r="L55" s="410"/>
      <c r="M55"/>
      <c r="N55" s="156" t="s">
        <v>58</v>
      </c>
      <c r="O55" s="321">
        <f t="shared" ref="O55:W55" si="51">B59/B16</f>
        <v>0</v>
      </c>
      <c r="P55" s="321">
        <f t="shared" si="51"/>
        <v>0</v>
      </c>
      <c r="Q55" s="321">
        <f t="shared" si="51"/>
        <v>1.6180738708265825</v>
      </c>
      <c r="R55" s="322">
        <f t="shared" si="51"/>
        <v>1.3481454563611499</v>
      </c>
      <c r="S55" s="321">
        <f t="shared" si="51"/>
        <v>1.2507479164814532</v>
      </c>
      <c r="T55" s="321">
        <f t="shared" si="51"/>
        <v>14.892342515894354</v>
      </c>
      <c r="U55" s="321">
        <f t="shared" si="51"/>
        <v>19.274939282880709</v>
      </c>
      <c r="V55" s="386">
        <f t="shared" si="51"/>
        <v>17.14809607236722</v>
      </c>
      <c r="W55" s="321">
        <f t="shared" si="51"/>
        <v>23.183236847527141</v>
      </c>
      <c r="X55" s="322">
        <f t="shared" ref="X55" si="52">K59/K16</f>
        <v>28.118300503246608</v>
      </c>
      <c r="Y55" s="386" t="s">
        <v>92</v>
      </c>
    </row>
    <row r="56" spans="1:26" ht="15.5">
      <c r="A56" s="102" t="s">
        <v>75</v>
      </c>
      <c r="B56" s="102"/>
      <c r="C56" s="280"/>
      <c r="D56" s="300">
        <f t="shared" ref="D56:K56" si="53">D55*Q49/1000000</f>
        <v>0</v>
      </c>
      <c r="E56" s="300">
        <f t="shared" si="53"/>
        <v>0</v>
      </c>
      <c r="F56" s="300">
        <f t="shared" si="53"/>
        <v>0</v>
      </c>
      <c r="G56" s="300">
        <f t="shared" si="53"/>
        <v>9747.4472372</v>
      </c>
      <c r="H56" s="300">
        <f t="shared" si="53"/>
        <v>19593.853329599999</v>
      </c>
      <c r="I56" s="300">
        <f t="shared" si="53"/>
        <v>11902.406518200001</v>
      </c>
      <c r="J56" s="300">
        <f t="shared" si="53"/>
        <v>15455.810674</v>
      </c>
      <c r="K56" s="300">
        <f t="shared" si="53"/>
        <v>11412.169557900001</v>
      </c>
      <c r="L56" s="409"/>
      <c r="M56"/>
      <c r="N56" s="160" t="s">
        <v>59</v>
      </c>
      <c r="O56" s="159">
        <f t="shared" ref="O56:W56" si="54">(B27/O6)</f>
        <v>0.16756382469136977</v>
      </c>
      <c r="P56" s="159">
        <f t="shared" si="54"/>
        <v>0.12587195891301828</v>
      </c>
      <c r="Q56" s="159">
        <f t="shared" si="54"/>
        <v>0.22209054956731222</v>
      </c>
      <c r="R56" s="159">
        <f t="shared" si="54"/>
        <v>0.20969070095375078</v>
      </c>
      <c r="S56" s="159">
        <f t="shared" si="54"/>
        <v>0.27386291268908719</v>
      </c>
      <c r="T56" s="159">
        <f t="shared" si="54"/>
        <v>0.25178431204051327</v>
      </c>
      <c r="U56" s="159">
        <f t="shared" si="54"/>
        <v>0.29250192441144396</v>
      </c>
      <c r="V56" s="159">
        <f t="shared" si="54"/>
        <v>0.1677905701648652</v>
      </c>
      <c r="W56" s="159">
        <f t="shared" si="54"/>
        <v>0.13968857611143021</v>
      </c>
      <c r="X56" s="424">
        <f t="shared" ref="X56" si="55">(K27/X6)</f>
        <v>7.2755210895849978E-2</v>
      </c>
      <c r="Y56" s="430" t="s">
        <v>92</v>
      </c>
    </row>
    <row r="57" spans="1:26" ht="15.5">
      <c r="A57" s="154" t="s">
        <v>78</v>
      </c>
      <c r="B57" s="154"/>
      <c r="C57" s="311"/>
      <c r="D57" s="300">
        <f t="shared" ref="D57:I57" si="56">Q10</f>
        <v>551.25300000000004</v>
      </c>
      <c r="E57" s="300">
        <f t="shared" si="56"/>
        <v>487.81399999999996</v>
      </c>
      <c r="F57" s="300">
        <f t="shared" si="56"/>
        <v>607.053</v>
      </c>
      <c r="G57" s="300">
        <f t="shared" si="56"/>
        <v>482.15199999999999</v>
      </c>
      <c r="H57" s="300">
        <f t="shared" si="56"/>
        <v>620.29999999999995</v>
      </c>
      <c r="I57" s="300">
        <f t="shared" si="56"/>
        <v>501.67599999999999</v>
      </c>
      <c r="J57" s="300">
        <f>W10</f>
        <v>73.177000000000007</v>
      </c>
      <c r="K57" s="300">
        <f t="shared" ref="K57" si="57">X10</f>
        <v>630.31899999999996</v>
      </c>
      <c r="L57" s="409"/>
      <c r="M57"/>
      <c r="N57" s="160" t="s">
        <v>60</v>
      </c>
      <c r="O57" s="159">
        <f>(B16-B20+B5)/O11</f>
        <v>0.24720760270987205</v>
      </c>
      <c r="P57" s="159">
        <f>(C16-C20+C5)/P11</f>
        <v>0.19323718322786637</v>
      </c>
      <c r="Q57" s="159">
        <f t="shared" ref="Q57:W57" si="58">(D16-D20)/Q11</f>
        <v>0.25167868017339895</v>
      </c>
      <c r="R57" s="159">
        <f t="shared" si="58"/>
        <v>0.24688105285491049</v>
      </c>
      <c r="S57" s="159">
        <f t="shared" si="58"/>
        <v>0.27215343405341652</v>
      </c>
      <c r="T57" s="159">
        <f t="shared" si="58"/>
        <v>0.29878309887345705</v>
      </c>
      <c r="U57" s="159">
        <f t="shared" si="58"/>
        <v>0.38074138079475173</v>
      </c>
      <c r="V57" s="159">
        <f t="shared" si="58"/>
        <v>0.23284294696208357</v>
      </c>
      <c r="W57" s="159">
        <f t="shared" si="58"/>
        <v>0.18719378985881996</v>
      </c>
      <c r="X57" s="424">
        <f t="shared" ref="X57" si="59">(K16-K20)/X11</f>
        <v>9.975546794402862E-2</v>
      </c>
      <c r="Y57" s="430" t="s">
        <v>92</v>
      </c>
    </row>
    <row r="58" spans="1:26" ht="15.5">
      <c r="A58" s="154" t="s">
        <v>76</v>
      </c>
      <c r="B58" s="154"/>
      <c r="C58" s="311"/>
      <c r="D58" s="300">
        <f t="shared" ref="D58:I58" si="60">Q26</f>
        <v>4.0009999999999994</v>
      </c>
      <c r="E58" s="300">
        <f t="shared" si="60"/>
        <v>1.8169999999999999</v>
      </c>
      <c r="F58" s="300">
        <f t="shared" si="60"/>
        <v>2.0949999999999998</v>
      </c>
      <c r="G58" s="300">
        <f t="shared" si="60"/>
        <v>2.7</v>
      </c>
      <c r="H58" s="300">
        <f t="shared" si="60"/>
        <v>1.681</v>
      </c>
      <c r="I58" s="300">
        <f t="shared" si="60"/>
        <v>0.67600000000000005</v>
      </c>
      <c r="J58" s="300">
        <f>W26</f>
        <v>0.90200000000000002</v>
      </c>
      <c r="K58" s="300">
        <f t="shared" ref="K58" si="61">X26</f>
        <v>12.861000000000001</v>
      </c>
      <c r="L58" s="409"/>
      <c r="M58"/>
      <c r="N58" s="156" t="s">
        <v>61</v>
      </c>
      <c r="O58" s="325">
        <f t="shared" ref="O58:V58" si="62">(O10/O6)</f>
        <v>0.45087763396901132</v>
      </c>
      <c r="P58" s="337">
        <f t="shared" si="62"/>
        <v>0.69878023022494451</v>
      </c>
      <c r="Q58" s="337">
        <f t="shared" si="62"/>
        <v>0.63117344380096596</v>
      </c>
      <c r="R58" s="338">
        <f t="shared" si="62"/>
        <v>0.47537857193670757</v>
      </c>
      <c r="S58" s="337">
        <f t="shared" si="62"/>
        <v>0.47904801662238289</v>
      </c>
      <c r="T58" s="337">
        <f t="shared" si="62"/>
        <v>0.28574594999837022</v>
      </c>
      <c r="U58" s="337">
        <f t="shared" si="62"/>
        <v>0.26719919844548046</v>
      </c>
      <c r="V58" s="387">
        <f t="shared" si="62"/>
        <v>0.19350297249750351</v>
      </c>
      <c r="W58" s="387">
        <f>(W10/W6)</f>
        <v>2.5239296830162027E-2</v>
      </c>
      <c r="X58" s="423">
        <f>(X10/X6)</f>
        <v>0.20869375487119515</v>
      </c>
      <c r="Y58" s="430" t="s">
        <v>92</v>
      </c>
    </row>
    <row r="59" spans="1:26" ht="15.5">
      <c r="A59" s="102" t="s">
        <v>77</v>
      </c>
      <c r="B59" s="102"/>
      <c r="C59" s="280"/>
      <c r="D59" s="284">
        <f t="shared" ref="D59:E59" si="63">D56+D57-D58</f>
        <v>547.25200000000007</v>
      </c>
      <c r="E59" s="284">
        <f t="shared" si="63"/>
        <v>485.99699999999996</v>
      </c>
      <c r="F59" s="284">
        <f>F56+F57-F58</f>
        <v>604.95799999999997</v>
      </c>
      <c r="G59" s="284">
        <f>G56+G57-G58</f>
        <v>10226.899237199999</v>
      </c>
      <c r="H59" s="284">
        <f t="shared" ref="H59:I59" si="64">H56+H57-H58</f>
        <v>20212.472329599997</v>
      </c>
      <c r="I59" s="284">
        <f t="shared" si="64"/>
        <v>12403.406518200001</v>
      </c>
      <c r="J59" s="284">
        <f>J56+J57-J58</f>
        <v>15528.085674</v>
      </c>
      <c r="K59" s="284">
        <f>K56+K57-K58</f>
        <v>12029.627557899999</v>
      </c>
      <c r="L59" s="412"/>
      <c r="M59"/>
      <c r="N59" s="156" t="s">
        <v>62</v>
      </c>
      <c r="O59" s="325">
        <f t="shared" ref="O59:V59" si="65">(O10-O26)/O6</f>
        <v>0.44848732043006673</v>
      </c>
      <c r="P59" s="337">
        <f t="shared" si="65"/>
        <v>0.69220892552428703</v>
      </c>
      <c r="Q59" s="337">
        <f t="shared" si="65"/>
        <v>0.62659238038970544</v>
      </c>
      <c r="R59" s="338">
        <f t="shared" si="65"/>
        <v>0.47360789117475938</v>
      </c>
      <c r="S59" s="337">
        <f t="shared" si="65"/>
        <v>0.47739477449224943</v>
      </c>
      <c r="T59" s="337">
        <f t="shared" si="65"/>
        <v>0.28414580302190717</v>
      </c>
      <c r="U59" s="337">
        <f t="shared" si="65"/>
        <v>0.26647509421754739</v>
      </c>
      <c r="V59" s="387">
        <f t="shared" si="65"/>
        <v>0.19324223048590974</v>
      </c>
      <c r="W59" s="387">
        <f>(W10-W26)/W6</f>
        <v>2.492819025650082E-2</v>
      </c>
      <c r="X59" s="423">
        <f>(X10-X26)/X6</f>
        <v>0.20443557705742396</v>
      </c>
      <c r="Y59" s="430" t="s">
        <v>92</v>
      </c>
    </row>
    <row r="60" spans="1:26" ht="15.5">
      <c r="M60"/>
      <c r="N60" s="156" t="s">
        <v>63</v>
      </c>
      <c r="O60" s="326" t="e">
        <f t="shared" ref="O60" si="66">(O52/O49)</f>
        <v>#DIV/0!</v>
      </c>
      <c r="P60" s="326" t="s">
        <v>128</v>
      </c>
      <c r="Q60" s="326" t="s">
        <v>128</v>
      </c>
      <c r="R60" s="327" t="s">
        <v>128</v>
      </c>
      <c r="S60" s="326" t="s">
        <v>128</v>
      </c>
      <c r="T60" s="326">
        <f t="shared" ref="T60:V60" si="67">(T52/T49)</f>
        <v>0</v>
      </c>
      <c r="U60" s="389">
        <f t="shared" si="67"/>
        <v>8.6390217969165347E-3</v>
      </c>
      <c r="V60" s="388">
        <f t="shared" si="67"/>
        <v>8.2047915982934039E-3</v>
      </c>
      <c r="W60" s="401">
        <f t="shared" ref="W60" si="68">(W52/W49)</f>
        <v>6.3184498736310029E-3</v>
      </c>
      <c r="X60" s="425">
        <f>(X52/X49)</f>
        <v>8.5572479890467217E-3</v>
      </c>
      <c r="Y60" s="430" t="s">
        <v>92</v>
      </c>
    </row>
    <row r="61" spans="1:26" ht="15.5">
      <c r="M61"/>
      <c r="N61" s="156" t="s">
        <v>64</v>
      </c>
      <c r="O61" s="325">
        <f>(AVERAGE(O25)/B6*365)</f>
        <v>37.535199832850786</v>
      </c>
      <c r="P61" s="337">
        <f>(AVERAGE(P25)/C6*365)</f>
        <v>45.435718799128018</v>
      </c>
      <c r="Q61" s="337">
        <f>(AVERAGE(Q25)/D6*365)</f>
        <v>47.607487053089251</v>
      </c>
      <c r="R61" s="337">
        <f t="shared" ref="R61:X61" si="69">(AVERAGE(Q25,R25)/E4*365)</f>
        <v>46.859246114693633</v>
      </c>
      <c r="S61" s="337">
        <f t="shared" si="69"/>
        <v>41.6874004462098</v>
      </c>
      <c r="T61" s="337">
        <f t="shared" si="69"/>
        <v>38.953963039004016</v>
      </c>
      <c r="U61" s="337">
        <f t="shared" si="69"/>
        <v>30.925033777323094</v>
      </c>
      <c r="V61" s="337">
        <f t="shared" si="69"/>
        <v>35.146093379894175</v>
      </c>
      <c r="W61" s="337">
        <f t="shared" si="69"/>
        <v>35.060368309077511</v>
      </c>
      <c r="X61" s="338">
        <f t="shared" si="69"/>
        <v>48.499476852877784</v>
      </c>
      <c r="Y61" s="430" t="s">
        <v>92</v>
      </c>
    </row>
    <row r="62" spans="1:26" ht="15.5">
      <c r="M62"/>
      <c r="N62" s="156" t="s">
        <v>65</v>
      </c>
      <c r="O62" s="325">
        <f>AVERAGE(N32:O32)/(B10)*365</f>
        <v>10.257134446905745</v>
      </c>
      <c r="P62" s="337">
        <f>AVERAGE(O32:P32)/(C10)*365</f>
        <v>12.960370836557695</v>
      </c>
      <c r="Q62" s="337">
        <f>AVERAGE(P32:Q32)/(D10)*365</f>
        <v>15.456256613739932</v>
      </c>
      <c r="R62" s="337">
        <f>AVERAGE(Q32:R32)/(E10)*365</f>
        <v>18.268510948728732</v>
      </c>
      <c r="S62" s="337">
        <f>AVERAGE(R32:S32)/(F10)*365</f>
        <v>13.631861402190442</v>
      </c>
      <c r="T62" s="337">
        <f>AVERAGE(S32,T32)/(G10)*365</f>
        <v>11.388039436366093</v>
      </c>
      <c r="U62" s="337">
        <f>AVERAGE(T32,U32)/(H10)*365</f>
        <v>7.7385639687238541</v>
      </c>
      <c r="V62" s="337">
        <f>AVERAGE(U32,V32)/(I10)*365</f>
        <v>7.1430761988632439</v>
      </c>
      <c r="W62" s="337">
        <f>AVERAGE(V32,W32)/(J10+J11+J13)*365</f>
        <v>8.6038217170199243</v>
      </c>
      <c r="X62" s="338">
        <f t="shared" ref="X62" si="70">AVERAGE(W32,X32)/(K10+K11+K13)*365</f>
        <v>8.9236829918047338</v>
      </c>
      <c r="Y62" s="430" t="s">
        <v>92</v>
      </c>
    </row>
    <row r="63" spans="1:26" ht="15.5">
      <c r="M63" s="90"/>
      <c r="N63" s="156" t="s">
        <v>66</v>
      </c>
      <c r="O63" s="328">
        <f>(AVERAGE(N24:O24)/(B10+B13+B11)*365)</f>
        <v>49.2114265442899</v>
      </c>
      <c r="P63" s="339">
        <f>(AVERAGE(O24:P24)/(C10+C13+C11)*365)</f>
        <v>53.910349153572007</v>
      </c>
      <c r="Q63" s="339">
        <f>(AVERAGE(P24:Q24)/(D10+D13+D11)*365)</f>
        <v>61.636924422973166</v>
      </c>
      <c r="R63" s="339">
        <f>(AVERAGE(Q24:R24)/(E10+E13+E11)*365)</f>
        <v>71.148104719188424</v>
      </c>
      <c r="S63" s="339">
        <f>(AVERAGE(R24:S24)/(F10+F13+F11)*365)</f>
        <v>55.930906534623858</v>
      </c>
      <c r="T63" s="339">
        <f>(AVERAGE(S24,T24)/(G10+G13+G11)*365)</f>
        <v>51.007564345344747</v>
      </c>
      <c r="U63" s="339">
        <f>(AVERAGE(T24,U24)/(H10+H13+H11)*365)</f>
        <v>42.508223019809968</v>
      </c>
      <c r="V63" s="339">
        <f>(AVERAGE(U24,V24)/(I10+I13+I11)*365)</f>
        <v>51.886188228090802</v>
      </c>
      <c r="W63" s="339">
        <f>(AVERAGE(V24,W24)/(J10+J13+J11)*365)</f>
        <v>54.580465525152128</v>
      </c>
      <c r="X63" s="340">
        <f t="shared" ref="X63" si="71">(AVERAGE(W24,X24)/(K10+K13+K11)*365)</f>
        <v>66.013545918700231</v>
      </c>
      <c r="Y63" s="430" t="s">
        <v>92</v>
      </c>
    </row>
    <row r="64" spans="1:26" ht="15.5">
      <c r="M64"/>
      <c r="N64" s="156" t="s">
        <v>82</v>
      </c>
      <c r="O64" s="328">
        <f t="shared" ref="O64" si="72">(O63+O61-O62)</f>
        <v>76.489491930234948</v>
      </c>
      <c r="P64" s="339">
        <f t="shared" ref="P64" si="73">(P63+P61-P62)</f>
        <v>86.385697116142325</v>
      </c>
      <c r="Q64" s="339">
        <f>(Q63+Q61-Q62)</f>
        <v>93.7881548623225</v>
      </c>
      <c r="R64" s="340">
        <f t="shared" ref="R64:S64" si="74">(R63+R61-R62)</f>
        <v>99.738839885153325</v>
      </c>
      <c r="S64" s="339">
        <f t="shared" si="74"/>
        <v>83.986445578643227</v>
      </c>
      <c r="T64" s="339">
        <f t="shared" ref="T64" si="75">(T63+T61-T62)</f>
        <v>78.57348794798267</v>
      </c>
      <c r="U64" s="337">
        <f>(AVERAGE(T28,U28)/H7*365)</f>
        <v>36.683862680322576</v>
      </c>
      <c r="V64" s="339">
        <f t="shared" ref="V64" si="76">(V63+V61-V62)</f>
        <v>79.889205409121729</v>
      </c>
      <c r="W64" s="339">
        <f>(W63+W61-W62)</f>
        <v>81.037012117209713</v>
      </c>
      <c r="X64" s="340">
        <v>99</v>
      </c>
      <c r="Y64" s="430" t="s">
        <v>92</v>
      </c>
    </row>
    <row r="65" spans="1:25" ht="15.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56" t="s">
        <v>67</v>
      </c>
      <c r="O65" s="329">
        <f>AVERAGE(O39)/B6*365</f>
        <v>5.7562427245321439</v>
      </c>
      <c r="P65" s="341">
        <f>AVERAGE(P39)/C6*365</f>
        <v>3.7284572031387064</v>
      </c>
      <c r="Q65" s="341">
        <f>AVERAGE(Q39)/D6*365</f>
        <v>9.4826102503367906</v>
      </c>
      <c r="R65" s="341">
        <f t="shared" ref="R65:X65" si="77">AVERAGE(Q39:R39)/E6*365</f>
        <v>8.7526920315864931</v>
      </c>
      <c r="S65" s="341">
        <f t="shared" si="77"/>
        <v>10.277156533193303</v>
      </c>
      <c r="T65" s="341">
        <f t="shared" si="77"/>
        <v>27.109820774314628</v>
      </c>
      <c r="U65" s="341">
        <f t="shared" si="77"/>
        <v>33.181000940105207</v>
      </c>
      <c r="V65" s="341">
        <f t="shared" si="77"/>
        <v>42.668263383425064</v>
      </c>
      <c r="W65" s="341">
        <f t="shared" si="77"/>
        <v>55.278514599510295</v>
      </c>
      <c r="X65" s="426">
        <f t="shared" si="77"/>
        <v>70.670767089282251</v>
      </c>
      <c r="Y65" s="386" t="s">
        <v>92</v>
      </c>
    </row>
    <row r="66" spans="1:25" ht="15.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70" t="s">
        <v>88</v>
      </c>
      <c r="O66" s="330">
        <f t="shared" ref="O66:W66" si="78">B21/O10</f>
        <v>0.13747703398269309</v>
      </c>
      <c r="P66" s="342">
        <f t="shared" si="78"/>
        <v>9.3325750239125982E-2</v>
      </c>
      <c r="Q66" s="342">
        <f t="shared" si="78"/>
        <v>0.10441122315887623</v>
      </c>
      <c r="R66" s="343">
        <f t="shared" si="78"/>
        <v>0.1175632515671957</v>
      </c>
      <c r="S66" s="342">
        <f t="shared" si="78"/>
        <v>0.10837603965386879</v>
      </c>
      <c r="T66" s="342">
        <f t="shared" si="78"/>
        <v>0.1414553916607211</v>
      </c>
      <c r="U66" s="342">
        <f t="shared" si="78"/>
        <v>0.11052716427535064</v>
      </c>
      <c r="V66" s="342">
        <f t="shared" si="78"/>
        <v>0.12482957127707923</v>
      </c>
      <c r="W66" s="342">
        <f t="shared" si="78"/>
        <v>0.57932137146917739</v>
      </c>
      <c r="X66" s="343">
        <f t="shared" ref="X66" si="79">K21/X10</f>
        <v>5.8165785895713119E-2</v>
      </c>
      <c r="Y66" s="386" t="s">
        <v>92</v>
      </c>
    </row>
    <row r="67" spans="1:25" ht="15.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2" t="s">
        <v>131</v>
      </c>
      <c r="O67" s="331">
        <f>B4/AVERAGE(N15:O15)</f>
        <v>2.2707644273469811</v>
      </c>
      <c r="P67" s="344">
        <f>C4/AVERAGE(O15:P15)</f>
        <v>2.4431376143601136</v>
      </c>
      <c r="Q67" s="344">
        <f>D4/AVERAGE(P15:Q15)</f>
        <v>2.4899344032852189</v>
      </c>
      <c r="R67" s="344">
        <f>E4/AVERAGE(Q15:R15)</f>
        <v>2.305195874519637</v>
      </c>
      <c r="S67" s="344">
        <f>F4/AVERAGE(R15:S15)</f>
        <v>2.5846381925142348</v>
      </c>
      <c r="T67" s="344">
        <f>G4/AVERAGE(S15,T15)</f>
        <v>3.2517162818519156</v>
      </c>
      <c r="U67" s="344">
        <f>H4/AVERAGE(T15,U15)</f>
        <v>4.979688188335051</v>
      </c>
      <c r="V67" s="344">
        <f>I4/AVERAGE(U15,V15)</f>
        <v>4.5036389950153843</v>
      </c>
      <c r="W67" s="344">
        <f>J4/AVERAGE(V15,W15)</f>
        <v>3.6746738472308942</v>
      </c>
      <c r="X67" s="427">
        <f>K4/AVERAGE(W15,X15)</f>
        <v>2.8023342956672055</v>
      </c>
      <c r="Y67" s="386" t="s">
        <v>92</v>
      </c>
    </row>
    <row r="68" spans="1:25" ht="15.5">
      <c r="A68" s="114"/>
      <c r="B68" s="114"/>
      <c r="C68" s="114"/>
      <c r="E68" s="104"/>
      <c r="F68" s="253"/>
      <c r="G68" s="254"/>
      <c r="H68" s="254"/>
      <c r="I68" s="254"/>
      <c r="J68" s="254"/>
      <c r="K68" s="254"/>
      <c r="L68" s="254"/>
      <c r="M68" s="253"/>
      <c r="N68"/>
      <c r="O68"/>
      <c r="Q68" s="114"/>
      <c r="R68" s="114"/>
      <c r="T68" s="114"/>
      <c r="U68" s="114"/>
      <c r="V68" s="114"/>
    </row>
    <row r="69" spans="1:25" ht="15.5">
      <c r="A69" s="114"/>
      <c r="B69" s="114"/>
      <c r="C69" s="114"/>
      <c r="D69" s="253"/>
      <c r="E69" s="104"/>
      <c r="F69" s="253"/>
      <c r="G69" s="254"/>
      <c r="H69" s="254"/>
      <c r="I69" s="254"/>
      <c r="J69" s="254"/>
      <c r="K69" s="254"/>
      <c r="L69" s="254"/>
      <c r="M69" s="393" t="s">
        <v>229</v>
      </c>
      <c r="N69" s="16" t="s">
        <v>231</v>
      </c>
      <c r="O69" s="15"/>
      <c r="T69" s="114"/>
      <c r="U69" s="114"/>
      <c r="V69" s="114"/>
    </row>
    <row r="70" spans="1:25" ht="15.5">
      <c r="A70" s="114"/>
      <c r="B70" s="114"/>
      <c r="C70" s="114"/>
      <c r="D70" s="243"/>
      <c r="E70" s="104"/>
      <c r="F70" s="243"/>
      <c r="G70" s="243"/>
      <c r="H70" s="243"/>
      <c r="I70" s="243"/>
      <c r="J70" s="243"/>
      <c r="K70" s="243"/>
      <c r="L70" s="243"/>
      <c r="M70" s="243"/>
      <c r="T70" s="114"/>
      <c r="U70" s="114"/>
      <c r="V70" s="114"/>
    </row>
    <row r="71" spans="1:25" ht="15.5">
      <c r="A71" s="114"/>
      <c r="B71" s="114"/>
      <c r="C71" s="114"/>
      <c r="D71" s="242"/>
      <c r="E71" s="104"/>
      <c r="F71" s="242"/>
      <c r="G71" s="242"/>
      <c r="H71" s="242"/>
      <c r="I71" s="242"/>
      <c r="J71" s="242"/>
      <c r="K71" s="242"/>
      <c r="L71" s="242"/>
      <c r="M71" s="242"/>
      <c r="O71" s="10">
        <v>48.75</v>
      </c>
      <c r="S71" s="88"/>
      <c r="T71" s="114"/>
      <c r="U71" s="114"/>
      <c r="V71" s="114"/>
    </row>
    <row r="72" spans="1:25" ht="15.5">
      <c r="A72" s="114"/>
      <c r="B72" s="114"/>
      <c r="C72" s="114"/>
      <c r="D72" s="244"/>
      <c r="E72" s="104"/>
      <c r="F72" s="253"/>
      <c r="G72" s="253"/>
      <c r="H72" s="253"/>
      <c r="I72" s="253"/>
      <c r="J72" s="253"/>
      <c r="K72" s="253"/>
      <c r="L72" s="253"/>
      <c r="M72" s="253"/>
      <c r="O72" s="10">
        <v>0.56999999999999995</v>
      </c>
      <c r="T72" s="114"/>
      <c r="U72" s="114"/>
      <c r="V72" s="114"/>
    </row>
    <row r="73" spans="1:25" ht="15.5">
      <c r="A73" s="114"/>
      <c r="B73" s="114"/>
      <c r="C73" s="114"/>
      <c r="D73" s="245"/>
      <c r="E73" s="104"/>
      <c r="F73" s="245"/>
      <c r="G73" s="245"/>
      <c r="H73" s="245"/>
      <c r="I73" s="245"/>
      <c r="J73" s="245"/>
      <c r="K73" s="245"/>
      <c r="L73" s="245"/>
      <c r="M73" s="245"/>
      <c r="O73" s="10">
        <v>0.12</v>
      </c>
      <c r="T73" s="114"/>
      <c r="U73" s="114"/>
      <c r="V73" s="114"/>
    </row>
    <row r="74" spans="1:25" ht="15.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T74" s="114"/>
      <c r="U74" s="114"/>
      <c r="V74" s="114"/>
    </row>
    <row r="75" spans="1:25" ht="15.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25">
      <c r="G76" s="255"/>
      <c r="H76" s="255"/>
      <c r="I76" s="255"/>
      <c r="J76" s="255"/>
      <c r="K76" s="255"/>
      <c r="L76" s="255"/>
      <c r="M76" s="255"/>
    </row>
    <row r="77" spans="1:25">
      <c r="O77" s="10">
        <v>1.5</v>
      </c>
    </row>
    <row r="78" spans="1:25">
      <c r="O78" s="10">
        <v>2.5</v>
      </c>
    </row>
    <row r="79" spans="1:25">
      <c r="O79" s="10">
        <v>1.5</v>
      </c>
    </row>
    <row r="80" spans="1:25">
      <c r="O80" s="10">
        <v>1</v>
      </c>
    </row>
  </sheetData>
  <mergeCells count="1">
    <mergeCell ref="A1:W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ignoredErrors>
    <ignoredError sqref="Q63:S63" formulaRange="1"/>
    <ignoredError sqref="U6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topLeftCell="A19" workbookViewId="0">
      <selection activeCell="E43" sqref="E43"/>
    </sheetView>
  </sheetViews>
  <sheetFormatPr defaultColWidth="8.81640625" defaultRowHeight="14.5"/>
  <sheetData>
    <row r="1" spans="1:6" ht="15.5">
      <c r="A1" s="256" t="s">
        <v>97</v>
      </c>
      <c r="E1" t="s">
        <v>213</v>
      </c>
      <c r="F1" t="s">
        <v>215</v>
      </c>
    </row>
    <row r="2" spans="1:6" ht="15.5">
      <c r="A2" s="101" t="s">
        <v>0</v>
      </c>
    </row>
    <row r="3" spans="1:6" ht="15.5">
      <c r="A3" s="101" t="s">
        <v>169</v>
      </c>
      <c r="E3">
        <v>396</v>
      </c>
      <c r="F3">
        <v>307</v>
      </c>
    </row>
    <row r="4" spans="1:6" ht="15.5">
      <c r="A4" s="102" t="s">
        <v>6</v>
      </c>
      <c r="E4">
        <v>2.8</v>
      </c>
      <c r="F4">
        <v>2.4</v>
      </c>
    </row>
    <row r="5" spans="1:6" ht="15.5">
      <c r="A5" s="105" t="s">
        <v>95</v>
      </c>
      <c r="E5">
        <v>397</v>
      </c>
      <c r="F5">
        <v>307.3</v>
      </c>
    </row>
    <row r="6" spans="1:6" ht="15.5">
      <c r="A6" s="107" t="s">
        <v>2</v>
      </c>
      <c r="E6" s="373">
        <v>0.26</v>
      </c>
      <c r="F6" s="277"/>
    </row>
    <row r="7" spans="1:6" ht="15.5">
      <c r="A7" s="107" t="s">
        <v>214</v>
      </c>
      <c r="E7" s="373">
        <v>0.19</v>
      </c>
      <c r="F7" s="277"/>
    </row>
    <row r="8" spans="1:6" ht="15.5">
      <c r="A8" s="105" t="s">
        <v>3</v>
      </c>
      <c r="E8">
        <v>327</v>
      </c>
      <c r="F8">
        <v>242</v>
      </c>
    </row>
    <row r="9" spans="1:6" ht="15.5">
      <c r="A9" s="102" t="s">
        <v>111</v>
      </c>
      <c r="E9">
        <v>277</v>
      </c>
      <c r="F9">
        <v>201</v>
      </c>
    </row>
    <row r="10" spans="1:6" ht="186">
      <c r="A10" s="148" t="s">
        <v>114</v>
      </c>
      <c r="E10">
        <v>-10.8</v>
      </c>
      <c r="F10">
        <v>3.8</v>
      </c>
    </row>
    <row r="11" spans="1:6" ht="31">
      <c r="A11" s="148" t="s">
        <v>174</v>
      </c>
    </row>
    <row r="12" spans="1:6" ht="77.5">
      <c r="A12" s="148" t="s">
        <v>173</v>
      </c>
    </row>
    <row r="13" spans="1:6" ht="15.5">
      <c r="A13" s="102" t="s">
        <v>115</v>
      </c>
      <c r="E13">
        <v>16</v>
      </c>
      <c r="F13">
        <v>8</v>
      </c>
    </row>
    <row r="14" spans="1:6" ht="15.5">
      <c r="A14" s="102" t="s">
        <v>70</v>
      </c>
      <c r="E14">
        <v>24</v>
      </c>
      <c r="F14">
        <v>13</v>
      </c>
    </row>
    <row r="15" spans="1:6" ht="15.5">
      <c r="A15" s="105" t="s">
        <v>171</v>
      </c>
      <c r="E15">
        <v>68.599999999999994</v>
      </c>
      <c r="F15">
        <v>64.8</v>
      </c>
    </row>
    <row r="16" spans="1:6" ht="15.5">
      <c r="A16" s="107" t="s">
        <v>2</v>
      </c>
      <c r="E16" s="373">
        <v>0.42</v>
      </c>
      <c r="F16" s="373"/>
    </row>
    <row r="17" spans="1:6" ht="15.5">
      <c r="A17" s="107" t="s">
        <v>214</v>
      </c>
      <c r="E17" s="373">
        <v>0.25</v>
      </c>
      <c r="F17" s="373">
        <v>0.13</v>
      </c>
    </row>
    <row r="18" spans="1:6" ht="15.5">
      <c r="A18" s="105" t="s">
        <v>172</v>
      </c>
      <c r="E18" s="277">
        <v>0.17319999999999999</v>
      </c>
      <c r="F18" s="277">
        <v>0.21110000000000001</v>
      </c>
    </row>
    <row r="19" spans="1:6" ht="15.5">
      <c r="A19" s="102" t="s">
        <v>7</v>
      </c>
      <c r="E19">
        <v>6</v>
      </c>
      <c r="F19">
        <v>6</v>
      </c>
    </row>
    <row r="20" spans="1:6" ht="15.5">
      <c r="A20" s="102" t="s">
        <v>116</v>
      </c>
      <c r="E20">
        <v>6</v>
      </c>
      <c r="F20">
        <v>6</v>
      </c>
    </row>
    <row r="21" spans="1:6" ht="15.5">
      <c r="A21" s="102" t="s">
        <v>117</v>
      </c>
    </row>
    <row r="22" spans="1:6" ht="15.5">
      <c r="A22" s="102" t="s">
        <v>167</v>
      </c>
    </row>
    <row r="23" spans="1:6" ht="15.5">
      <c r="A23" s="105" t="s">
        <v>8</v>
      </c>
      <c r="E23">
        <v>555</v>
      </c>
      <c r="F23">
        <v>579</v>
      </c>
    </row>
    <row r="24" spans="1:6" ht="15.5">
      <c r="A24" s="102" t="s">
        <v>9</v>
      </c>
      <c r="E24">
        <v>13</v>
      </c>
      <c r="F24">
        <v>14</v>
      </c>
    </row>
    <row r="25" spans="1:6" ht="15.5">
      <c r="A25" s="107" t="s">
        <v>10</v>
      </c>
      <c r="E25">
        <v>24</v>
      </c>
      <c r="F25" s="373">
        <v>0.25</v>
      </c>
    </row>
    <row r="26" spans="1:6" ht="15.5">
      <c r="A26" s="105" t="s">
        <v>11</v>
      </c>
      <c r="E26">
        <f>E23-E24</f>
        <v>542</v>
      </c>
      <c r="F26">
        <f>F23-F24</f>
        <v>565</v>
      </c>
    </row>
    <row r="27" spans="1:6" ht="15.5">
      <c r="A27" s="102" t="s">
        <v>12</v>
      </c>
    </row>
    <row r="28" spans="1:6" ht="15.5">
      <c r="A28" s="102" t="s">
        <v>71</v>
      </c>
    </row>
    <row r="29" spans="1:6" ht="15.5">
      <c r="A29" s="105" t="s">
        <v>13</v>
      </c>
      <c r="E29">
        <v>54</v>
      </c>
      <c r="F29">
        <v>56</v>
      </c>
    </row>
    <row r="30" spans="1:6" ht="15.5">
      <c r="A30" s="105" t="s">
        <v>81</v>
      </c>
      <c r="E30" s="373">
        <v>0.11</v>
      </c>
      <c r="F30" s="373">
        <v>0.14000000000000001</v>
      </c>
    </row>
    <row r="31" spans="1:6" ht="15.5">
      <c r="A31" s="107" t="s">
        <v>2</v>
      </c>
      <c r="E31" s="373">
        <v>0.21</v>
      </c>
    </row>
    <row r="32" spans="1:6" ht="15.5">
      <c r="A32" s="107" t="s">
        <v>123</v>
      </c>
      <c r="E32" s="373">
        <v>0.11</v>
      </c>
    </row>
    <row r="33" spans="1:6" ht="15.5">
      <c r="A33" s="101" t="s">
        <v>14</v>
      </c>
      <c r="E33" s="373">
        <v>0.32</v>
      </c>
      <c r="F33">
        <v>33</v>
      </c>
    </row>
    <row r="34" spans="1:6" ht="15.5">
      <c r="A34" s="122" t="s">
        <v>2</v>
      </c>
      <c r="E34" s="373">
        <v>0.22</v>
      </c>
    </row>
    <row r="35" spans="1:6" ht="15.5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S32"/>
  <sheetViews>
    <sheetView zoomScaleNormal="150" zoomScaleSheetLayoutView="100" workbookViewId="0">
      <selection activeCell="R7" sqref="R7"/>
    </sheetView>
  </sheetViews>
  <sheetFormatPr defaultColWidth="8.81640625" defaultRowHeight="14.5"/>
  <cols>
    <col min="1" max="1" width="27.453125" bestFit="1" customWidth="1"/>
    <col min="10" max="10" width="34.453125" bestFit="1" customWidth="1"/>
    <col min="15" max="15" width="34.453125" bestFit="1" customWidth="1"/>
    <col min="18" max="18" width="34.453125" bestFit="1" customWidth="1"/>
  </cols>
  <sheetData>
    <row r="6" spans="1:19">
      <c r="A6" s="261" t="s">
        <v>180</v>
      </c>
      <c r="B6" s="262" t="s">
        <v>181</v>
      </c>
      <c r="C6" s="262">
        <v>6.62</v>
      </c>
      <c r="D6" s="262">
        <v>6.62</v>
      </c>
      <c r="E6" s="263" t="s">
        <v>182</v>
      </c>
      <c r="F6" s="264" t="s">
        <v>182</v>
      </c>
    </row>
    <row r="7" spans="1:19">
      <c r="A7" s="265"/>
      <c r="B7" s="266"/>
      <c r="C7" s="266"/>
      <c r="D7" s="266"/>
      <c r="E7" s="267"/>
      <c r="F7" s="268"/>
      <c r="J7" s="272" t="s">
        <v>193</v>
      </c>
      <c r="K7" s="273">
        <v>0.48749999999999999</v>
      </c>
    </row>
    <row r="8" spans="1:19">
      <c r="A8" s="261" t="s">
        <v>184</v>
      </c>
      <c r="B8" s="262" t="s">
        <v>181</v>
      </c>
      <c r="C8" s="262">
        <v>4.59</v>
      </c>
      <c r="D8" s="262">
        <v>4.59</v>
      </c>
      <c r="E8" s="263" t="s">
        <v>182</v>
      </c>
      <c r="F8" s="264" t="s">
        <v>182</v>
      </c>
      <c r="J8" s="272" t="s">
        <v>180</v>
      </c>
      <c r="K8" s="273">
        <v>6.6199999999999995E-2</v>
      </c>
    </row>
    <row r="9" spans="1:19">
      <c r="A9" s="265" t="s">
        <v>185</v>
      </c>
      <c r="B9" s="266" t="s">
        <v>181</v>
      </c>
      <c r="C9" s="266">
        <v>1.85</v>
      </c>
      <c r="D9" s="266">
        <v>1.85</v>
      </c>
      <c r="E9" s="267" t="s">
        <v>182</v>
      </c>
      <c r="F9" s="268" t="s">
        <v>182</v>
      </c>
      <c r="J9" s="272" t="s">
        <v>184</v>
      </c>
      <c r="K9" s="273">
        <v>4.5900000000000003E-2</v>
      </c>
      <c r="O9" s="272" t="s">
        <v>201</v>
      </c>
      <c r="P9" s="273">
        <v>0.48749999999999999</v>
      </c>
      <c r="R9" s="272" t="s">
        <v>193</v>
      </c>
      <c r="S9" s="273">
        <v>0.48749999999999999</v>
      </c>
    </row>
    <row r="10" spans="1:19">
      <c r="A10" s="261"/>
      <c r="B10" s="262"/>
      <c r="C10" s="262"/>
      <c r="D10" s="262"/>
      <c r="E10" s="263"/>
      <c r="F10" s="264"/>
      <c r="J10" s="272" t="s">
        <v>185</v>
      </c>
      <c r="K10" s="273">
        <v>1.8499999999999999E-2</v>
      </c>
      <c r="O10" s="272" t="s">
        <v>180</v>
      </c>
      <c r="P10" s="273">
        <v>6.6199999999999995E-2</v>
      </c>
      <c r="R10" s="272" t="s">
        <v>180</v>
      </c>
      <c r="S10" s="273">
        <v>6.6199999999999995E-2</v>
      </c>
    </row>
    <row r="11" spans="1:19">
      <c r="A11" s="265" t="s">
        <v>186</v>
      </c>
      <c r="B11" s="266" t="s">
        <v>183</v>
      </c>
      <c r="C11" s="266">
        <v>1.64</v>
      </c>
      <c r="D11" s="266">
        <v>1.73</v>
      </c>
      <c r="E11" s="267" t="s">
        <v>182</v>
      </c>
      <c r="F11" s="268" t="s">
        <v>182</v>
      </c>
      <c r="J11" s="272"/>
      <c r="K11" s="273"/>
      <c r="O11" s="272" t="s">
        <v>202</v>
      </c>
      <c r="P11" s="273">
        <v>4.5900000000000003E-2</v>
      </c>
      <c r="R11" s="272" t="s">
        <v>184</v>
      </c>
      <c r="S11" s="273">
        <v>4.5900000000000003E-2</v>
      </c>
    </row>
    <row r="12" spans="1:19">
      <c r="A12" s="261" t="s">
        <v>187</v>
      </c>
      <c r="B12" s="262" t="s">
        <v>181</v>
      </c>
      <c r="C12" s="262">
        <v>1.22</v>
      </c>
      <c r="D12" s="262">
        <v>1.22</v>
      </c>
      <c r="E12" s="263" t="s">
        <v>182</v>
      </c>
      <c r="F12" s="264" t="s">
        <v>182</v>
      </c>
      <c r="J12" s="272" t="s">
        <v>187</v>
      </c>
      <c r="K12" s="273">
        <v>1.2200000000000001E-2</v>
      </c>
      <c r="O12" s="272" t="s">
        <v>185</v>
      </c>
      <c r="P12" s="273">
        <v>1.8499999999999999E-2</v>
      </c>
      <c r="R12" s="272" t="s">
        <v>185</v>
      </c>
      <c r="S12" s="273">
        <v>1.8499999999999999E-2</v>
      </c>
    </row>
    <row r="13" spans="1:19">
      <c r="A13" s="265" t="s">
        <v>188</v>
      </c>
      <c r="B13" s="266" t="s">
        <v>181</v>
      </c>
      <c r="C13" s="266">
        <v>1.1599999999999999</v>
      </c>
      <c r="D13" s="266">
        <v>1.1599999999999999</v>
      </c>
      <c r="E13" s="267" t="s">
        <v>182</v>
      </c>
      <c r="F13" s="268" t="s">
        <v>182</v>
      </c>
      <c r="J13" s="272" t="s">
        <v>188</v>
      </c>
      <c r="K13" s="273">
        <v>1.1599999999999999E-2</v>
      </c>
      <c r="O13" s="272" t="s">
        <v>203</v>
      </c>
      <c r="P13" s="273">
        <v>1.7000000000000001E-2</v>
      </c>
      <c r="R13" s="272" t="s">
        <v>209</v>
      </c>
      <c r="S13" s="273">
        <v>1.7000000000000001E-2</v>
      </c>
    </row>
    <row r="14" spans="1:19">
      <c r="A14" s="261" t="s">
        <v>189</v>
      </c>
      <c r="B14" s="262" t="s">
        <v>181</v>
      </c>
      <c r="C14" s="262">
        <v>1.1399999999999999</v>
      </c>
      <c r="D14" s="262">
        <v>1.1399999999999999</v>
      </c>
      <c r="E14" s="263" t="s">
        <v>182</v>
      </c>
      <c r="F14" s="264" t="s">
        <v>182</v>
      </c>
      <c r="J14" s="272" t="s">
        <v>189</v>
      </c>
      <c r="K14" s="273">
        <v>1.14E-2</v>
      </c>
      <c r="O14" s="272" t="s">
        <v>187</v>
      </c>
      <c r="P14" s="273">
        <v>1.2200000000000001E-2</v>
      </c>
      <c r="R14" s="272" t="s">
        <v>187</v>
      </c>
      <c r="S14" s="273">
        <v>1.2200000000000001E-2</v>
      </c>
    </row>
    <row r="15" spans="1:19">
      <c r="A15" s="265" t="s">
        <v>190</v>
      </c>
      <c r="B15" s="266" t="s">
        <v>181</v>
      </c>
      <c r="C15" s="266">
        <v>1</v>
      </c>
      <c r="D15" s="266">
        <v>1</v>
      </c>
      <c r="E15" s="267" t="s">
        <v>182</v>
      </c>
      <c r="F15" s="268" t="s">
        <v>182</v>
      </c>
      <c r="J15" s="272" t="s">
        <v>190</v>
      </c>
      <c r="K15" s="274">
        <v>0.01</v>
      </c>
      <c r="O15" s="272" t="s">
        <v>188</v>
      </c>
      <c r="P15" s="273">
        <v>1.1599999999999999E-2</v>
      </c>
      <c r="R15" s="272" t="s">
        <v>188</v>
      </c>
      <c r="S15" s="273">
        <v>1.1599999999999999E-2</v>
      </c>
    </row>
    <row r="16" spans="1:19">
      <c r="A16" s="261" t="s">
        <v>191</v>
      </c>
      <c r="B16" s="262" t="s">
        <v>181</v>
      </c>
      <c r="C16" s="262">
        <v>1</v>
      </c>
      <c r="D16" s="262">
        <v>1</v>
      </c>
      <c r="E16" s="263" t="s">
        <v>182</v>
      </c>
      <c r="F16" s="264" t="s">
        <v>182</v>
      </c>
      <c r="J16" s="272" t="s">
        <v>192</v>
      </c>
      <c r="K16" s="274">
        <v>0.01</v>
      </c>
      <c r="O16" s="272" t="s">
        <v>189</v>
      </c>
      <c r="P16" s="273">
        <v>1.14E-2</v>
      </c>
      <c r="R16" s="272" t="s">
        <v>189</v>
      </c>
      <c r="S16" s="273">
        <v>1.14E-2</v>
      </c>
    </row>
    <row r="17" spans="1:19">
      <c r="A17" s="269" t="s">
        <v>192</v>
      </c>
      <c r="B17" s="270" t="s">
        <v>181</v>
      </c>
      <c r="C17" s="270">
        <v>1</v>
      </c>
      <c r="D17" s="270">
        <v>1</v>
      </c>
      <c r="E17" s="271"/>
      <c r="F17" s="271"/>
      <c r="J17" s="272" t="s">
        <v>191</v>
      </c>
      <c r="K17" s="274">
        <v>0.01</v>
      </c>
      <c r="O17" s="272" t="s">
        <v>190</v>
      </c>
      <c r="P17" s="274">
        <v>0.01</v>
      </c>
      <c r="R17" s="272" t="s">
        <v>190</v>
      </c>
      <c r="S17" s="274">
        <v>0.01</v>
      </c>
    </row>
    <row r="18" spans="1:19">
      <c r="J18" s="272"/>
      <c r="K18" s="273"/>
      <c r="O18" s="272" t="s">
        <v>192</v>
      </c>
      <c r="P18" s="274">
        <v>0.01</v>
      </c>
      <c r="R18" s="272" t="s">
        <v>192</v>
      </c>
      <c r="S18" s="274">
        <v>0.01</v>
      </c>
    </row>
    <row r="19" spans="1:19">
      <c r="J19" s="272"/>
      <c r="K19" s="273"/>
      <c r="O19" s="272" t="s">
        <v>191</v>
      </c>
      <c r="P19" s="274">
        <v>0.01</v>
      </c>
      <c r="R19" s="272" t="s">
        <v>191</v>
      </c>
      <c r="S19" s="274">
        <v>0.01</v>
      </c>
    </row>
    <row r="20" spans="1:19">
      <c r="C20">
        <f>SUM(C6:C17)</f>
        <v>21.220000000000002</v>
      </c>
      <c r="J20" s="272"/>
      <c r="K20" s="273"/>
      <c r="O20" s="272" t="s">
        <v>204</v>
      </c>
      <c r="P20" s="273">
        <v>8.6E-3</v>
      </c>
      <c r="R20" s="272" t="s">
        <v>210</v>
      </c>
      <c r="S20" s="273">
        <v>8.6E-3</v>
      </c>
    </row>
    <row r="21" spans="1:19">
      <c r="J21" s="272" t="s">
        <v>194</v>
      </c>
      <c r="K21" s="273">
        <v>4.7000000000000002E-3</v>
      </c>
      <c r="O21" s="272" t="s">
        <v>205</v>
      </c>
      <c r="P21" s="273">
        <v>5.3E-3</v>
      </c>
      <c r="R21" s="272" t="s">
        <v>205</v>
      </c>
      <c r="S21" s="273">
        <v>5.3E-3</v>
      </c>
    </row>
    <row r="22" spans="1:19" ht="28.5">
      <c r="J22" s="272" t="s">
        <v>195</v>
      </c>
      <c r="K22" s="273">
        <v>4.4999999999999997E-3</v>
      </c>
      <c r="O22" s="272" t="s">
        <v>206</v>
      </c>
      <c r="P22" s="273">
        <v>4.8999999999999998E-3</v>
      </c>
      <c r="R22" s="272" t="s">
        <v>206</v>
      </c>
      <c r="S22" s="273">
        <v>4.8999999999999998E-3</v>
      </c>
    </row>
    <row r="23" spans="1:19">
      <c r="J23" s="272" t="s">
        <v>196</v>
      </c>
      <c r="K23" s="273">
        <v>4.1000000000000003E-3</v>
      </c>
      <c r="O23" s="272" t="s">
        <v>194</v>
      </c>
      <c r="P23" s="273">
        <v>4.7000000000000002E-3</v>
      </c>
      <c r="R23" s="272" t="s">
        <v>194</v>
      </c>
      <c r="S23" s="273">
        <v>4.7000000000000002E-3</v>
      </c>
    </row>
    <row r="24" spans="1:19">
      <c r="J24" s="272" t="s">
        <v>197</v>
      </c>
      <c r="K24" s="273">
        <v>3.8E-3</v>
      </c>
      <c r="O24" s="272" t="s">
        <v>195</v>
      </c>
      <c r="P24" s="273">
        <v>4.4999999999999997E-3</v>
      </c>
      <c r="R24" s="272" t="s">
        <v>195</v>
      </c>
      <c r="S24" s="273">
        <v>4.4999999999999997E-3</v>
      </c>
    </row>
    <row r="25" spans="1:19">
      <c r="J25" s="272" t="s">
        <v>198</v>
      </c>
      <c r="K25" s="273">
        <v>2E-3</v>
      </c>
      <c r="O25" s="272" t="s">
        <v>196</v>
      </c>
      <c r="P25" s="273">
        <v>4.1000000000000003E-3</v>
      </c>
      <c r="R25" s="272" t="s">
        <v>196</v>
      </c>
      <c r="S25" s="273">
        <v>4.1000000000000003E-3</v>
      </c>
    </row>
    <row r="26" spans="1:19" ht="28.5">
      <c r="J26" s="272" t="s">
        <v>199</v>
      </c>
      <c r="K26" s="273">
        <v>1.5E-3</v>
      </c>
      <c r="O26" s="272" t="s">
        <v>207</v>
      </c>
      <c r="P26" s="273">
        <v>3.8E-3</v>
      </c>
      <c r="R26" s="272" t="s">
        <v>197</v>
      </c>
      <c r="S26" s="273">
        <v>3.8E-3</v>
      </c>
    </row>
    <row r="27" spans="1:19">
      <c r="J27" s="272" t="s">
        <v>200</v>
      </c>
      <c r="K27" s="273">
        <v>5.9999999999999995E-4</v>
      </c>
      <c r="O27" s="272" t="s">
        <v>198</v>
      </c>
      <c r="P27" s="273">
        <v>2E-3</v>
      </c>
      <c r="R27" s="272" t="s">
        <v>198</v>
      </c>
      <c r="S27" s="273">
        <v>2E-3</v>
      </c>
    </row>
    <row r="28" spans="1:19" ht="28.5">
      <c r="J28" s="272"/>
      <c r="K28" s="273"/>
      <c r="O28" s="272" t="s">
        <v>199</v>
      </c>
      <c r="P28" s="273">
        <v>1.5E-3</v>
      </c>
      <c r="R28" s="272" t="s">
        <v>199</v>
      </c>
      <c r="S28" s="273">
        <v>1.5E-3</v>
      </c>
    </row>
    <row r="29" spans="1:19">
      <c r="J29" s="275"/>
      <c r="K29" s="276"/>
      <c r="O29" s="272" t="s">
        <v>200</v>
      </c>
      <c r="P29" s="273">
        <v>5.9999999999999995E-4</v>
      </c>
      <c r="R29" s="272" t="s">
        <v>200</v>
      </c>
      <c r="S29" s="273">
        <v>5.9999999999999995E-4</v>
      </c>
    </row>
    <row r="30" spans="1:19">
      <c r="O30" s="275" t="s">
        <v>208</v>
      </c>
      <c r="P30" s="278">
        <v>1E-4</v>
      </c>
      <c r="R30" s="272" t="s">
        <v>211</v>
      </c>
      <c r="S30" s="273">
        <v>1E-4</v>
      </c>
    </row>
    <row r="31" spans="1:19">
      <c r="R31" s="275" t="s">
        <v>212</v>
      </c>
      <c r="S31" s="276">
        <v>0</v>
      </c>
    </row>
    <row r="32" spans="1:19">
      <c r="K32" s="277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1640625" defaultRowHeight="14.5"/>
  <cols>
    <col min="1" max="1" width="22.7265625" customWidth="1"/>
    <col min="2" max="4" width="0" hidden="1" customWidth="1"/>
    <col min="5" max="8" width="11.1796875" bestFit="1" customWidth="1"/>
    <col min="10" max="10" width="35" bestFit="1" customWidth="1"/>
    <col min="11" max="13" width="0" hidden="1" customWidth="1"/>
    <col min="15" max="17" width="9.7265625" bestFit="1" customWidth="1"/>
  </cols>
  <sheetData>
    <row r="1" spans="1:17">
      <c r="A1" s="433" t="s">
        <v>159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17">
      <c r="A2" s="435" t="s">
        <v>97</v>
      </c>
      <c r="B2" s="436"/>
      <c r="C2" s="436"/>
      <c r="D2" s="436"/>
      <c r="E2" s="436"/>
      <c r="F2" s="436"/>
      <c r="G2" s="436"/>
      <c r="H2" s="437"/>
      <c r="I2" s="2"/>
      <c r="J2" s="438" t="s">
        <v>96</v>
      </c>
      <c r="K2" s="439"/>
      <c r="L2" s="439"/>
      <c r="M2" s="439"/>
      <c r="N2" s="439"/>
      <c r="O2" s="439"/>
      <c r="P2" s="439"/>
      <c r="Q2" s="439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1640625" defaultRowHeight="14.5"/>
  <cols>
    <col min="1" max="1" width="82.81640625" bestFit="1" customWidth="1"/>
    <col min="2" max="4" width="9" hidden="1" customWidth="1"/>
    <col min="5" max="7" width="15.453125" bestFit="1" customWidth="1"/>
    <col min="8" max="9" width="14.1796875" bestFit="1" customWidth="1"/>
    <col min="10" max="10" width="12.81640625" bestFit="1" customWidth="1"/>
    <col min="11" max="11" width="14.179687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53125" bestFit="1" customWidth="1"/>
    <col min="20" max="20" width="10" bestFit="1" customWidth="1"/>
    <col min="21" max="21" width="11.7265625" bestFit="1" customWidth="1"/>
    <col min="22" max="22" width="9.81640625" bestFit="1" customWidth="1"/>
  </cols>
  <sheetData>
    <row r="1" spans="1:22" ht="15.5">
      <c r="A1" s="445" t="s">
        <v>159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172"/>
    </row>
    <row r="2" spans="1:22" ht="15.5">
      <c r="A2" s="440" t="s">
        <v>97</v>
      </c>
      <c r="B2" s="441"/>
      <c r="C2" s="441"/>
      <c r="D2" s="441"/>
      <c r="E2" s="441"/>
      <c r="F2" s="441"/>
      <c r="G2" s="441"/>
      <c r="H2" s="442"/>
      <c r="I2" s="173"/>
      <c r="J2" s="173"/>
      <c r="K2" s="174"/>
      <c r="L2" s="99"/>
      <c r="M2" s="443" t="s">
        <v>96</v>
      </c>
      <c r="N2" s="444"/>
      <c r="O2" s="444"/>
      <c r="P2" s="444"/>
      <c r="Q2" s="444"/>
      <c r="R2" s="444"/>
      <c r="S2" s="444"/>
      <c r="T2" s="444"/>
      <c r="U2" s="175"/>
    </row>
    <row r="3" spans="1:22" ht="15.5">
      <c r="A3" s="176" t="s">
        <v>0</v>
      </c>
      <c r="B3" s="177" t="s">
        <v>30</v>
      </c>
      <c r="C3" s="177" t="s">
        <v>31</v>
      </c>
      <c r="D3" s="177" t="s">
        <v>32</v>
      </c>
      <c r="E3" s="177" t="s">
        <v>33</v>
      </c>
      <c r="F3" s="177" t="s">
        <v>34</v>
      </c>
      <c r="G3" s="100" t="s">
        <v>87</v>
      </c>
      <c r="H3" s="100" t="s">
        <v>133</v>
      </c>
      <c r="I3" s="162" t="s">
        <v>166</v>
      </c>
      <c r="J3" s="162" t="s">
        <v>170</v>
      </c>
      <c r="K3" s="178"/>
      <c r="L3" s="205"/>
      <c r="M3" s="101" t="s">
        <v>0</v>
      </c>
      <c r="N3" s="162" t="s">
        <v>30</v>
      </c>
      <c r="O3" s="162" t="s">
        <v>31</v>
      </c>
      <c r="P3" s="162" t="s">
        <v>32</v>
      </c>
      <c r="Q3" s="162" t="s">
        <v>33</v>
      </c>
      <c r="R3" s="162" t="s">
        <v>34</v>
      </c>
      <c r="S3" s="163" t="s">
        <v>87</v>
      </c>
      <c r="T3" s="144" t="s">
        <v>133</v>
      </c>
      <c r="U3" s="162" t="s">
        <v>166</v>
      </c>
      <c r="V3" s="162" t="s">
        <v>170</v>
      </c>
    </row>
    <row r="4" spans="1:22" ht="15.5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5">
        <v>7965.7079999999996</v>
      </c>
      <c r="H4" s="155">
        <v>10593.555</v>
      </c>
      <c r="I4" s="157">
        <v>11723.875</v>
      </c>
      <c r="J4" s="157">
        <f>51021.33/10</f>
        <v>5102.1329999999998</v>
      </c>
      <c r="K4" s="179"/>
      <c r="L4" s="206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0">
        <v>138.07599999999999</v>
      </c>
      <c r="V4" s="180">
        <f>1380.76/10</f>
        <v>138.07599999999999</v>
      </c>
    </row>
    <row r="5" spans="1:22" ht="15.5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1">
        <v>1503.441</v>
      </c>
      <c r="V5" s="181">
        <f>16074.8/10</f>
        <v>1607.48</v>
      </c>
    </row>
    <row r="6" spans="1:22" ht="15.5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2"/>
      <c r="L6" s="207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2">
        <f t="shared" si="2"/>
        <v>1641.5170000000001</v>
      </c>
      <c r="V6" s="202">
        <f t="shared" si="2"/>
        <v>1745.556</v>
      </c>
    </row>
    <row r="7" spans="1:22" ht="15.5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3"/>
      <c r="L7" s="208"/>
      <c r="M7" s="102" t="s">
        <v>38</v>
      </c>
      <c r="N7" s="113"/>
      <c r="O7" s="113"/>
      <c r="P7" s="113"/>
      <c r="Q7" s="113"/>
      <c r="R7" s="113"/>
      <c r="S7" s="103"/>
      <c r="T7" s="113"/>
      <c r="U7" s="181"/>
      <c r="V7" s="181"/>
    </row>
    <row r="8" spans="1:22" ht="15.5">
      <c r="A8" s="107" t="s">
        <v>158</v>
      </c>
      <c r="B8" s="108"/>
      <c r="C8" s="110"/>
      <c r="D8" s="110"/>
      <c r="E8" s="110"/>
      <c r="F8" s="109"/>
      <c r="G8" s="109"/>
      <c r="H8" s="199">
        <f>(H6/E6)^(1/3)-1</f>
        <v>0.42041777630745569</v>
      </c>
      <c r="I8" s="199">
        <f>(I6/F6)^(1/3)-1</f>
        <v>0.2804194991965232</v>
      </c>
      <c r="J8" s="199"/>
      <c r="K8" s="184"/>
      <c r="L8" s="209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1">
        <v>300.00200000000001</v>
      </c>
      <c r="V8" s="181">
        <f>3581.77/10</f>
        <v>358.17700000000002</v>
      </c>
    </row>
    <row r="9" spans="1:22" ht="15.5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2"/>
      <c r="L9" s="207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1">
        <v>1842.316</v>
      </c>
      <c r="V9" s="181">
        <f>15960.11/10</f>
        <v>1596.011</v>
      </c>
    </row>
    <row r="10" spans="1:22" ht="15.5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2">
        <f t="shared" ref="U10:V10" si="7">(U8+U9)</f>
        <v>2142.3180000000002</v>
      </c>
      <c r="V10" s="202">
        <f t="shared" si="7"/>
        <v>1954.1880000000001</v>
      </c>
    </row>
    <row r="11" spans="1:22" ht="15.5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2">
        <f t="shared" si="8"/>
        <v>2005.8920000000001</v>
      </c>
      <c r="V11" s="202">
        <f t="shared" ref="V11" si="9">(V6+V8+V7+SUM(V44:V47))</f>
        <v>2175.895</v>
      </c>
    </row>
    <row r="12" spans="1:22" ht="15.5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3">
        <f t="shared" si="10"/>
        <v>2005.8920000000005</v>
      </c>
      <c r="V12" s="203">
        <f t="shared" ref="V12" si="11">V49-V35-V9</f>
        <v>2175.8950000000004</v>
      </c>
    </row>
    <row r="13" spans="1:22" ht="15.5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1"/>
      <c r="V13" s="181"/>
    </row>
    <row r="14" spans="1:22" ht="15.5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1"/>
      <c r="V14" s="181"/>
    </row>
    <row r="15" spans="1:22" ht="15.5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1">
        <v>1089.021</v>
      </c>
      <c r="V15" s="181">
        <f>10837.37/10</f>
        <v>1083.7370000000001</v>
      </c>
    </row>
    <row r="16" spans="1:22" ht="15.5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2"/>
      <c r="L16" s="207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1">
        <v>28.146000000000001</v>
      </c>
      <c r="V16" s="181">
        <f>322.96/10</f>
        <v>32.295999999999999</v>
      </c>
    </row>
    <row r="17" spans="1:22" ht="15.5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3"/>
      <c r="L17" s="208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1">
        <v>79.867999999999995</v>
      </c>
      <c r="V17" s="181">
        <f>752.76/10</f>
        <v>75.275999999999996</v>
      </c>
    </row>
    <row r="18" spans="1:22" ht="15.5">
      <c r="A18" s="107" t="s">
        <v>158</v>
      </c>
      <c r="B18" s="108"/>
      <c r="C18" s="109"/>
      <c r="D18" s="109"/>
      <c r="E18" s="109"/>
      <c r="F18" s="109"/>
      <c r="G18" s="109"/>
      <c r="H18" s="199">
        <f>(H16/E16)^(1/3)-1</f>
        <v>0.64744100948315086</v>
      </c>
      <c r="I18" s="199">
        <f>(I16/F16)^(1/3)-1</f>
        <v>0.18615205743390772</v>
      </c>
      <c r="J18" s="199"/>
      <c r="K18" s="184"/>
      <c r="L18" s="209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1">
        <v>5.5609999999999999</v>
      </c>
      <c r="V18" s="181">
        <f>41.53/10</f>
        <v>4.1530000000000005</v>
      </c>
    </row>
    <row r="19" spans="1:22" ht="15.5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6"/>
      <c r="L19" s="210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1">
        <v>105.03400000000001</v>
      </c>
      <c r="V19" s="181">
        <f>1008.34/10</f>
        <v>100.834</v>
      </c>
    </row>
    <row r="20" spans="1:22" ht="15.5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1">
        <v>85.322999999999993</v>
      </c>
      <c r="V20" s="181">
        <f>1123.29/10</f>
        <v>112.32899999999999</v>
      </c>
    </row>
    <row r="21" spans="1:22" ht="15.5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1">
        <v>0.126</v>
      </c>
      <c r="V21" s="181">
        <f>1.26/10</f>
        <v>0.126</v>
      </c>
    </row>
    <row r="22" spans="1:22" ht="15.5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1">
        <v>0</v>
      </c>
      <c r="V22" s="181">
        <v>0</v>
      </c>
    </row>
    <row r="23" spans="1:22" ht="15.5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7"/>
      <c r="L23" s="207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0">
        <v>0</v>
      </c>
      <c r="V23" s="180">
        <v>0</v>
      </c>
    </row>
    <row r="24" spans="1:22" ht="15.5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49"/>
      <c r="L24" s="211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1">
        <v>7.984</v>
      </c>
      <c r="V24" s="181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3"/>
      <c r="L25" s="208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2">
        <f t="shared" si="20"/>
        <v>3396.0470000000005</v>
      </c>
      <c r="V25" s="202">
        <f t="shared" si="20"/>
        <v>3574.4440000000004</v>
      </c>
    </row>
    <row r="26" spans="1:22" ht="15.5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7"/>
      <c r="L26" s="207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1">
        <v>1540.8579999999999</v>
      </c>
      <c r="V26" s="181">
        <f>16548.73/10</f>
        <v>1654.873</v>
      </c>
    </row>
    <row r="27" spans="1:22" ht="15.5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8"/>
      <c r="L27" s="212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1">
        <v>615.85799999999995</v>
      </c>
      <c r="V27" s="181">
        <f>6613.04/10</f>
        <v>661.30399999999997</v>
      </c>
    </row>
    <row r="28" spans="1:22" ht="15.5">
      <c r="A28" s="102" t="s">
        <v>12</v>
      </c>
      <c r="B28" s="156"/>
      <c r="C28" s="156"/>
      <c r="D28" s="156"/>
      <c r="E28" s="156"/>
      <c r="F28" s="156"/>
      <c r="G28" s="117"/>
      <c r="H28" s="117"/>
      <c r="I28" s="117"/>
      <c r="J28" s="117"/>
      <c r="K28" s="150"/>
      <c r="L28" s="213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0">
        <f>8.454+64.085</f>
        <v>72.538999999999987</v>
      </c>
      <c r="V28" s="180">
        <f>(224.1+570.33)/10</f>
        <v>79.443000000000012</v>
      </c>
    </row>
    <row r="29" spans="1:22" ht="15.5">
      <c r="A29" s="102" t="s">
        <v>71</v>
      </c>
      <c r="B29" s="156"/>
      <c r="C29" s="156"/>
      <c r="D29" s="156"/>
      <c r="E29" s="156"/>
      <c r="F29" s="156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0"/>
      <c r="L29" s="213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1">
        <v>143.947</v>
      </c>
      <c r="V29" s="181">
        <f>1199.89/10</f>
        <v>119.989</v>
      </c>
    </row>
    <row r="30" spans="1:22" ht="15.5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79"/>
      <c r="L30" s="214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1">
        <v>975.31299999999999</v>
      </c>
      <c r="V30" s="181">
        <f>10582.54/10</f>
        <v>1058.2540000000001</v>
      </c>
    </row>
    <row r="31" spans="1:22" ht="15.5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89"/>
      <c r="L31" s="208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1">
        <v>44.304000000000002</v>
      </c>
      <c r="V31" s="181">
        <f>5.69/10</f>
        <v>0.56900000000000006</v>
      </c>
    </row>
    <row r="32" spans="1:22" ht="15.5">
      <c r="A32" s="107" t="s">
        <v>158</v>
      </c>
      <c r="B32" s="119"/>
      <c r="C32" s="109"/>
      <c r="D32" s="109"/>
      <c r="E32" s="109"/>
      <c r="F32" s="109"/>
      <c r="G32" s="109"/>
      <c r="H32" s="199">
        <f>(H30/E30)^(1/3)-1</f>
        <v>0.79649685727687736</v>
      </c>
      <c r="I32" s="199">
        <f>(I30/F30)^(1/3)-1</f>
        <v>-1.0902268560565087E-2</v>
      </c>
      <c r="J32" s="199"/>
      <c r="K32" s="184"/>
      <c r="L32" s="209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1">
        <v>2.7789999999999999</v>
      </c>
      <c r="V32" s="181">
        <f>0.12/10</f>
        <v>1.2E-2</v>
      </c>
    </row>
    <row r="33" spans="1:22" ht="15.5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8">
        <v>3.69</v>
      </c>
      <c r="H33" s="158">
        <v>2.75</v>
      </c>
      <c r="I33" s="158">
        <v>3.25</v>
      </c>
      <c r="J33" s="158">
        <v>1.43</v>
      </c>
      <c r="K33" s="151"/>
      <c r="L33" s="215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1">
        <v>0.44900000000000001</v>
      </c>
      <c r="V33" s="181">
        <v>0</v>
      </c>
    </row>
    <row r="34" spans="1:22" ht="15.5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0"/>
      <c r="L34" s="216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1">
        <v>0</v>
      </c>
      <c r="V34" s="181">
        <v>0</v>
      </c>
    </row>
    <row r="35" spans="1:22" ht="15.5">
      <c r="A35" s="107" t="s">
        <v>158</v>
      </c>
      <c r="B35" s="123"/>
      <c r="C35" s="125"/>
      <c r="D35" s="125"/>
      <c r="E35" s="126"/>
      <c r="F35" s="126"/>
      <c r="G35" s="124"/>
      <c r="H35" s="200">
        <f>(H33/E33)^(1/3)-1</f>
        <v>0.80195916618043639</v>
      </c>
      <c r="I35" s="200">
        <f>(I33/F33)^(1/3)-1</f>
        <v>-8.07300605291561E-3</v>
      </c>
      <c r="J35" s="200"/>
      <c r="K35" s="191"/>
      <c r="L35" s="217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2">
        <f t="shared" si="28"/>
        <v>948.90200000000004</v>
      </c>
      <c r="V35" s="202">
        <f t="shared" si="28"/>
        <v>1218.0030000000002</v>
      </c>
    </row>
    <row r="36" spans="1:22" ht="15.5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0">
        <f>13.824+764.928</f>
        <v>778.75199999999995</v>
      </c>
      <c r="V36" s="180">
        <f>(69.89+8468.77)/10</f>
        <v>853.86599999999999</v>
      </c>
    </row>
    <row r="37" spans="1:22" ht="15.5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1">
        <v>131.45099999999999</v>
      </c>
      <c r="V37" s="181">
        <f>2429.39/10</f>
        <v>242.93899999999999</v>
      </c>
    </row>
    <row r="38" spans="1:22" ht="15.5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1">
        <v>19.181999999999999</v>
      </c>
      <c r="V38" s="181">
        <f>569.34/10</f>
        <v>56.934000000000005</v>
      </c>
    </row>
    <row r="39" spans="1:22" ht="15.5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2" t="s">
        <v>170</v>
      </c>
      <c r="K39" s="192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1">
        <v>3.9929999999999999</v>
      </c>
      <c r="V39" s="181">
        <f>116.15/10</f>
        <v>11.615</v>
      </c>
    </row>
    <row r="40" spans="1:22" ht="15.5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2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1">
        <v>4.0270000000000001</v>
      </c>
      <c r="V40" s="181">
        <f>420.26/10</f>
        <v>42.025999999999996</v>
      </c>
    </row>
    <row r="41" spans="1:22" ht="15.5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2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1">
        <v>11.497</v>
      </c>
      <c r="V41" s="181">
        <f>106.23/10</f>
        <v>10.623000000000001</v>
      </c>
    </row>
    <row r="42" spans="1:22" ht="15.5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3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1"/>
      <c r="V42" s="181"/>
    </row>
    <row r="43" spans="1:22" ht="15.5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3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2">
        <f>(Q25-Q35-Q9)</f>
        <v>280.76500000000033</v>
      </c>
      <c r="R43" s="202">
        <f t="shared" si="29"/>
        <v>296.31799999999998</v>
      </c>
      <c r="S43" s="202">
        <f t="shared" si="29"/>
        <v>315.61300000000006</v>
      </c>
      <c r="T43" s="202">
        <f t="shared" si="29"/>
        <v>236.29700000000003</v>
      </c>
      <c r="U43" s="202">
        <f>(U25-U35-U9)</f>
        <v>604.82900000000041</v>
      </c>
      <c r="V43" s="202">
        <f>(V25-V35-V9)</f>
        <v>760.43000000000029</v>
      </c>
    </row>
    <row r="44" spans="1:22" ht="15.5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2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1">
        <v>6.1130000000000004</v>
      </c>
      <c r="V44" s="181">
        <f>231.13/10</f>
        <v>23.113</v>
      </c>
    </row>
    <row r="45" spans="1:22" ht="15.5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2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1">
        <v>0</v>
      </c>
      <c r="V45" s="181">
        <v>0</v>
      </c>
    </row>
    <row r="46" spans="1:22" ht="15.5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1">
        <v>26.087</v>
      </c>
      <c r="V46" s="181">
        <f>226.28/10</f>
        <v>22.628</v>
      </c>
    </row>
    <row r="47" spans="1:22" ht="15.5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2" t="s">
        <v>170</v>
      </c>
      <c r="K47" s="153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1">
        <v>32.173000000000002</v>
      </c>
      <c r="V47" s="181">
        <f>264.21/10</f>
        <v>26.420999999999999</v>
      </c>
    </row>
    <row r="48" spans="1:22" ht="15.5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4"/>
      <c r="L48" s="114"/>
      <c r="M48" s="101"/>
      <c r="N48" s="128"/>
      <c r="O48" s="128"/>
      <c r="P48" s="128"/>
      <c r="Q48" s="128"/>
      <c r="R48" s="128"/>
      <c r="S48" s="155"/>
      <c r="T48" s="155"/>
      <c r="U48" s="185"/>
      <c r="V48" s="185"/>
    </row>
    <row r="49" spans="1:22" ht="15.5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4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3">
        <f t="shared" si="35"/>
        <v>4797.1100000000006</v>
      </c>
      <c r="V49" s="203">
        <f t="shared" ref="V49" si="36">SUM(V15:V24)+V25</f>
        <v>4989.9090000000006</v>
      </c>
    </row>
    <row r="50" spans="1:22" ht="15.5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4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3">
        <f>U47+U35+U10+U6+U44+U45+U48+U46</f>
        <v>4797.1100000000006</v>
      </c>
      <c r="V50" s="203">
        <f>V47+V35+V10+V6+V44+V45+V48+V46</f>
        <v>4989.9089999999997</v>
      </c>
    </row>
    <row r="51" spans="1:22" ht="15.5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1">
        <f>(-1140.15-605.84-821.86+239.58-48.39+751.14-1.22+377.52+16.87)/10</f>
        <v>-123.23500000000006</v>
      </c>
      <c r="K51" s="194"/>
      <c r="L51" s="114"/>
      <c r="M51" s="101" t="s">
        <v>50</v>
      </c>
      <c r="N51" s="171"/>
      <c r="O51" s="171"/>
      <c r="P51" s="171"/>
      <c r="Q51" s="171"/>
      <c r="R51" s="102"/>
      <c r="S51" s="117"/>
      <c r="T51" s="102"/>
      <c r="U51" s="195"/>
      <c r="V51" s="96"/>
    </row>
    <row r="52" spans="1:22" ht="15.5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1">
        <f>-19.46/10</f>
        <v>-1.9460000000000002</v>
      </c>
      <c r="K52" s="194"/>
      <c r="L52" s="114"/>
      <c r="M52" s="101" t="s">
        <v>51</v>
      </c>
      <c r="N52" s="162" t="s">
        <v>30</v>
      </c>
      <c r="O52" s="162" t="s">
        <v>31</v>
      </c>
      <c r="P52" s="162" t="s">
        <v>32</v>
      </c>
      <c r="Q52" s="162" t="s">
        <v>33</v>
      </c>
      <c r="R52" s="162" t="s">
        <v>34</v>
      </c>
      <c r="S52" s="144" t="s">
        <v>87</v>
      </c>
      <c r="T52" s="144" t="s">
        <v>133</v>
      </c>
      <c r="U52" s="162" t="s">
        <v>166</v>
      </c>
      <c r="V52" s="162" t="s">
        <v>170</v>
      </c>
    </row>
    <row r="53" spans="1:22" ht="15.5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6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4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5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1">
        <f>-367.76/10</f>
        <v>-36.775999999999996</v>
      </c>
      <c r="K54" s="194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8">
        <f t="shared" si="43"/>
        <v>3.25</v>
      </c>
      <c r="V54" s="218">
        <f t="shared" si="43"/>
        <v>1.43</v>
      </c>
    </row>
    <row r="55" spans="1:22" ht="15.5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6"/>
      <c r="L55" s="114"/>
      <c r="M55" s="156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19">
        <f t="shared" si="46"/>
        <v>23.777036484619163</v>
      </c>
      <c r="V55" s="219">
        <f t="shared" si="46"/>
        <v>25.284020024127614</v>
      </c>
    </row>
    <row r="56" spans="1:22" ht="15.5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6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0">
        <v>0.7</v>
      </c>
      <c r="V56" s="220">
        <v>0.7</v>
      </c>
    </row>
    <row r="57" spans="1:22" ht="15.5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6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5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1">
        <v>68746714</v>
      </c>
      <c r="I58" s="161">
        <v>69037914</v>
      </c>
      <c r="J58" s="161">
        <v>69037914</v>
      </c>
      <c r="K58" s="197"/>
      <c r="L58" s="114"/>
      <c r="M58" s="156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5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4"/>
      <c r="L59" s="114"/>
      <c r="M59" s="156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5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4"/>
      <c r="L60" s="114"/>
      <c r="M60" s="160" t="s">
        <v>59</v>
      </c>
      <c r="N60" s="159" t="e">
        <f t="shared" ref="N60:V60" si="53">(B26/N6)</f>
        <v>#DIV/0!</v>
      </c>
      <c r="O60" s="159" t="e">
        <f t="shared" si="53"/>
        <v>#DIV/0!</v>
      </c>
      <c r="P60" s="159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5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4"/>
      <c r="L61" s="114"/>
      <c r="M61" s="160" t="s">
        <v>60</v>
      </c>
      <c r="N61" s="159" t="e">
        <f>(B23+B21)/N11</f>
        <v>#DIV/0!</v>
      </c>
      <c r="O61" s="159" t="e">
        <f>(C23+C21)/O11</f>
        <v>#DIV/0!</v>
      </c>
      <c r="P61" s="159">
        <f t="shared" ref="P61:V61" si="55">(D16-D20)/P11</f>
        <v>0</v>
      </c>
      <c r="Q61" s="124">
        <f t="shared" si="55"/>
        <v>5.901899331646742E-2</v>
      </c>
      <c r="R61" s="222">
        <f t="shared" si="55"/>
        <v>0.24968370032886489</v>
      </c>
      <c r="S61" s="222">
        <f t="shared" si="55"/>
        <v>0.33195883950562483</v>
      </c>
      <c r="T61" s="222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5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2"/>
      <c r="L62" s="114"/>
      <c r="M62" s="156" t="s">
        <v>61</v>
      </c>
      <c r="N62" s="165" t="e">
        <f t="shared" ref="N62:T62" si="58">(N10/N6)</f>
        <v>#DIV/0!</v>
      </c>
      <c r="O62" s="165" t="e">
        <f t="shared" si="58"/>
        <v>#DIV/0!</v>
      </c>
      <c r="P62" s="165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5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6" t="s">
        <v>62</v>
      </c>
      <c r="N63" s="165" t="e">
        <f t="shared" ref="N63:U63" si="60">(N10-N28)/N6</f>
        <v>#DIV/0!</v>
      </c>
      <c r="O63" s="165" t="e">
        <f t="shared" si="60"/>
        <v>#DIV/0!</v>
      </c>
      <c r="P63" s="165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5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6" t="s">
        <v>63</v>
      </c>
      <c r="N64" s="166" t="e">
        <f t="shared" ref="N64:T64" si="62">(N56/N53)</f>
        <v>#DIV/0!</v>
      </c>
      <c r="O64" s="166" t="e">
        <f t="shared" si="62"/>
        <v>#DIV/0!</v>
      </c>
      <c r="P64" s="166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5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6" t="s">
        <v>64</v>
      </c>
      <c r="N65" s="156"/>
      <c r="O65" s="168" t="e">
        <f t="shared" ref="O65:V65" si="64">(AVERAGE(N27:O27)/C6*365)</f>
        <v>#DIV/0!</v>
      </c>
      <c r="P65" s="168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5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6" t="s">
        <v>65</v>
      </c>
      <c r="N66" s="156"/>
      <c r="O66" s="168" t="e">
        <f>AVERAGE(N36:O36)/(C10+C11)*365</f>
        <v>#DIV/0!</v>
      </c>
      <c r="P66" s="168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5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6" t="s">
        <v>66</v>
      </c>
      <c r="N67" s="117"/>
      <c r="O67" s="169" t="e">
        <f>(AVERAGE(N26:O26)/(C10+C11)*365)</f>
        <v>#DIV/0!</v>
      </c>
      <c r="P67" s="169" t="e">
        <f>(AVERAGE(O26:P26)/(D10+D11)*365)</f>
        <v>#DIV/0!</v>
      </c>
      <c r="Q67" s="143">
        <f t="shared" ref="Q67:V67" si="65">(AVERAGE(P26:Q26)/(E10+E11+E12+E13)*365)</f>
        <v>63.168427370403222</v>
      </c>
      <c r="R67" s="221">
        <f t="shared" si="65"/>
        <v>53.258209621901166</v>
      </c>
      <c r="S67" s="221">
        <f t="shared" si="65"/>
        <v>57.357219129931956</v>
      </c>
      <c r="T67" s="221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56" t="s">
        <v>82</v>
      </c>
      <c r="N68" s="169"/>
      <c r="O68" s="169" t="e">
        <f t="shared" ref="O68:T68" si="66">(O67+O65-O66)</f>
        <v>#DIV/0!</v>
      </c>
      <c r="P68" s="169" t="e">
        <f t="shared" si="66"/>
        <v>#DIV/0!</v>
      </c>
      <c r="Q68" s="143">
        <f t="shared" si="66"/>
        <v>76.552002215243704</v>
      </c>
      <c r="R68" s="221">
        <f t="shared" si="66"/>
        <v>74.721188854173988</v>
      </c>
      <c r="S68" s="221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5">
      <c r="A69" s="198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56" t="s">
        <v>67</v>
      </c>
      <c r="N69" s="169"/>
      <c r="O69" s="169" t="e">
        <f>AVERAGE(N43:O43)/C6*365</f>
        <v>#DIV/0!</v>
      </c>
      <c r="P69" s="169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5">
      <c r="A70" s="198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70" t="s">
        <v>88</v>
      </c>
      <c r="N70" s="170"/>
      <c r="O70" s="167" t="e">
        <f t="shared" ref="O70:V70" si="69">C21/O10</f>
        <v>#DIV/0!</v>
      </c>
      <c r="P70" s="167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5">
      <c r="A71" s="198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2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796875" defaultRowHeight="11.5"/>
  <cols>
    <col min="1" max="1" width="39.26953125" style="1" customWidth="1"/>
    <col min="2" max="3" width="11.1796875" style="10" customWidth="1"/>
    <col min="4" max="4" width="13.26953125" style="1" bestFit="1" customWidth="1"/>
    <col min="5" max="5" width="12.453125" style="10" bestFit="1" customWidth="1"/>
    <col min="6" max="6" width="11.453125" style="10" customWidth="1"/>
    <col min="7" max="7" width="3.81640625" style="1" customWidth="1"/>
    <col min="8" max="8" width="40.7265625" style="1" customWidth="1"/>
    <col min="9" max="9" width="10.81640625" style="10" hidden="1" customWidth="1"/>
    <col min="10" max="10" width="13.81640625" style="10" hidden="1" customWidth="1"/>
    <col min="11" max="11" width="13.453125" style="10" bestFit="1" customWidth="1"/>
    <col min="12" max="12" width="13.81640625" style="10" customWidth="1"/>
    <col min="13" max="13" width="10.81640625" style="1" bestFit="1" customWidth="1"/>
    <col min="14" max="14" width="10.453125" style="16" bestFit="1" customWidth="1"/>
    <col min="15" max="15" width="10.26953125" style="1" bestFit="1" customWidth="1"/>
    <col min="16" max="16384" width="9.1796875" style="1"/>
  </cols>
  <sheetData>
    <row r="1" spans="1:18" ht="15" customHeight="1">
      <c r="A1" s="433" t="s">
        <v>160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8" ht="15" customHeight="1">
      <c r="A2" s="435" t="s">
        <v>97</v>
      </c>
      <c r="B2" s="436"/>
      <c r="C2" s="436"/>
      <c r="D2" s="436"/>
      <c r="E2" s="436"/>
      <c r="F2" s="437"/>
      <c r="G2" s="2"/>
      <c r="H2" s="438" t="s">
        <v>96</v>
      </c>
      <c r="I2" s="439"/>
      <c r="J2" s="439"/>
      <c r="K2" s="439"/>
      <c r="L2" s="439"/>
      <c r="M2" s="439"/>
      <c r="N2" s="439"/>
      <c r="O2" s="439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 ht="12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>
      <c r="H46" s="3"/>
      <c r="I46" s="55"/>
      <c r="J46" s="55"/>
      <c r="K46" s="55"/>
      <c r="L46" s="55"/>
      <c r="M46" s="55"/>
      <c r="N46" s="66"/>
      <c r="O46" s="43"/>
    </row>
    <row r="47" spans="1:15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4.5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2.5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4.5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4.5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4.5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4.5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2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3"/>
  <sheetViews>
    <sheetView zoomScale="85" zoomScaleNormal="85" zoomScaleSheetLayoutView="85" workbookViewId="0">
      <selection activeCell="B53" sqref="B53"/>
    </sheetView>
  </sheetViews>
  <sheetFormatPr defaultColWidth="23.7265625" defaultRowHeight="18.5"/>
  <cols>
    <col min="1" max="1" width="34.7265625" style="145" bestFit="1" customWidth="1"/>
    <col min="2" max="2" width="18.26953125" style="145" customWidth="1"/>
    <col min="3" max="10" width="17.81640625" style="145" customWidth="1"/>
    <col min="11" max="11" width="23.7265625" style="145"/>
    <col min="12" max="16" width="17.81640625" style="145" customWidth="1"/>
    <col min="17" max="16384" width="23.7265625" style="145"/>
  </cols>
  <sheetData>
    <row r="1" spans="1:17">
      <c r="A1" s="449" t="s">
        <v>216</v>
      </c>
      <c r="B1" s="449"/>
      <c r="C1" s="449"/>
      <c r="D1" s="449"/>
      <c r="E1" s="449"/>
      <c r="F1" s="449"/>
      <c r="G1" s="449"/>
      <c r="H1" s="449"/>
      <c r="I1" s="449"/>
      <c r="J1" s="449"/>
      <c r="K1" s="238"/>
      <c r="L1" s="447"/>
      <c r="M1" s="447"/>
      <c r="N1" s="447"/>
      <c r="O1" s="447"/>
      <c r="P1" s="447"/>
      <c r="Q1" s="345"/>
    </row>
    <row r="2" spans="1:17">
      <c r="A2" s="97"/>
      <c r="B2" s="97"/>
      <c r="C2" s="146" t="s">
        <v>217</v>
      </c>
      <c r="D2" s="146"/>
      <c r="E2" s="146"/>
      <c r="F2" s="146"/>
      <c r="G2" s="146"/>
      <c r="H2" s="146"/>
      <c r="I2" s="146"/>
      <c r="J2" s="146"/>
      <c r="K2" s="224"/>
      <c r="L2" s="345"/>
      <c r="M2" s="345"/>
      <c r="N2" s="345"/>
      <c r="O2" s="345"/>
      <c r="P2" s="345"/>
      <c r="Q2" s="226"/>
    </row>
    <row r="3" spans="1:17">
      <c r="A3" s="450" t="s">
        <v>222</v>
      </c>
      <c r="B3" s="450"/>
      <c r="C3" s="450"/>
      <c r="D3" s="450"/>
      <c r="E3" s="450"/>
      <c r="F3" s="450"/>
      <c r="G3" s="450"/>
      <c r="H3" s="450"/>
      <c r="I3" s="450"/>
      <c r="J3" s="450"/>
      <c r="K3" s="225"/>
      <c r="L3" s="226"/>
      <c r="M3" s="226"/>
      <c r="N3" s="226"/>
      <c r="O3" s="226"/>
      <c r="P3" s="226"/>
      <c r="Q3" s="226"/>
    </row>
    <row r="4" spans="1:17">
      <c r="A4" s="147" t="s">
        <v>161</v>
      </c>
      <c r="B4" s="451" t="s">
        <v>217</v>
      </c>
      <c r="C4" s="451"/>
      <c r="D4" s="451" t="s">
        <v>218</v>
      </c>
      <c r="E4" s="451"/>
      <c r="F4" s="451" t="s">
        <v>219</v>
      </c>
      <c r="G4" s="451"/>
      <c r="H4" s="451" t="s">
        <v>220</v>
      </c>
      <c r="I4" s="451"/>
      <c r="J4" s="147" t="s">
        <v>221</v>
      </c>
      <c r="K4" s="226"/>
      <c r="L4" s="226"/>
      <c r="M4" s="226"/>
      <c r="N4" s="226"/>
      <c r="O4" s="226"/>
      <c r="P4" s="226"/>
      <c r="Q4" s="226"/>
    </row>
    <row r="5" spans="1:17">
      <c r="A5" s="147"/>
      <c r="B5" s="147" t="s">
        <v>213</v>
      </c>
      <c r="C5" s="147" t="s">
        <v>215</v>
      </c>
      <c r="D5" s="147" t="s">
        <v>213</v>
      </c>
      <c r="E5" s="147" t="s">
        <v>215</v>
      </c>
      <c r="F5" s="147" t="s">
        <v>213</v>
      </c>
      <c r="G5" s="147" t="s">
        <v>215</v>
      </c>
      <c r="H5" s="147" t="s">
        <v>213</v>
      </c>
      <c r="I5" s="147" t="s">
        <v>215</v>
      </c>
      <c r="J5" s="147" t="s">
        <v>215</v>
      </c>
      <c r="K5" s="226"/>
      <c r="L5" s="226"/>
      <c r="M5" s="226"/>
      <c r="N5" s="226"/>
      <c r="O5" s="226"/>
      <c r="P5" s="226"/>
      <c r="Q5" s="226"/>
    </row>
    <row r="6" spans="1:17">
      <c r="A6" s="353" t="s">
        <v>169</v>
      </c>
      <c r="B6" s="353">
        <f>'Fairchem Organics Ltd.'!G4</f>
        <v>3965.694</v>
      </c>
      <c r="C6" s="354">
        <v>3071</v>
      </c>
      <c r="D6" s="364">
        <v>93221</v>
      </c>
      <c r="E6" s="353">
        <v>61707</v>
      </c>
      <c r="F6" s="365">
        <v>5410</v>
      </c>
      <c r="G6" s="353">
        <v>3606.6759999999999</v>
      </c>
      <c r="H6" s="364">
        <v>5652</v>
      </c>
      <c r="I6" s="353">
        <v>2962</v>
      </c>
      <c r="J6" s="353">
        <v>2095</v>
      </c>
      <c r="K6" s="227"/>
      <c r="L6" s="226"/>
      <c r="M6" s="346"/>
      <c r="N6" s="346"/>
      <c r="O6" s="346"/>
      <c r="P6" s="346"/>
      <c r="Q6" s="226"/>
    </row>
    <row r="7" spans="1:17">
      <c r="A7" s="353" t="s">
        <v>134</v>
      </c>
      <c r="B7" s="355">
        <f>'Fairchem Organics Ltd.'!G8</f>
        <v>0.18926688279073844</v>
      </c>
      <c r="C7" s="356">
        <f>'Fairchem Organics Ltd.'!G8</f>
        <v>0.18926688279073844</v>
      </c>
      <c r="D7" s="371">
        <v>0.01</v>
      </c>
      <c r="E7" s="355"/>
      <c r="F7" s="367">
        <v>0.15</v>
      </c>
      <c r="G7" s="355"/>
      <c r="H7" s="368"/>
      <c r="I7" s="355"/>
      <c r="J7" s="357">
        <v>0.08</v>
      </c>
      <c r="K7" s="228"/>
      <c r="L7" s="226"/>
      <c r="M7" s="226"/>
      <c r="N7" s="226"/>
      <c r="O7" s="226"/>
      <c r="P7" s="226"/>
      <c r="Q7" s="226"/>
    </row>
    <row r="8" spans="1:17">
      <c r="A8" s="353" t="s">
        <v>4</v>
      </c>
      <c r="B8" s="353">
        <f>'Fairchem Organics Ltd.'!G16</f>
        <v>686.72199999999975</v>
      </c>
      <c r="C8" s="358">
        <v>648</v>
      </c>
      <c r="D8" s="369">
        <v>12214</v>
      </c>
      <c r="E8" s="353">
        <v>3107</v>
      </c>
      <c r="F8" s="366">
        <v>680</v>
      </c>
      <c r="G8" s="353">
        <v>400</v>
      </c>
      <c r="H8" s="366">
        <v>217</v>
      </c>
      <c r="I8" s="353">
        <v>142</v>
      </c>
      <c r="J8" s="353">
        <v>415</v>
      </c>
      <c r="K8" s="229"/>
      <c r="L8" s="345"/>
      <c r="M8" s="347"/>
      <c r="N8" s="347"/>
      <c r="O8" s="347"/>
      <c r="P8" s="347"/>
      <c r="Q8" s="226"/>
    </row>
    <row r="9" spans="1:17">
      <c r="A9" s="353" t="s">
        <v>134</v>
      </c>
      <c r="B9" s="355">
        <f>'Fairchem Organics Ltd.'!G18</f>
        <v>0.2483810074696573</v>
      </c>
      <c r="C9" s="359">
        <f>'Fairchem Organics Ltd.'!F18</f>
        <v>0</v>
      </c>
      <c r="D9" s="366" t="s">
        <v>92</v>
      </c>
      <c r="E9" s="355"/>
      <c r="F9" s="367">
        <v>0.312</v>
      </c>
      <c r="G9" s="355"/>
      <c r="H9" s="368"/>
      <c r="I9" s="355"/>
      <c r="J9" s="357">
        <v>0.05</v>
      </c>
      <c r="K9" s="228"/>
      <c r="L9" s="226"/>
      <c r="M9" s="226"/>
      <c r="N9" s="226"/>
      <c r="O9" s="226"/>
      <c r="P9" s="226"/>
      <c r="Q9" s="226"/>
    </row>
    <row r="10" spans="1:17">
      <c r="A10" s="353" t="s">
        <v>135</v>
      </c>
      <c r="B10" s="355">
        <f>'Fairchem Organics Ltd.'!G19</f>
        <v>0.17316565524218452</v>
      </c>
      <c r="C10" s="360">
        <f>'Fairchem Organics Ltd.'!G18</f>
        <v>0.2483810074696573</v>
      </c>
      <c r="D10" s="367">
        <v>0.17460000000000001</v>
      </c>
      <c r="E10" s="355">
        <v>5.04E-2</v>
      </c>
      <c r="F10" s="367">
        <f>F8/F6</f>
        <v>0.1256931608133087</v>
      </c>
      <c r="G10" s="355">
        <v>0.1109</v>
      </c>
      <c r="H10" s="367">
        <f>H8/H6</f>
        <v>3.8393489030431709E-2</v>
      </c>
      <c r="I10" s="355">
        <v>4.7800000000000002E-2</v>
      </c>
      <c r="J10" s="355">
        <v>0.19800000000000001</v>
      </c>
      <c r="K10" s="230"/>
      <c r="L10" s="348"/>
      <c r="M10" s="348"/>
      <c r="N10" s="348"/>
      <c r="O10" s="348"/>
      <c r="P10" s="348"/>
      <c r="Q10" s="226"/>
    </row>
    <row r="11" spans="1:17">
      <c r="A11" s="353" t="s">
        <v>11</v>
      </c>
      <c r="B11" s="353">
        <f>'Fairchem Organics Ltd.'!G27</f>
        <v>424.84699999999987</v>
      </c>
      <c r="C11" s="358">
        <v>432</v>
      </c>
      <c r="D11" s="369">
        <v>3346</v>
      </c>
      <c r="E11" s="353">
        <v>3869</v>
      </c>
      <c r="F11" s="366">
        <v>376</v>
      </c>
      <c r="G11" s="353">
        <v>110.68600000000001</v>
      </c>
      <c r="H11" s="366">
        <v>136</v>
      </c>
      <c r="I11" s="353">
        <v>80</v>
      </c>
      <c r="J11" s="353">
        <v>158</v>
      </c>
      <c r="K11" s="229"/>
      <c r="L11" s="345"/>
      <c r="M11" s="347"/>
      <c r="N11" s="347"/>
      <c r="O11" s="347"/>
      <c r="P11" s="347"/>
      <c r="Q11" s="226"/>
    </row>
    <row r="12" spans="1:17">
      <c r="A12" s="353" t="s">
        <v>134</v>
      </c>
      <c r="B12" s="355">
        <f>'Fairchem Organics Ltd.'!G33</f>
        <v>0.10749973373001143</v>
      </c>
      <c r="C12" s="354" t="e">
        <f>'Fairchem Organics Ltd.'!#REF!</f>
        <v>#REF!</v>
      </c>
      <c r="D12" s="371">
        <v>0.12</v>
      </c>
      <c r="E12" s="357"/>
      <c r="F12" s="367">
        <v>0.33</v>
      </c>
      <c r="G12" s="355"/>
      <c r="H12" s="368"/>
      <c r="I12" s="355"/>
      <c r="J12" s="357">
        <v>0.11</v>
      </c>
      <c r="K12" s="228"/>
      <c r="L12" s="226"/>
      <c r="M12" s="226"/>
      <c r="N12" s="226"/>
      <c r="O12" s="226"/>
      <c r="P12" s="226"/>
      <c r="Q12" s="226"/>
    </row>
    <row r="13" spans="1:17">
      <c r="A13" s="353" t="s">
        <v>136</v>
      </c>
      <c r="B13" s="355">
        <f>'Fairchem Organics Ltd.'!G31</f>
        <v>0.10594312117878986</v>
      </c>
      <c r="C13" s="360">
        <f>C11/C6</f>
        <v>0.14067079127320092</v>
      </c>
      <c r="D13" s="367">
        <v>3.5900000000000001E-2</v>
      </c>
      <c r="E13" s="355">
        <v>6.2700000000000006E-2</v>
      </c>
      <c r="F13" s="367">
        <f>F11/F6</f>
        <v>6.9500924214417739E-2</v>
      </c>
      <c r="G13" s="355">
        <v>3.0700000000000002E-2</v>
      </c>
      <c r="H13" s="367">
        <f>H11/H6</f>
        <v>2.4062278839348902E-2</v>
      </c>
      <c r="I13" s="355">
        <v>2.69E-2</v>
      </c>
      <c r="J13" s="355">
        <v>7.5499999999999998E-2</v>
      </c>
      <c r="K13" s="230"/>
      <c r="L13" s="348"/>
      <c r="M13" s="348"/>
      <c r="N13" s="348"/>
      <c r="O13" s="348"/>
      <c r="P13" s="348"/>
      <c r="Q13" s="226"/>
    </row>
    <row r="14" spans="1:17">
      <c r="A14" s="353" t="s">
        <v>14</v>
      </c>
      <c r="B14" s="353">
        <f>'Fairchem Organics Ltd.'!G34</f>
        <v>32.630000000000003</v>
      </c>
      <c r="C14" s="358">
        <v>33.18</v>
      </c>
      <c r="D14" s="366">
        <v>9.94</v>
      </c>
      <c r="E14" s="353">
        <v>8.3800000000000008</v>
      </c>
      <c r="F14" s="366">
        <f>10.69</f>
        <v>10.69</v>
      </c>
      <c r="G14" s="353">
        <v>3.11</v>
      </c>
      <c r="H14" s="366">
        <v>9</v>
      </c>
      <c r="I14" s="353">
        <v>8.98</v>
      </c>
      <c r="J14" s="353">
        <v>5.47</v>
      </c>
      <c r="L14" s="346"/>
      <c r="M14" s="346"/>
      <c r="N14" s="346"/>
      <c r="O14" s="346"/>
      <c r="P14" s="346"/>
      <c r="Q14" s="226"/>
    </row>
    <row r="15" spans="1:17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L15" s="226"/>
      <c r="M15" s="226"/>
      <c r="N15" s="226"/>
      <c r="O15" s="226"/>
      <c r="P15" s="226"/>
      <c r="Q15" s="226"/>
    </row>
    <row r="16" spans="1:17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L16" s="226"/>
      <c r="M16" s="226"/>
      <c r="N16" s="226"/>
      <c r="O16" s="226"/>
      <c r="P16" s="226"/>
      <c r="Q16" s="226"/>
    </row>
    <row r="17" spans="1:17" hidden="1">
      <c r="A17" s="448" t="s">
        <v>137</v>
      </c>
      <c r="B17" s="448"/>
      <c r="C17" s="448"/>
      <c r="D17" s="448"/>
      <c r="E17" s="448"/>
      <c r="F17" s="448"/>
      <c r="G17" s="448"/>
      <c r="H17" s="448"/>
      <c r="I17" s="448"/>
      <c r="J17" s="448"/>
      <c r="K17" s="231"/>
      <c r="L17" s="226"/>
      <c r="M17" s="226"/>
      <c r="N17" s="226"/>
      <c r="O17" s="226"/>
      <c r="P17" s="226"/>
      <c r="Q17" s="226"/>
    </row>
    <row r="18" spans="1:17" hidden="1">
      <c r="A18" s="353" t="s">
        <v>138</v>
      </c>
      <c r="B18" s="353"/>
      <c r="C18" s="359">
        <f>'Fairchem Organics Ltd.'!U6</f>
        <v>2321.489</v>
      </c>
      <c r="D18" s="359"/>
      <c r="E18" s="359">
        <v>19959.2</v>
      </c>
      <c r="F18" s="359"/>
      <c r="G18" s="359"/>
      <c r="H18" s="359"/>
      <c r="I18" s="359"/>
      <c r="J18" s="359"/>
      <c r="K18" s="227"/>
      <c r="L18" s="349"/>
      <c r="M18" s="349"/>
      <c r="N18" s="349"/>
      <c r="O18" s="349"/>
      <c r="P18" s="349"/>
      <c r="Q18" s="226"/>
    </row>
    <row r="19" spans="1:17" hidden="1">
      <c r="A19" s="353" t="s">
        <v>78</v>
      </c>
      <c r="B19" s="353"/>
      <c r="C19" s="359">
        <f>'Fairchem Organics Ltd.'!U10</f>
        <v>620.29999999999995</v>
      </c>
      <c r="D19" s="359"/>
      <c r="E19" s="359">
        <f>SUM(E20:E21)</f>
        <v>15442.7</v>
      </c>
      <c r="F19" s="359"/>
      <c r="G19" s="359"/>
      <c r="H19" s="359"/>
      <c r="I19" s="359"/>
      <c r="J19" s="359"/>
      <c r="L19" s="350"/>
      <c r="M19" s="350"/>
      <c r="N19" s="350"/>
      <c r="O19" s="350"/>
      <c r="P19" s="350"/>
      <c r="Q19" s="226"/>
    </row>
    <row r="20" spans="1:17" hidden="1">
      <c r="A20" s="353" t="s">
        <v>139</v>
      </c>
      <c r="B20" s="353"/>
      <c r="C20" s="359">
        <f>'Fairchem Organics Ltd.'!U8</f>
        <v>99.87</v>
      </c>
      <c r="D20" s="359"/>
      <c r="E20" s="359">
        <v>4821.5</v>
      </c>
      <c r="F20" s="359"/>
      <c r="G20" s="359"/>
      <c r="H20" s="359"/>
      <c r="I20" s="359"/>
      <c r="J20" s="359"/>
      <c r="K20" s="232"/>
      <c r="L20" s="349"/>
      <c r="M20" s="349"/>
      <c r="N20" s="349"/>
      <c r="O20" s="349"/>
      <c r="P20" s="349"/>
      <c r="Q20" s="226"/>
    </row>
    <row r="21" spans="1:17" hidden="1">
      <c r="A21" s="353" t="s">
        <v>140</v>
      </c>
      <c r="B21" s="353"/>
      <c r="C21" s="359">
        <f>'Fairchem Organics Ltd.'!U9</f>
        <v>520.42999999999995</v>
      </c>
      <c r="D21" s="359"/>
      <c r="E21" s="359">
        <v>10621.2</v>
      </c>
      <c r="F21" s="359"/>
      <c r="G21" s="359"/>
      <c r="H21" s="359"/>
      <c r="I21" s="359"/>
      <c r="J21" s="359"/>
      <c r="L21" s="349"/>
      <c r="M21" s="349"/>
      <c r="N21" s="349"/>
      <c r="O21" s="349"/>
      <c r="P21" s="349"/>
      <c r="Q21" s="226"/>
    </row>
    <row r="22" spans="1:17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L22" s="226"/>
      <c r="M22" s="226"/>
      <c r="N22" s="226"/>
      <c r="O22" s="226"/>
      <c r="P22" s="226"/>
      <c r="Q22" s="226"/>
    </row>
    <row r="23" spans="1:17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L23" s="226"/>
      <c r="M23" s="226"/>
      <c r="N23" s="226"/>
      <c r="O23" s="226"/>
      <c r="P23" s="226"/>
      <c r="Q23" s="226"/>
    </row>
    <row r="24" spans="1:17">
      <c r="A24" s="448" t="s">
        <v>15</v>
      </c>
      <c r="B24" s="448"/>
      <c r="C24" s="448"/>
      <c r="D24" s="448"/>
      <c r="E24" s="448"/>
      <c r="F24" s="448"/>
      <c r="G24" s="448"/>
      <c r="H24" s="448"/>
      <c r="I24" s="448"/>
      <c r="J24" s="448"/>
      <c r="K24" s="231"/>
      <c r="L24" s="226"/>
      <c r="M24" s="226"/>
      <c r="N24" s="226"/>
      <c r="O24" s="226"/>
      <c r="P24" s="226"/>
      <c r="Q24" s="226"/>
    </row>
    <row r="25" spans="1:17">
      <c r="A25" s="353" t="s">
        <v>141</v>
      </c>
      <c r="B25" s="353">
        <f>'Fairchem Organics Ltd.'!G50</f>
        <v>394.25900000000001</v>
      </c>
      <c r="C25" s="358" t="e">
        <f>'Fairchem Organics Ltd.'!#REF!</f>
        <v>#REF!</v>
      </c>
      <c r="D25" s="353">
        <v>-6636</v>
      </c>
      <c r="F25" s="353">
        <v>562</v>
      </c>
      <c r="H25" s="366">
        <v>142</v>
      </c>
      <c r="I25" s="353"/>
      <c r="J25" s="353">
        <v>626</v>
      </c>
      <c r="K25" s="227"/>
      <c r="L25" s="226"/>
      <c r="M25" s="346"/>
      <c r="N25" s="346"/>
      <c r="O25" s="346"/>
      <c r="P25" s="346"/>
      <c r="Q25" s="226"/>
    </row>
    <row r="26" spans="1:17">
      <c r="A26" s="353" t="s">
        <v>28</v>
      </c>
      <c r="B26" s="353">
        <f>'Fairchem Organics Ltd.'!G52</f>
        <v>163.03100000000001</v>
      </c>
      <c r="C26" s="359"/>
      <c r="D26" s="353">
        <v>-14091</v>
      </c>
      <c r="F26" s="353">
        <v>58</v>
      </c>
      <c r="H26" s="366">
        <v>66</v>
      </c>
      <c r="I26" s="353"/>
      <c r="J26" s="353">
        <v>73</v>
      </c>
      <c r="K26" s="229"/>
      <c r="L26" s="345"/>
      <c r="M26" s="347"/>
      <c r="N26" s="347"/>
      <c r="O26" s="347"/>
      <c r="P26" s="347"/>
      <c r="Q26" s="226"/>
    </row>
    <row r="27" spans="1:17">
      <c r="A27" s="353"/>
      <c r="B27" s="353"/>
      <c r="C27" s="359"/>
      <c r="D27" s="359"/>
      <c r="E27" s="353"/>
      <c r="F27" s="353"/>
      <c r="G27" s="353"/>
      <c r="H27" s="353"/>
      <c r="I27" s="353"/>
      <c r="J27" s="353"/>
      <c r="L27" s="226"/>
      <c r="M27" s="226"/>
      <c r="N27" s="226"/>
      <c r="O27" s="226"/>
      <c r="P27" s="226"/>
      <c r="Q27" s="226"/>
    </row>
    <row r="28" spans="1:17">
      <c r="A28" s="353" t="s">
        <v>75</v>
      </c>
      <c r="B28" s="353">
        <f>'Fairchem Organics Ltd.'!G56</f>
        <v>9747.4472372</v>
      </c>
      <c r="C28" s="359">
        <v>23848.400000000001</v>
      </c>
      <c r="D28" s="353">
        <v>148897</v>
      </c>
      <c r="E28" s="145">
        <v>203397.9</v>
      </c>
      <c r="F28" s="145">
        <v>5689</v>
      </c>
      <c r="G28" s="353">
        <v>7730</v>
      </c>
      <c r="H28" s="364">
        <v>1760</v>
      </c>
      <c r="I28" s="353">
        <v>1850</v>
      </c>
      <c r="J28" s="353">
        <v>8090</v>
      </c>
      <c r="K28" s="229"/>
      <c r="L28" s="351"/>
      <c r="M28" s="345"/>
      <c r="N28" s="345"/>
      <c r="O28" s="345"/>
      <c r="P28" s="345"/>
      <c r="Q28" s="226"/>
    </row>
    <row r="29" spans="1:17">
      <c r="A29" s="353" t="s">
        <v>142</v>
      </c>
      <c r="B29" s="353">
        <f>'Fairchem Organics Ltd.'!G59</f>
        <v>10226.899237199999</v>
      </c>
      <c r="C29" s="359">
        <f>'Fairchem Organics Ltd.'!F59</f>
        <v>604.95799999999997</v>
      </c>
      <c r="D29" s="353">
        <v>157286.70000000001</v>
      </c>
      <c r="F29" s="364">
        <v>6785</v>
      </c>
      <c r="G29" s="353"/>
      <c r="H29" s="364">
        <v>1870</v>
      </c>
      <c r="I29" s="353"/>
      <c r="J29" s="353"/>
      <c r="K29" s="227"/>
      <c r="L29" s="352"/>
      <c r="M29" s="226"/>
      <c r="N29" s="226"/>
      <c r="O29" s="226"/>
      <c r="P29" s="226"/>
      <c r="Q29" s="226"/>
    </row>
    <row r="30" spans="1:17">
      <c r="A30" s="353"/>
      <c r="B30" s="353"/>
      <c r="C30" s="353"/>
      <c r="D30" s="353"/>
      <c r="E30" s="353"/>
      <c r="F30" s="353"/>
      <c r="G30" s="353"/>
      <c r="H30" s="353"/>
      <c r="I30" s="448"/>
      <c r="J30" s="448"/>
      <c r="K30" s="233"/>
      <c r="L30" s="226"/>
      <c r="M30" s="226"/>
      <c r="N30" s="226"/>
      <c r="O30" s="226"/>
      <c r="P30" s="226"/>
      <c r="Q30" s="226"/>
    </row>
    <row r="31" spans="1:17">
      <c r="A31" s="353"/>
      <c r="B31" s="353"/>
      <c r="C31" s="353"/>
      <c r="D31" s="353"/>
      <c r="E31" s="353"/>
      <c r="F31" s="353"/>
      <c r="G31" s="353"/>
      <c r="H31" s="353"/>
      <c r="I31" s="448"/>
      <c r="J31" s="448"/>
      <c r="K31" s="233"/>
      <c r="L31" s="226"/>
      <c r="M31" s="226"/>
      <c r="N31" s="226"/>
      <c r="O31" s="226"/>
      <c r="P31" s="226"/>
      <c r="Q31" s="226"/>
    </row>
    <row r="32" spans="1:17">
      <c r="A32" s="448" t="s">
        <v>143</v>
      </c>
      <c r="B32" s="448"/>
      <c r="C32" s="448"/>
      <c r="D32" s="448"/>
      <c r="E32" s="448"/>
      <c r="F32" s="448"/>
      <c r="G32" s="448"/>
      <c r="H32" s="448"/>
      <c r="I32" s="448"/>
      <c r="J32" s="448"/>
      <c r="K32" s="231"/>
      <c r="L32" s="226"/>
      <c r="M32" s="226"/>
      <c r="N32" s="226"/>
      <c r="O32" s="226"/>
      <c r="P32" s="226"/>
      <c r="Q32" s="226"/>
    </row>
    <row r="33" spans="1:17">
      <c r="A33" s="353" t="s">
        <v>144</v>
      </c>
      <c r="B33" s="353">
        <f>'Fairchem Organics Ltd.'!T53</f>
        <v>22.942077842476248</v>
      </c>
      <c r="C33" s="358">
        <f>'Fairchem Organics Ltd.'!T53</f>
        <v>22.942077842476248</v>
      </c>
      <c r="D33" s="366">
        <v>51.1</v>
      </c>
      <c r="E33" s="353">
        <v>54.55</v>
      </c>
      <c r="F33" s="353">
        <v>19.600000000000001</v>
      </c>
      <c r="G33" s="145">
        <v>20.29</v>
      </c>
      <c r="H33" s="145">
        <v>15</v>
      </c>
      <c r="I33" s="353">
        <v>17.8</v>
      </c>
      <c r="J33" s="353">
        <v>24.5</v>
      </c>
      <c r="K33" s="227"/>
      <c r="L33" s="349"/>
      <c r="M33" s="349"/>
      <c r="N33" s="349"/>
      <c r="O33" s="349"/>
      <c r="P33" s="349"/>
      <c r="Q33" s="226"/>
    </row>
    <row r="34" spans="1:17">
      <c r="A34" s="353" t="s">
        <v>63</v>
      </c>
      <c r="B34" s="353"/>
      <c r="C34" s="355">
        <f>'Fairchem Organics Ltd.'!T60</f>
        <v>0</v>
      </c>
      <c r="D34" s="367">
        <v>0</v>
      </c>
      <c r="E34" s="355">
        <v>5.8999999999999999E-3</v>
      </c>
      <c r="F34" s="355">
        <v>5.0000000000000001E-3</v>
      </c>
      <c r="G34" s="145">
        <v>0</v>
      </c>
      <c r="H34" s="246">
        <v>5.0000000000000001E-3</v>
      </c>
      <c r="I34" s="355">
        <v>1.44E-2</v>
      </c>
      <c r="J34" s="355">
        <v>9.1000000000000004E-3</v>
      </c>
      <c r="K34" s="228"/>
      <c r="L34" s="349"/>
      <c r="M34" s="349"/>
      <c r="N34" s="349"/>
      <c r="O34" s="349"/>
      <c r="P34" s="349"/>
      <c r="Q34" s="226"/>
    </row>
    <row r="35" spans="1:17">
      <c r="A35" s="353" t="s">
        <v>145</v>
      </c>
      <c r="B35" s="353">
        <f>'Fairchem Organics Ltd.'!T54</f>
        <v>5.7767956388290473</v>
      </c>
      <c r="C35" s="354">
        <f>'Fairchem Organics Ltd.'!T54</f>
        <v>5.7767956388290473</v>
      </c>
      <c r="D35" s="366">
        <v>3</v>
      </c>
      <c r="E35" s="353">
        <v>6.7</v>
      </c>
      <c r="F35" s="353">
        <v>4.43</v>
      </c>
      <c r="G35" s="145">
        <v>4.18</v>
      </c>
      <c r="H35" s="145">
        <v>0.5</v>
      </c>
      <c r="I35" s="353">
        <v>0.89</v>
      </c>
      <c r="J35" s="353">
        <v>2.16</v>
      </c>
      <c r="K35" s="227"/>
      <c r="L35" s="349"/>
      <c r="M35" s="349"/>
      <c r="N35" s="349"/>
      <c r="O35" s="349"/>
      <c r="P35" s="349"/>
      <c r="Q35" s="226"/>
    </row>
    <row r="36" spans="1:17">
      <c r="A36" s="353" t="s">
        <v>146</v>
      </c>
      <c r="B36" s="353">
        <f>'Fairchem Organics Ltd.'!T55</f>
        <v>14.892342515894354</v>
      </c>
      <c r="C36" s="354">
        <f>'Fairchem Organics Ltd.'!T55</f>
        <v>14.892342515894354</v>
      </c>
      <c r="D36" s="366">
        <v>12.31</v>
      </c>
      <c r="E36" s="353">
        <v>11.16</v>
      </c>
      <c r="F36" s="366">
        <f>F29/F8</f>
        <v>9.9779411764705888</v>
      </c>
      <c r="G36" s="353"/>
      <c r="H36" s="145">
        <v>9.5</v>
      </c>
      <c r="I36" s="366">
        <v>7.99</v>
      </c>
      <c r="J36" s="353"/>
      <c r="K36" s="227"/>
      <c r="L36" s="226"/>
      <c r="M36" s="226"/>
      <c r="N36" s="226"/>
      <c r="O36" s="226"/>
      <c r="P36" s="226"/>
      <c r="Q36" s="226"/>
    </row>
    <row r="37" spans="1:17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L37" s="226"/>
      <c r="M37" s="226"/>
      <c r="N37" s="226"/>
      <c r="O37" s="226"/>
      <c r="P37" s="226"/>
      <c r="Q37" s="226"/>
    </row>
    <row r="38" spans="1:17">
      <c r="A38" s="448" t="s">
        <v>147</v>
      </c>
      <c r="B38" s="448"/>
      <c r="C38" s="448"/>
      <c r="D38" s="448"/>
      <c r="E38" s="448"/>
      <c r="F38" s="448"/>
      <c r="G38" s="448"/>
      <c r="H38" s="448"/>
      <c r="I38" s="448"/>
      <c r="J38" s="448"/>
      <c r="K38" s="231"/>
      <c r="L38" s="226"/>
      <c r="M38" s="226"/>
      <c r="N38" s="226"/>
      <c r="O38" s="226"/>
      <c r="P38" s="226"/>
      <c r="Q38" s="226"/>
    </row>
    <row r="39" spans="1:17">
      <c r="A39" s="353" t="s">
        <v>223</v>
      </c>
      <c r="B39" s="353"/>
      <c r="C39" s="361">
        <f>'Fairchem Organics Ltd.'!T49</f>
        <v>748.6</v>
      </c>
      <c r="D39" s="368"/>
      <c r="E39" s="353">
        <v>619</v>
      </c>
      <c r="F39" s="368"/>
      <c r="G39" s="353">
        <v>219</v>
      </c>
      <c r="H39" s="368"/>
      <c r="I39" s="353">
        <v>208</v>
      </c>
      <c r="J39" s="353">
        <v>275</v>
      </c>
      <c r="K39" s="234"/>
      <c r="L39" s="226"/>
      <c r="M39" s="226"/>
      <c r="N39" s="226"/>
      <c r="O39" s="226"/>
      <c r="P39" s="226"/>
      <c r="Q39" s="226"/>
    </row>
    <row r="40" spans="1:17">
      <c r="A40" s="353" t="s">
        <v>162</v>
      </c>
      <c r="B40" s="353">
        <v>89</v>
      </c>
      <c r="C40" s="354">
        <f>'Fairchem Organics Ltd.'!T51</f>
        <v>129.58741260782088</v>
      </c>
      <c r="D40" s="366">
        <v>180.35</v>
      </c>
      <c r="E40" s="353">
        <v>199.48</v>
      </c>
      <c r="F40" s="366">
        <v>39.57</v>
      </c>
      <c r="G40" s="353">
        <v>49.4</v>
      </c>
      <c r="H40" s="366">
        <v>180</v>
      </c>
      <c r="I40" s="353">
        <v>210</v>
      </c>
      <c r="J40" s="353">
        <v>118.05</v>
      </c>
      <c r="K40" s="227"/>
      <c r="L40" s="226"/>
      <c r="M40" s="226"/>
      <c r="N40" s="226"/>
      <c r="O40" s="226"/>
      <c r="P40" s="226"/>
      <c r="Q40" s="226"/>
    </row>
    <row r="41" spans="1:17">
      <c r="A41" s="353" t="s">
        <v>148</v>
      </c>
      <c r="B41" s="374">
        <v>0.25178431204051327</v>
      </c>
      <c r="C41" s="370"/>
      <c r="D41" s="367">
        <v>4.7100000000000003E-2</v>
      </c>
      <c r="E41" s="355"/>
      <c r="F41" s="367">
        <v>0.25259999999999999</v>
      </c>
      <c r="G41" s="355"/>
      <c r="H41" s="355">
        <v>7.2300000000000003E-2</v>
      </c>
      <c r="J41" s="355">
        <v>0.13600000000000001</v>
      </c>
      <c r="K41" s="228"/>
      <c r="L41" s="226"/>
      <c r="M41" s="226"/>
      <c r="N41" s="226"/>
      <c r="O41" s="226"/>
      <c r="P41" s="226"/>
      <c r="Q41" s="226"/>
    </row>
    <row r="42" spans="1:17">
      <c r="A42" s="353" t="s">
        <v>149</v>
      </c>
      <c r="B42" s="374">
        <v>0.30014087800484407</v>
      </c>
      <c r="C42" s="370"/>
      <c r="D42" s="367">
        <v>6.8500000000000005E-2</v>
      </c>
      <c r="E42" s="355"/>
      <c r="F42" s="367">
        <v>0.14330000000000001</v>
      </c>
      <c r="G42" s="355"/>
      <c r="H42" s="355">
        <v>6.9199999999999998E-2</v>
      </c>
      <c r="J42" s="355">
        <v>0.126</v>
      </c>
      <c r="K42" s="228"/>
      <c r="L42" s="226"/>
      <c r="M42" s="226"/>
      <c r="N42" s="226"/>
      <c r="O42" s="226"/>
      <c r="P42" s="226"/>
      <c r="Q42" s="226"/>
    </row>
    <row r="43" spans="1:17">
      <c r="A43" s="353" t="s">
        <v>150</v>
      </c>
      <c r="B43" s="353">
        <v>2.8</v>
      </c>
      <c r="C43" s="354">
        <f>'Fairchem Organics Ltd.'!T67</f>
        <v>3.2517162818519156</v>
      </c>
      <c r="D43" s="366">
        <v>2.58</v>
      </c>
      <c r="E43" s="353">
        <v>0.38</v>
      </c>
      <c r="F43" s="353">
        <v>3.93</v>
      </c>
      <c r="G43" s="145">
        <v>3.5</v>
      </c>
      <c r="H43" s="353">
        <v>10.7</v>
      </c>
      <c r="I43" s="145">
        <v>9.5</v>
      </c>
      <c r="J43" s="353">
        <v>1.82</v>
      </c>
      <c r="K43" s="227"/>
      <c r="L43" s="226"/>
      <c r="M43" s="226"/>
      <c r="N43" s="226"/>
      <c r="O43" s="226"/>
      <c r="P43" s="226"/>
      <c r="Q43" s="226"/>
    </row>
    <row r="44" spans="1:17">
      <c r="A44" s="353" t="s">
        <v>151</v>
      </c>
      <c r="B44" s="358">
        <f>'Fairchem Organics Ltd.'!T61</f>
        <v>38.953963039004016</v>
      </c>
      <c r="C44" s="102"/>
      <c r="D44" s="366">
        <v>54.71</v>
      </c>
      <c r="E44" s="353"/>
      <c r="F44" s="353">
        <v>76.680000000000007</v>
      </c>
      <c r="H44" s="353">
        <v>53.67</v>
      </c>
      <c r="J44" s="353">
        <v>84</v>
      </c>
      <c r="K44" s="235"/>
      <c r="L44" s="226"/>
      <c r="M44" s="226"/>
      <c r="N44" s="226"/>
      <c r="O44" s="226"/>
      <c r="P44" s="226"/>
      <c r="Q44" s="226"/>
    </row>
    <row r="45" spans="1:17">
      <c r="A45" s="353" t="s">
        <v>66</v>
      </c>
      <c r="B45" s="358">
        <f>'Fairchem Organics Ltd.'!T63</f>
        <v>51.007564345344747</v>
      </c>
      <c r="C45" s="102"/>
      <c r="D45" s="366">
        <v>262.3</v>
      </c>
      <c r="E45" s="353"/>
      <c r="F45" s="353">
        <v>87.25</v>
      </c>
      <c r="H45" s="353">
        <v>58.01</v>
      </c>
      <c r="J45" s="353">
        <v>369.43</v>
      </c>
      <c r="K45" s="235"/>
      <c r="L45" s="226"/>
      <c r="M45" s="226"/>
      <c r="N45" s="226"/>
      <c r="O45" s="226"/>
      <c r="P45" s="226"/>
      <c r="Q45" s="226"/>
    </row>
    <row r="46" spans="1:17">
      <c r="A46" s="353" t="s">
        <v>152</v>
      </c>
      <c r="B46" s="358">
        <f>'Fairchem Organics Ltd.'!T62</f>
        <v>11.388039436366093</v>
      </c>
      <c r="C46" s="170"/>
      <c r="D46" s="366">
        <v>145.29</v>
      </c>
      <c r="E46" s="353"/>
      <c r="F46" s="353">
        <v>88.56</v>
      </c>
      <c r="H46" s="353">
        <v>25.88</v>
      </c>
      <c r="J46" s="353">
        <v>150.47999999999999</v>
      </c>
      <c r="K46" s="235"/>
      <c r="L46" s="226"/>
      <c r="M46" s="226"/>
      <c r="N46" s="226"/>
      <c r="O46" s="226"/>
      <c r="P46" s="226"/>
      <c r="Q46" s="226"/>
    </row>
    <row r="47" spans="1:17">
      <c r="A47" s="353" t="s">
        <v>153</v>
      </c>
      <c r="B47" s="358">
        <f>'Fairchem Organics Ltd.'!T64</f>
        <v>78.57348794798267</v>
      </c>
      <c r="C47" s="170"/>
      <c r="D47" s="366">
        <v>169.71</v>
      </c>
      <c r="E47" s="353"/>
      <c r="F47" s="353">
        <v>75.37</v>
      </c>
      <c r="H47" s="353">
        <v>85.8</v>
      </c>
      <c r="J47" s="353">
        <v>285.66000000000003</v>
      </c>
      <c r="K47" s="235"/>
      <c r="L47" s="226"/>
      <c r="M47" s="226"/>
      <c r="N47" s="226"/>
      <c r="O47" s="226"/>
      <c r="P47" s="226"/>
      <c r="Q47" s="226"/>
    </row>
    <row r="48" spans="1:17">
      <c r="A48" s="353" t="s">
        <v>67</v>
      </c>
      <c r="B48" s="353"/>
      <c r="C48" s="359">
        <f>'Fairchem Organics Ltd.'!T65</f>
        <v>27.109820774314628</v>
      </c>
      <c r="D48" s="366">
        <v>152.66</v>
      </c>
      <c r="E48" s="362"/>
      <c r="F48" s="366">
        <v>61</v>
      </c>
      <c r="G48" s="353"/>
      <c r="H48" s="366">
        <v>116</v>
      </c>
      <c r="I48" s="353"/>
      <c r="J48" s="353"/>
      <c r="K48" s="236"/>
      <c r="L48" s="226"/>
      <c r="M48" s="226"/>
      <c r="N48" s="226"/>
      <c r="O48" s="226"/>
      <c r="P48" s="226"/>
      <c r="Q48" s="226"/>
    </row>
    <row r="49" spans="1:17">
      <c r="A49" s="353" t="s">
        <v>154</v>
      </c>
      <c r="B49" s="353"/>
      <c r="C49" s="358">
        <f>'Fairchem Organics Ltd.'!T58</f>
        <v>0.28574594999837022</v>
      </c>
      <c r="D49" s="366">
        <v>0.42</v>
      </c>
      <c r="E49" s="362">
        <v>0.7</v>
      </c>
      <c r="F49" s="366">
        <v>0.5</v>
      </c>
      <c r="G49" s="353">
        <v>0.4</v>
      </c>
      <c r="H49" s="366">
        <v>0.01</v>
      </c>
      <c r="I49" s="353">
        <v>0</v>
      </c>
      <c r="J49" s="353">
        <v>0.5</v>
      </c>
      <c r="K49" s="237"/>
      <c r="L49" s="226"/>
      <c r="M49" s="226"/>
      <c r="N49" s="226"/>
      <c r="O49" s="226"/>
      <c r="P49" s="226"/>
      <c r="Q49" s="226"/>
    </row>
    <row r="50" spans="1:17">
      <c r="A50" s="353" t="s">
        <v>155</v>
      </c>
      <c r="B50" s="353"/>
      <c r="C50" s="358">
        <f>'Fairchem Organics Ltd.'!T59</f>
        <v>0.28414580302190717</v>
      </c>
      <c r="D50" s="366">
        <v>0.3</v>
      </c>
      <c r="E50" s="353">
        <v>0.1</v>
      </c>
      <c r="F50" s="366">
        <v>0.2</v>
      </c>
      <c r="G50" s="353">
        <v>0.33</v>
      </c>
      <c r="H50" s="366">
        <v>0</v>
      </c>
      <c r="I50" s="145">
        <v>0</v>
      </c>
      <c r="J50" s="353">
        <v>0.31</v>
      </c>
      <c r="K50" s="237"/>
      <c r="L50" s="226"/>
      <c r="M50" s="226"/>
      <c r="N50" s="226"/>
      <c r="O50" s="226"/>
      <c r="P50" s="226"/>
      <c r="Q50" s="226"/>
    </row>
    <row r="51" spans="1:17">
      <c r="A51" s="353" t="s">
        <v>156</v>
      </c>
      <c r="B51" s="353"/>
      <c r="C51" s="363">
        <v>5.2</v>
      </c>
      <c r="D51" s="372">
        <v>2.7</v>
      </c>
      <c r="E51" s="353">
        <v>2.7</v>
      </c>
      <c r="F51" s="366">
        <v>8.3000000000000007</v>
      </c>
      <c r="G51" s="353">
        <v>7.28</v>
      </c>
      <c r="H51" s="366">
        <v>24.34</v>
      </c>
      <c r="I51" s="353">
        <v>26.2</v>
      </c>
      <c r="J51" s="353">
        <v>4.29</v>
      </c>
      <c r="K51" s="237"/>
      <c r="L51" s="349"/>
      <c r="M51" s="346"/>
      <c r="N51" s="346"/>
      <c r="O51" s="346"/>
      <c r="P51" s="346"/>
      <c r="Q51" s="226"/>
    </row>
    <row r="52" spans="1:17">
      <c r="A52" s="145" t="s">
        <v>157</v>
      </c>
      <c r="C52" s="246">
        <f>'Fairchem Organics Ltd.'!T66</f>
        <v>0.1414553916607211</v>
      </c>
      <c r="D52" s="246"/>
      <c r="K52" s="228"/>
      <c r="L52" s="226"/>
      <c r="M52" s="226"/>
      <c r="N52" s="226"/>
      <c r="O52" s="226"/>
      <c r="P52" s="226"/>
      <c r="Q52" s="226"/>
    </row>
    <row r="53" spans="1:17">
      <c r="L53" s="226"/>
      <c r="M53" s="226"/>
      <c r="N53" s="226"/>
      <c r="O53" s="226"/>
      <c r="P53" s="226"/>
      <c r="Q53" s="226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G9" sqref="G9"/>
    </sheetView>
  </sheetViews>
  <sheetFormatPr defaultColWidth="8.81640625" defaultRowHeight="14.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Hp</cp:lastModifiedBy>
  <cp:lastPrinted>2022-02-17T18:25:26Z</cp:lastPrinted>
  <dcterms:created xsi:type="dcterms:W3CDTF">2017-09-19T08:05:47Z</dcterms:created>
  <dcterms:modified xsi:type="dcterms:W3CDTF">2025-08-22T09:00:42Z</dcterms:modified>
</cp:coreProperties>
</file>