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42a0939aee27bb1/Desktop/Man/"/>
    </mc:Choice>
  </mc:AlternateContent>
  <xr:revisionPtr revIDLastSave="0" documentId="8_{56B4F0B0-B6FC-404D-AF7F-8FDF2FC7EFD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cluding Other Income" sheetId="4" r:id="rId1"/>
    <sheet name="Sheet1" sheetId="7" state="hidden" r:id="rId2"/>
    <sheet name="Working" sheetId="6" state="hidden" r:id="rId3"/>
  </sheets>
  <definedNames>
    <definedName name="_xlnm.Print_Area" localSheetId="0">'Including Other Income'!$A$1:$X$67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4" i="4" l="1"/>
  <c r="M54" i="4"/>
  <c r="AA55" i="4"/>
  <c r="AA52" i="4"/>
  <c r="M16" i="4"/>
  <c r="L30" i="4"/>
  <c r="K26" i="4"/>
  <c r="M26" i="4"/>
  <c r="M30" i="4" s="1"/>
  <c r="L26" i="4"/>
  <c r="M25" i="4"/>
  <c r="M9" i="4"/>
  <c r="M19" i="4" s="1"/>
  <c r="L9" i="4"/>
  <c r="M6" i="4"/>
  <c r="L6" i="4"/>
  <c r="Z52" i="4"/>
  <c r="Z55" i="4" s="1"/>
  <c r="Z62" i="4"/>
  <c r="Z34" i="4"/>
  <c r="Z35" i="4"/>
  <c r="Z26" i="4"/>
  <c r="L56" i="4" s="1"/>
  <c r="L44" i="4"/>
  <c r="L34" i="4"/>
  <c r="L35" i="4"/>
  <c r="M27" i="4" l="1"/>
  <c r="Z65" i="4"/>
  <c r="X52" i="4"/>
  <c r="Y52" i="4"/>
  <c r="Z63" i="4" l="1"/>
  <c r="L16" i="4"/>
  <c r="Z23" i="4"/>
  <c r="Z46" i="4" s="1"/>
  <c r="Z13" i="4"/>
  <c r="Z10" i="4"/>
  <c r="Z6" i="4"/>
  <c r="Z53" i="4" s="1"/>
  <c r="Z56" i="4" s="1"/>
  <c r="L55" i="4" l="1"/>
  <c r="L57" i="4" s="1"/>
  <c r="Z57" i="4" s="1"/>
  <c r="Z60" i="4"/>
  <c r="Z61" i="4"/>
  <c r="Z47" i="4"/>
  <c r="L23" i="4"/>
  <c r="L25" i="4" s="1"/>
  <c r="L19" i="4"/>
  <c r="Z11" i="4"/>
  <c r="Z59" i="4" s="1"/>
  <c r="L48" i="4"/>
  <c r="L50" i="4" s="1"/>
  <c r="Z41" i="4"/>
  <c r="Y6" i="4"/>
  <c r="Y10" i="4"/>
  <c r="K55" i="4" s="1"/>
  <c r="K54" i="4"/>
  <c r="K48" i="4"/>
  <c r="K50" i="4" s="1"/>
  <c r="K40" i="4"/>
  <c r="K44" i="4"/>
  <c r="Y11" i="4" l="1"/>
  <c r="K45" i="4"/>
  <c r="L40" i="4" s="1"/>
  <c r="L45" i="4" s="1"/>
  <c r="K34" i="4"/>
  <c r="Z69" i="4" l="1"/>
  <c r="C11" i="7"/>
  <c r="D11" i="7"/>
  <c r="E11" i="7"/>
  <c r="F11" i="7"/>
  <c r="G11" i="7"/>
  <c r="H11" i="7"/>
  <c r="I11" i="7"/>
  <c r="J11" i="7"/>
  <c r="K11" i="7"/>
  <c r="B11" i="7"/>
  <c r="J13" i="7"/>
  <c r="I13" i="7"/>
  <c r="H13" i="7"/>
  <c r="C13" i="7"/>
  <c r="D13" i="7"/>
  <c r="E13" i="7"/>
  <c r="F13" i="7"/>
  <c r="G13" i="7"/>
  <c r="K13" i="7"/>
  <c r="B13" i="7"/>
  <c r="H9" i="7"/>
  <c r="G9" i="7"/>
  <c r="F9" i="7"/>
  <c r="C9" i="7"/>
  <c r="D9" i="7"/>
  <c r="E9" i="7"/>
  <c r="I9" i="7"/>
  <c r="J9" i="7"/>
  <c r="K9" i="7"/>
  <c r="B9" i="7"/>
  <c r="E7" i="7"/>
  <c r="D7" i="7"/>
  <c r="C7" i="7"/>
  <c r="F7" i="7"/>
  <c r="G7" i="7"/>
  <c r="H7" i="7"/>
  <c r="I7" i="7"/>
  <c r="J7" i="7"/>
  <c r="K7" i="7"/>
  <c r="B7" i="7"/>
  <c r="F23" i="7"/>
  <c r="K4" i="7"/>
  <c r="J4" i="7"/>
  <c r="I4" i="7"/>
  <c r="H4" i="7"/>
  <c r="G4" i="7"/>
  <c r="F4" i="7"/>
  <c r="E4" i="7"/>
  <c r="D4" i="7"/>
  <c r="C4" i="7"/>
  <c r="B4" i="7"/>
  <c r="L27" i="4" l="1"/>
  <c r="Z58" i="4"/>
  <c r="H5" i="7"/>
  <c r="H15" i="7" s="1"/>
  <c r="C5" i="7"/>
  <c r="C15" i="7" s="1"/>
  <c r="K5" i="7"/>
  <c r="K15" i="7" s="1"/>
  <c r="G5" i="7"/>
  <c r="G15" i="7" s="1"/>
  <c r="E5" i="7"/>
  <c r="E15" i="7" s="1"/>
  <c r="I5" i="7"/>
  <c r="I15" i="7" s="1"/>
  <c r="D5" i="7"/>
  <c r="D15" i="7" s="1"/>
  <c r="B5" i="7"/>
  <c r="B15" i="7" s="1"/>
  <c r="J5" i="7"/>
  <c r="J15" i="7" s="1"/>
  <c r="F5" i="7"/>
  <c r="F15" i="7" s="1"/>
  <c r="Y62" i="4"/>
  <c r="X62" i="4"/>
  <c r="Y55" i="4"/>
  <c r="X55" i="4"/>
  <c r="J54" i="4"/>
  <c r="E22" i="7" l="1"/>
  <c r="E25" i="7" s="1"/>
  <c r="E20" i="7"/>
  <c r="E18" i="7"/>
  <c r="K18" i="7"/>
  <c r="K20" i="7"/>
  <c r="G18" i="7"/>
  <c r="G20" i="7"/>
  <c r="I22" i="7"/>
  <c r="I25" i="7" s="1"/>
  <c r="I20" i="7"/>
  <c r="I18" i="7"/>
  <c r="C18" i="7"/>
  <c r="C20" i="7"/>
  <c r="F16" i="7"/>
  <c r="F18" i="7"/>
  <c r="F20" i="7"/>
  <c r="J16" i="7"/>
  <c r="J18" i="7"/>
  <c r="J20" i="7"/>
  <c r="B16" i="7"/>
  <c r="B20" i="7"/>
  <c r="B18" i="7"/>
  <c r="H16" i="7"/>
  <c r="H18" i="7"/>
  <c r="H20" i="7"/>
  <c r="D20" i="7"/>
  <c r="D18" i="7"/>
  <c r="H22" i="7"/>
  <c r="H25" i="7" s="1"/>
  <c r="D22" i="7"/>
  <c r="D24" i="7" s="1"/>
  <c r="D16" i="7"/>
  <c r="I16" i="7"/>
  <c r="E16" i="7"/>
  <c r="J22" i="7"/>
  <c r="J25" i="7" s="1"/>
  <c r="B22" i="7"/>
  <c r="B24" i="7" s="1"/>
  <c r="F22" i="7"/>
  <c r="F25" i="7" s="1"/>
  <c r="H24" i="7"/>
  <c r="G22" i="7"/>
  <c r="G16" i="7"/>
  <c r="C22" i="7"/>
  <c r="C16" i="7"/>
  <c r="K22" i="7"/>
  <c r="K16" i="7"/>
  <c r="E24" i="7"/>
  <c r="D25" i="7"/>
  <c r="J48" i="4"/>
  <c r="J50" i="4" s="1"/>
  <c r="Y13" i="4"/>
  <c r="X13" i="4"/>
  <c r="X10" i="4"/>
  <c r="K35" i="4"/>
  <c r="K9" i="4"/>
  <c r="K6" i="4"/>
  <c r="L7" i="4" s="1"/>
  <c r="J35" i="4"/>
  <c r="J34" i="4"/>
  <c r="J9" i="4"/>
  <c r="J6" i="4"/>
  <c r="X63" i="4" l="1"/>
  <c r="I24" i="7"/>
  <c r="J24" i="7"/>
  <c r="K7" i="4"/>
  <c r="J16" i="4"/>
  <c r="J23" i="4" s="1"/>
  <c r="F24" i="7"/>
  <c r="B25" i="7"/>
  <c r="B28" i="7" s="1"/>
  <c r="D28" i="7"/>
  <c r="E28" i="7"/>
  <c r="J28" i="7"/>
  <c r="I28" i="7"/>
  <c r="C25" i="7"/>
  <c r="C24" i="7"/>
  <c r="H28" i="7"/>
  <c r="F28" i="7"/>
  <c r="K25" i="7"/>
  <c r="K24" i="7"/>
  <c r="G25" i="7"/>
  <c r="G24" i="7"/>
  <c r="X68" i="4"/>
  <c r="Y63" i="4"/>
  <c r="K16" i="4"/>
  <c r="L17" i="4" s="1"/>
  <c r="Y65" i="4"/>
  <c r="X65" i="4"/>
  <c r="Y35" i="4"/>
  <c r="X35" i="4"/>
  <c r="X34" i="4" s="1"/>
  <c r="X26" i="4"/>
  <c r="X23" i="4" s="1"/>
  <c r="Y26" i="4"/>
  <c r="X6" i="4"/>
  <c r="Y34" i="4" l="1"/>
  <c r="Z64" i="4"/>
  <c r="Z66" i="4" s="1"/>
  <c r="K17" i="4"/>
  <c r="Y23" i="4"/>
  <c r="K56" i="4"/>
  <c r="K57" i="4" s="1"/>
  <c r="K19" i="4"/>
  <c r="J19" i="4"/>
  <c r="X41" i="4"/>
  <c r="Y64" i="4"/>
  <c r="Y66" i="4" s="1"/>
  <c r="Y61" i="4"/>
  <c r="K23" i="4"/>
  <c r="J56" i="4"/>
  <c r="Y47" i="4"/>
  <c r="K28" i="7"/>
  <c r="G28" i="7"/>
  <c r="C28" i="7"/>
  <c r="X61" i="4"/>
  <c r="X53" i="4"/>
  <c r="X56" i="4" s="1"/>
  <c r="X11" i="4"/>
  <c r="X59" i="4" s="1"/>
  <c r="Y53" i="4"/>
  <c r="Y56" i="4" s="1"/>
  <c r="Y59" i="4"/>
  <c r="Y57" i="4"/>
  <c r="Y60" i="4"/>
  <c r="X60" i="4"/>
  <c r="J26" i="4"/>
  <c r="J25" i="4"/>
  <c r="X69" i="4" s="1"/>
  <c r="X71" i="4" s="1"/>
  <c r="T35" i="4"/>
  <c r="U38" i="4"/>
  <c r="V35" i="4"/>
  <c r="V38" i="4"/>
  <c r="W38" i="4"/>
  <c r="W35" i="4"/>
  <c r="X64" i="4" s="1"/>
  <c r="X66" i="4" s="1"/>
  <c r="Y41" i="4" l="1"/>
  <c r="Z67" i="4"/>
  <c r="Y46" i="4"/>
  <c r="K27" i="4"/>
  <c r="K25" i="4"/>
  <c r="Y69" i="4" s="1"/>
  <c r="Y71" i="4" s="1"/>
  <c r="Y67" i="4"/>
  <c r="X58" i="4"/>
  <c r="J27" i="4"/>
  <c r="J30" i="4"/>
  <c r="G48" i="4"/>
  <c r="G50" i="4" s="1"/>
  <c r="H48" i="4"/>
  <c r="H50" i="4" s="1"/>
  <c r="I48" i="4"/>
  <c r="I50" i="4" s="1"/>
  <c r="F48" i="4"/>
  <c r="F50" i="4" s="1"/>
  <c r="Y58" i="4" l="1"/>
  <c r="K30" i="4"/>
  <c r="L31" i="4" s="1"/>
  <c r="J44" i="4"/>
  <c r="J55" i="4"/>
  <c r="T34" i="4"/>
  <c r="F24" i="4"/>
  <c r="J57" i="4" l="1"/>
  <c r="X57" i="4" s="1"/>
  <c r="K31" i="4"/>
  <c r="X47" i="4"/>
  <c r="X46" i="4"/>
  <c r="V20" i="4"/>
  <c r="V19" i="4"/>
  <c r="V14" i="4"/>
  <c r="W14" i="4"/>
  <c r="W22" i="4"/>
  <c r="V22" i="4"/>
  <c r="U22" i="4"/>
  <c r="T22" i="4"/>
  <c r="W21" i="4"/>
  <c r="U21" i="4"/>
  <c r="T21" i="4"/>
  <c r="W20" i="4"/>
  <c r="U20" i="4"/>
  <c r="T20" i="4"/>
  <c r="W19" i="4"/>
  <c r="U19" i="4"/>
  <c r="T19" i="4"/>
  <c r="W16" i="4"/>
  <c r="V16" i="4"/>
  <c r="U16" i="4"/>
  <c r="T16" i="4"/>
  <c r="W15" i="4"/>
  <c r="V15" i="4"/>
  <c r="U15" i="4"/>
  <c r="U14" i="4"/>
  <c r="T14" i="4"/>
  <c r="V13" i="4" l="1"/>
  <c r="T13" i="4"/>
  <c r="U13" i="4"/>
  <c r="W13" i="4"/>
  <c r="T52" i="4"/>
  <c r="T55" i="4" s="1"/>
  <c r="U52" i="4"/>
  <c r="U55" i="4" s="1"/>
  <c r="V52" i="4"/>
  <c r="V55" i="4" s="1"/>
  <c r="W52" i="4"/>
  <c r="W55" i="4" s="1"/>
  <c r="W62" i="4"/>
  <c r="V62" i="4"/>
  <c r="U62" i="4"/>
  <c r="T62" i="4"/>
  <c r="F40" i="4" l="1"/>
  <c r="I9" i="4" l="1"/>
  <c r="W65" i="4" l="1"/>
  <c r="W64" i="4"/>
  <c r="I34" i="4"/>
  <c r="K15" i="6" l="1"/>
  <c r="K4" i="6"/>
  <c r="D7" i="6"/>
  <c r="I44" i="4" l="1"/>
  <c r="H44" i="4"/>
  <c r="I54" i="4" l="1"/>
  <c r="I56" i="4"/>
  <c r="W6" i="4" l="1"/>
  <c r="W10" i="4"/>
  <c r="W23" i="4"/>
  <c r="W34" i="4"/>
  <c r="W53" i="4" l="1"/>
  <c r="W56" i="4" s="1"/>
  <c r="W11" i="4"/>
  <c r="W41" i="4"/>
  <c r="X67" i="4" s="1"/>
  <c r="W46" i="4"/>
  <c r="W47" i="4"/>
  <c r="I55" i="4"/>
  <c r="I57" i="4" s="1"/>
  <c r="W68" i="4"/>
  <c r="W61" i="4"/>
  <c r="W60" i="4"/>
  <c r="E44" i="4" l="1"/>
  <c r="I35" i="4" l="1"/>
  <c r="I6" i="4"/>
  <c r="J7" i="4" l="1"/>
  <c r="L8" i="4"/>
  <c r="I16" i="4"/>
  <c r="L18" i="4" s="1"/>
  <c r="W63" i="4"/>
  <c r="W66" i="4" s="1"/>
  <c r="J17" i="4" l="1"/>
  <c r="I19" i="4"/>
  <c r="I23" i="4"/>
  <c r="I26" i="4" s="1"/>
  <c r="W58" i="4" s="1"/>
  <c r="W59" i="4"/>
  <c r="W57" i="4"/>
  <c r="I27" i="4" l="1"/>
  <c r="I30" i="4"/>
  <c r="I25" i="4"/>
  <c r="W69" i="4" s="1"/>
  <c r="W71" i="4" s="1"/>
  <c r="J31" i="4" l="1"/>
  <c r="L32" i="4"/>
  <c r="M46" i="6"/>
  <c r="L46" i="6"/>
  <c r="K46" i="6"/>
  <c r="J46" i="6"/>
  <c r="I46" i="6"/>
  <c r="M45" i="6"/>
  <c r="L45" i="6"/>
  <c r="K45" i="6"/>
  <c r="J45" i="6"/>
  <c r="I45" i="6"/>
  <c r="M41" i="6"/>
  <c r="L41" i="6"/>
  <c r="K41" i="6"/>
  <c r="J41" i="6"/>
  <c r="I41" i="6"/>
  <c r="M40" i="6"/>
  <c r="L40" i="6"/>
  <c r="K40" i="6"/>
  <c r="J40" i="6"/>
  <c r="I40" i="6"/>
  <c r="M39" i="6"/>
  <c r="L39" i="6"/>
  <c r="K39" i="6"/>
  <c r="J39" i="6"/>
  <c r="I39" i="6"/>
  <c r="M38" i="6"/>
  <c r="L38" i="6"/>
  <c r="K38" i="6"/>
  <c r="J38" i="6"/>
  <c r="I38" i="6"/>
  <c r="M33" i="6"/>
  <c r="L33" i="6"/>
  <c r="K33" i="6"/>
  <c r="J33" i="6"/>
  <c r="I33" i="6"/>
  <c r="M29" i="6"/>
  <c r="M31" i="6" s="1"/>
  <c r="L29" i="6"/>
  <c r="L31" i="6" s="1"/>
  <c r="K29" i="6"/>
  <c r="K31" i="6" s="1"/>
  <c r="J29" i="6"/>
  <c r="J31" i="6" s="1"/>
  <c r="I29" i="6"/>
  <c r="I31" i="6" s="1"/>
  <c r="M28" i="6"/>
  <c r="M30" i="6" s="1"/>
  <c r="L28" i="6"/>
  <c r="L30" i="6" s="1"/>
  <c r="K28" i="6"/>
  <c r="K30" i="6" s="1"/>
  <c r="J28" i="6"/>
  <c r="J30" i="6" s="1"/>
  <c r="I28" i="6"/>
  <c r="I30" i="6" s="1"/>
  <c r="M25" i="6"/>
  <c r="L25" i="6"/>
  <c r="K25" i="6"/>
  <c r="J25" i="6"/>
  <c r="I25" i="6"/>
  <c r="M23" i="6"/>
  <c r="L23" i="6"/>
  <c r="K23" i="6"/>
  <c r="J23" i="6"/>
  <c r="I23" i="6"/>
  <c r="F25" i="6"/>
  <c r="E25" i="6"/>
  <c r="D25" i="6"/>
  <c r="C25" i="6"/>
  <c r="B25" i="6"/>
  <c r="M18" i="6"/>
  <c r="M43" i="6" s="1"/>
  <c r="L18" i="6"/>
  <c r="L43" i="6" s="1"/>
  <c r="K18" i="6"/>
  <c r="K43" i="6" s="1"/>
  <c r="J18" i="6"/>
  <c r="J43" i="6" s="1"/>
  <c r="I18" i="6"/>
  <c r="I43" i="6" s="1"/>
  <c r="F11" i="6"/>
  <c r="E11" i="6"/>
  <c r="D11" i="6"/>
  <c r="C11" i="6"/>
  <c r="B11" i="6"/>
  <c r="F10" i="6"/>
  <c r="E10" i="6"/>
  <c r="D10" i="6"/>
  <c r="C10" i="6"/>
  <c r="B10" i="6"/>
  <c r="M7" i="6"/>
  <c r="M34" i="6" s="1"/>
  <c r="L7" i="6"/>
  <c r="L34" i="6" s="1"/>
  <c r="K7" i="6"/>
  <c r="K34" i="6" s="1"/>
  <c r="J7" i="6"/>
  <c r="J34" i="6" s="1"/>
  <c r="I7" i="6"/>
  <c r="I34" i="6" s="1"/>
  <c r="M6" i="6"/>
  <c r="M24" i="6" s="1"/>
  <c r="L6" i="6"/>
  <c r="L24" i="6" s="1"/>
  <c r="K6" i="6"/>
  <c r="K44" i="6" s="1"/>
  <c r="J6" i="6"/>
  <c r="J36" i="6" s="1"/>
  <c r="I6" i="6"/>
  <c r="I24" i="6" s="1"/>
  <c r="F5" i="6"/>
  <c r="E5" i="6"/>
  <c r="D5" i="6"/>
  <c r="C5" i="6"/>
  <c r="B5" i="6"/>
  <c r="L26" i="6" l="1"/>
  <c r="L32" i="6" s="1"/>
  <c r="I42" i="6"/>
  <c r="I26" i="6"/>
  <c r="I32" i="6" s="1"/>
  <c r="L35" i="6"/>
  <c r="L44" i="6"/>
  <c r="M26" i="6"/>
  <c r="M32" i="6" s="1"/>
  <c r="K36" i="6"/>
  <c r="F12" i="6"/>
  <c r="E12" i="6"/>
  <c r="D12" i="6"/>
  <c r="B12" i="6"/>
  <c r="K42" i="6"/>
  <c r="L42" i="6"/>
  <c r="M42" i="6"/>
  <c r="C12" i="6"/>
  <c r="J42" i="6"/>
  <c r="K24" i="6"/>
  <c r="K26" i="6" s="1"/>
  <c r="K32" i="6" s="1"/>
  <c r="I35" i="6"/>
  <c r="M35" i="6"/>
  <c r="L36" i="6"/>
  <c r="I44" i="6"/>
  <c r="M44" i="6"/>
  <c r="J24" i="6"/>
  <c r="J26" i="6" s="1"/>
  <c r="J32" i="6" s="1"/>
  <c r="J35" i="6"/>
  <c r="I36" i="6"/>
  <c r="M36" i="6"/>
  <c r="J44" i="6"/>
  <c r="K35" i="6"/>
  <c r="G35" i="4" l="1"/>
  <c r="H35" i="4"/>
  <c r="G44" i="4"/>
  <c r="S64" i="4"/>
  <c r="R64" i="4"/>
  <c r="D56" i="4"/>
  <c r="E56" i="4"/>
  <c r="H54" i="4"/>
  <c r="R52" i="4"/>
  <c r="R55" i="4" s="1"/>
  <c r="S52" i="4"/>
  <c r="S55" i="4" s="1"/>
  <c r="V23" i="4"/>
  <c r="V6" i="4"/>
  <c r="V53" i="4" s="1"/>
  <c r="V56" i="4" s="1"/>
  <c r="H34" i="4"/>
  <c r="U6" i="4" l="1"/>
  <c r="U53" i="4" s="1"/>
  <c r="U56" i="4" s="1"/>
  <c r="R34" i="4" l="1"/>
  <c r="S34" i="4"/>
  <c r="U34" i="4"/>
  <c r="V34" i="4"/>
  <c r="V41" i="4" s="1"/>
  <c r="R10" i="4"/>
  <c r="S10" i="4"/>
  <c r="T10" i="4"/>
  <c r="T68" i="4" s="1"/>
  <c r="U10" i="4"/>
  <c r="V10" i="4"/>
  <c r="R6" i="4"/>
  <c r="S6" i="4"/>
  <c r="S53" i="4" s="1"/>
  <c r="S56" i="4" s="1"/>
  <c r="T6" i="4"/>
  <c r="T53" i="4" s="1"/>
  <c r="T56" i="4" s="1"/>
  <c r="C56" i="4"/>
  <c r="C54" i="4"/>
  <c r="D54" i="4"/>
  <c r="E54" i="4"/>
  <c r="F54" i="4"/>
  <c r="G54" i="4"/>
  <c r="C44" i="4"/>
  <c r="C45" i="4" s="1"/>
  <c r="D44" i="4"/>
  <c r="D45" i="4" s="1"/>
  <c r="E45" i="4"/>
  <c r="F44" i="4"/>
  <c r="C34" i="4"/>
  <c r="D34" i="4"/>
  <c r="E34" i="4"/>
  <c r="F34" i="4"/>
  <c r="D9" i="4"/>
  <c r="E9" i="4"/>
  <c r="F9" i="4"/>
  <c r="G9" i="4"/>
  <c r="H9" i="4"/>
  <c r="D6" i="4"/>
  <c r="E6" i="4"/>
  <c r="F6" i="4"/>
  <c r="G6" i="4"/>
  <c r="J8" i="4" s="1"/>
  <c r="H6" i="4"/>
  <c r="K8" i="4" s="1"/>
  <c r="F7" i="4" l="1"/>
  <c r="V65" i="4"/>
  <c r="V64" i="4"/>
  <c r="U65" i="4"/>
  <c r="U64" i="4"/>
  <c r="T64" i="4"/>
  <c r="T47" i="4"/>
  <c r="U63" i="4"/>
  <c r="V11" i="4"/>
  <c r="V68" i="4"/>
  <c r="V61" i="4"/>
  <c r="V60" i="4"/>
  <c r="T61" i="4"/>
  <c r="T60" i="4"/>
  <c r="H16" i="4"/>
  <c r="K18" i="4" s="1"/>
  <c r="I8" i="4"/>
  <c r="T63" i="4"/>
  <c r="U68" i="4"/>
  <c r="U61" i="4"/>
  <c r="U60" i="4"/>
  <c r="V63" i="4"/>
  <c r="W67" i="4"/>
  <c r="V47" i="4"/>
  <c r="F45" i="4"/>
  <c r="G40" i="4" s="1"/>
  <c r="I7" i="4"/>
  <c r="G16" i="4"/>
  <c r="J18" i="4" s="1"/>
  <c r="F55" i="4"/>
  <c r="S63" i="4"/>
  <c r="S68" i="4"/>
  <c r="S61" i="4"/>
  <c r="E55" i="4"/>
  <c r="D55" i="4"/>
  <c r="R68" i="4"/>
  <c r="R61" i="4"/>
  <c r="H8" i="4"/>
  <c r="R63" i="4"/>
  <c r="H55" i="4"/>
  <c r="G8" i="4"/>
  <c r="G55" i="4"/>
  <c r="U11" i="4"/>
  <c r="E16" i="4"/>
  <c r="S60" i="4"/>
  <c r="H7" i="4"/>
  <c r="E7" i="4"/>
  <c r="F16" i="4"/>
  <c r="F19" i="4" s="1"/>
  <c r="D16" i="4"/>
  <c r="H19" i="4" l="1"/>
  <c r="U66" i="4"/>
  <c r="G19" i="4"/>
  <c r="V66" i="4"/>
  <c r="V59" i="4"/>
  <c r="U59" i="4"/>
  <c r="H17" i="4"/>
  <c r="I17" i="4"/>
  <c r="I18" i="4"/>
  <c r="G23" i="4"/>
  <c r="H18" i="4"/>
  <c r="G18" i="4"/>
  <c r="F23" i="4"/>
  <c r="F26" i="4" s="1"/>
  <c r="T58" i="4" s="1"/>
  <c r="F17" i="4"/>
  <c r="D23" i="4"/>
  <c r="D19" i="4"/>
  <c r="E23" i="4"/>
  <c r="E19" i="4"/>
  <c r="E17" i="4"/>
  <c r="H23" i="4"/>
  <c r="G25" i="4" l="1"/>
  <c r="U69" i="4" s="1"/>
  <c r="U71" i="4" s="1"/>
  <c r="G26" i="4"/>
  <c r="U58" i="4" s="1"/>
  <c r="H25" i="4"/>
  <c r="V69" i="4" s="1"/>
  <c r="V71" i="4" s="1"/>
  <c r="H26" i="4"/>
  <c r="V58" i="4" s="1"/>
  <c r="D26" i="4"/>
  <c r="R58" i="4" s="1"/>
  <c r="D25" i="4"/>
  <c r="E26" i="4"/>
  <c r="S58" i="4" s="1"/>
  <c r="E25" i="4"/>
  <c r="F25" i="4"/>
  <c r="T69" i="4" s="1"/>
  <c r="T71" i="4" s="1"/>
  <c r="G27" i="4" l="1"/>
  <c r="H30" i="4"/>
  <c r="K32" i="4" s="1"/>
  <c r="G30" i="4"/>
  <c r="J32" i="4" s="1"/>
  <c r="H27" i="4"/>
  <c r="F27" i="4"/>
  <c r="F30" i="4"/>
  <c r="I32" i="4" s="1"/>
  <c r="E30" i="4"/>
  <c r="E27" i="4"/>
  <c r="D30" i="4"/>
  <c r="D27" i="4"/>
  <c r="S24" i="4"/>
  <c r="R24" i="4"/>
  <c r="T65" i="4" l="1"/>
  <c r="T66" i="4" s="1"/>
  <c r="I31" i="4"/>
  <c r="G32" i="4"/>
  <c r="H31" i="4"/>
  <c r="R65" i="4"/>
  <c r="R66" i="4" s="1"/>
  <c r="S65" i="4"/>
  <c r="S66" i="4" s="1"/>
  <c r="E31" i="4"/>
  <c r="R23" i="4"/>
  <c r="R41" i="4" s="1"/>
  <c r="S23" i="4"/>
  <c r="S41" i="4" s="1"/>
  <c r="F31" i="4"/>
  <c r="H32" i="4"/>
  <c r="S67" i="4" l="1"/>
  <c r="R46" i="4"/>
  <c r="F56" i="4" l="1"/>
  <c r="G56" i="4"/>
  <c r="U23" i="4"/>
  <c r="T23" i="4"/>
  <c r="T41" i="4" s="1"/>
  <c r="Q65" i="4"/>
  <c r="Q34" i="4"/>
  <c r="Q23" i="4"/>
  <c r="Q10" i="4"/>
  <c r="Q6" i="4"/>
  <c r="Q11" i="4" s="1"/>
  <c r="S11" i="4"/>
  <c r="S59" i="4" s="1"/>
  <c r="T11" i="4"/>
  <c r="T59" i="4" s="1"/>
  <c r="C9" i="4"/>
  <c r="C6" i="4"/>
  <c r="U41" i="4" l="1"/>
  <c r="V67" i="4" s="1"/>
  <c r="T46" i="4"/>
  <c r="T67" i="4"/>
  <c r="Q41" i="4"/>
  <c r="R67" i="4" s="1"/>
  <c r="D7" i="4"/>
  <c r="C55" i="4"/>
  <c r="Q68" i="4"/>
  <c r="R47" i="4"/>
  <c r="R11" i="4"/>
  <c r="R59" i="4" s="1"/>
  <c r="C16" i="4"/>
  <c r="C23" i="4" s="1"/>
  <c r="S47" i="4"/>
  <c r="U47" i="4"/>
  <c r="Q47" i="4"/>
  <c r="G7" i="4"/>
  <c r="P23" i="4"/>
  <c r="U67" i="4" l="1"/>
  <c r="C19" i="4"/>
  <c r="D17" i="4"/>
  <c r="G17" i="4"/>
  <c r="C26" i="4"/>
  <c r="C25" i="4"/>
  <c r="Q63" i="4"/>
  <c r="B6" i="4"/>
  <c r="C7" i="4" s="1"/>
  <c r="B56" i="4"/>
  <c r="Q64" i="4"/>
  <c r="B54" i="4"/>
  <c r="S62" i="4"/>
  <c r="R62" i="4"/>
  <c r="Q62" i="4"/>
  <c r="P62" i="4"/>
  <c r="Q55" i="4"/>
  <c r="P52" i="4"/>
  <c r="P55" i="4" s="1"/>
  <c r="G45" i="4"/>
  <c r="H40" i="4" s="1"/>
  <c r="H45" i="4" s="1"/>
  <c r="B44" i="4"/>
  <c r="B45" i="4" s="1"/>
  <c r="G34" i="4"/>
  <c r="P34" i="4"/>
  <c r="H56" i="4"/>
  <c r="P46" i="4"/>
  <c r="P10" i="4"/>
  <c r="B9" i="4"/>
  <c r="R53" i="4"/>
  <c r="R56" i="4" s="1"/>
  <c r="Q53" i="4"/>
  <c r="Q56" i="4" s="1"/>
  <c r="P6" i="4"/>
  <c r="P11" i="4" s="1"/>
  <c r="I40" i="4" l="1"/>
  <c r="I45" i="4" s="1"/>
  <c r="J40" i="4" s="1"/>
  <c r="P47" i="4"/>
  <c r="B16" i="4"/>
  <c r="C30" i="4"/>
  <c r="Q58" i="4"/>
  <c r="C57" i="4"/>
  <c r="Q57" i="4" s="1"/>
  <c r="G57" i="4"/>
  <c r="U57" i="4" s="1"/>
  <c r="P41" i="4"/>
  <c r="P53" i="4"/>
  <c r="P56" i="4" s="1"/>
  <c r="Q66" i="4"/>
  <c r="B55" i="4"/>
  <c r="B57" i="4" s="1"/>
  <c r="P60" i="4"/>
  <c r="R60" i="4"/>
  <c r="Q46" i="4"/>
  <c r="S46" i="4"/>
  <c r="U46" i="4"/>
  <c r="P61" i="4"/>
  <c r="Q61" i="4"/>
  <c r="Q60" i="4"/>
  <c r="P12" i="4" l="1"/>
  <c r="D31" i="4"/>
  <c r="B23" i="4"/>
  <c r="C17" i="4"/>
  <c r="F57" i="4"/>
  <c r="T57" i="4" s="1"/>
  <c r="P57" i="4"/>
  <c r="B19" i="4"/>
  <c r="E57" i="4"/>
  <c r="S57" i="4" s="1"/>
  <c r="D57" i="4"/>
  <c r="R57" i="4" s="1"/>
  <c r="H57" i="4"/>
  <c r="V57" i="4" s="1"/>
  <c r="Q67" i="4"/>
  <c r="V46" i="4"/>
  <c r="Q59" i="4"/>
  <c r="B26" i="4" l="1"/>
  <c r="B27" i="4" s="1"/>
  <c r="B48" i="4"/>
  <c r="P59" i="4"/>
  <c r="B25" i="4"/>
  <c r="D48" i="4"/>
  <c r="D50" i="4" s="1"/>
  <c r="E48" i="4"/>
  <c r="E50" i="4" s="1"/>
  <c r="C48" i="4"/>
  <c r="C50" i="4" s="1"/>
  <c r="B30" i="4" l="1"/>
  <c r="C31" i="4" s="1"/>
  <c r="P58" i="4"/>
  <c r="C27" i="4"/>
  <c r="G31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Admin</author>
  </authors>
  <commentList>
    <comment ref="E26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Administrator: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includes prior period item
</t>
        </r>
      </text>
    </comment>
    <comment ref="B45" authorId="1" shapeId="0" xr:uid="{00000000-0006-0000-0000-000002000000}">
      <text>
        <r>
          <rPr>
            <b/>
            <sz val="9"/>
            <color rgb="FF000000"/>
            <rFont val="Tahoma"/>
            <family val="2"/>
          </rPr>
          <t>Includes effect of changes in forex rateson cash and cash equivalents</t>
        </r>
      </text>
    </comment>
    <comment ref="C45" authorId="1" shapeId="0" xr:uid="{00000000-0006-0000-0000-000003000000}">
      <text>
        <r>
          <rPr>
            <b/>
            <sz val="9"/>
            <color rgb="FF000000"/>
            <rFont val="Tahoma"/>
            <family val="2"/>
          </rPr>
          <t>Includes effect of changes in forex rateson cash and cash equivalents</t>
        </r>
      </text>
    </comment>
    <comment ref="D45" authorId="1" shapeId="0" xr:uid="{00000000-0006-0000-0000-000004000000}">
      <text>
        <r>
          <rPr>
            <b/>
            <sz val="9"/>
            <color rgb="FF000000"/>
            <rFont val="Tahoma"/>
            <family val="2"/>
          </rPr>
          <t>Includes effect of changes in forex rateson cash and cash equivalents</t>
        </r>
      </text>
    </comment>
    <comment ref="E45" authorId="1" shapeId="0" xr:uid="{00000000-0006-0000-0000-000005000000}">
      <text>
        <r>
          <rPr>
            <b/>
            <sz val="9"/>
            <color rgb="FF000000"/>
            <rFont val="Tahoma"/>
            <family val="2"/>
          </rPr>
          <t>Includes effect of changes in forex rateson cash and cash equivalents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K15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Non CL+ CL - Long Term Debt - Current Tax Liab</t>
        </r>
      </text>
    </comment>
  </commentList>
</comments>
</file>

<file path=xl/sharedStrings.xml><?xml version="1.0" encoding="utf-8"?>
<sst xmlns="http://schemas.openxmlformats.org/spreadsheetml/2006/main" count="316" uniqueCount="165">
  <si>
    <t>Income</t>
  </si>
  <si>
    <t>Growth (%)</t>
  </si>
  <si>
    <t>Expenditure</t>
  </si>
  <si>
    <t>EBITDA</t>
  </si>
  <si>
    <t>EBITDA margin (%)</t>
  </si>
  <si>
    <t>Other Income</t>
  </si>
  <si>
    <t>Depreciation</t>
  </si>
  <si>
    <t>Interest</t>
  </si>
  <si>
    <t>Excp Item</t>
  </si>
  <si>
    <t>PBT</t>
  </si>
  <si>
    <t>Tax</t>
  </si>
  <si>
    <t>Effective tax rate (%)</t>
  </si>
  <si>
    <t>PAT</t>
  </si>
  <si>
    <t>Minority Interest</t>
  </si>
  <si>
    <t>PAT After MI</t>
  </si>
  <si>
    <t>Cash Flow</t>
  </si>
  <si>
    <t>Cash and Cash Equivalents at Beginning of the year</t>
  </si>
  <si>
    <t>Cash Flow From Operating Activities</t>
  </si>
  <si>
    <t>Cash Flow From Financing Activities</t>
  </si>
  <si>
    <t>Net Inc./(Dec.) in Cash and Cash Equivalent</t>
  </si>
  <si>
    <t>Our Calculations</t>
  </si>
  <si>
    <t xml:space="preserve">Operating Cash Inflow </t>
  </si>
  <si>
    <t>Capital Expenditure</t>
  </si>
  <si>
    <t>FCF</t>
  </si>
  <si>
    <t xml:space="preserve"> </t>
  </si>
  <si>
    <t>FY13</t>
  </si>
  <si>
    <t>FY14</t>
  </si>
  <si>
    <t>FY15</t>
  </si>
  <si>
    <t>FY16</t>
  </si>
  <si>
    <t>Share Capital</t>
  </si>
  <si>
    <t>Reserves &amp; Surplus</t>
  </si>
  <si>
    <t>Networth/Shareholders Fund/ Book Value</t>
  </si>
  <si>
    <t>Minority Int</t>
  </si>
  <si>
    <t>Long Term Debt</t>
  </si>
  <si>
    <t>Short Term Debt</t>
  </si>
  <si>
    <t>Loans</t>
  </si>
  <si>
    <t>Capital Employed</t>
  </si>
  <si>
    <t>Fixed Assets</t>
  </si>
  <si>
    <t>Inventories</t>
  </si>
  <si>
    <t>Cash &amp; Bank Balances</t>
  </si>
  <si>
    <t>CURRENT LIABILITIES &amp; PROVISIONS</t>
  </si>
  <si>
    <t>NET CURRENT ASSETS</t>
  </si>
  <si>
    <t>Deferred Tax Liability</t>
  </si>
  <si>
    <t>Key ratios</t>
  </si>
  <si>
    <t>CMP(Rs)</t>
  </si>
  <si>
    <t>EPS (Rs)</t>
  </si>
  <si>
    <t>BVPS (Rs)</t>
  </si>
  <si>
    <t>DPS (Rs)</t>
  </si>
  <si>
    <t>P/E (x)</t>
  </si>
  <si>
    <t>P/BV (x)</t>
  </si>
  <si>
    <t>EV/EBIDTA (x)</t>
  </si>
  <si>
    <t>RoE (%)</t>
  </si>
  <si>
    <t>RoCE (%)</t>
  </si>
  <si>
    <t>Gross D/E(x)</t>
  </si>
  <si>
    <t>Net D/E (x)</t>
  </si>
  <si>
    <t>Dividend Yield</t>
  </si>
  <si>
    <t>Debtor Days</t>
  </si>
  <si>
    <t>Creditor Days</t>
  </si>
  <si>
    <t>Inventory Days</t>
  </si>
  <si>
    <t>Working Capital Days</t>
  </si>
  <si>
    <t>Employee Benefit Expense</t>
  </si>
  <si>
    <t>Other Current Assets</t>
  </si>
  <si>
    <t>Current Investment</t>
  </si>
  <si>
    <t>Other Expenses</t>
  </si>
  <si>
    <t>Other Comprehensive Income</t>
  </si>
  <si>
    <t>Short term Provisions</t>
  </si>
  <si>
    <t>Long term Provision</t>
  </si>
  <si>
    <t>Cash and Cash Equivalents at End of the year</t>
  </si>
  <si>
    <t>No. of Shares</t>
  </si>
  <si>
    <t>Market Cap</t>
  </si>
  <si>
    <t>Cash</t>
  </si>
  <si>
    <t>EV</t>
  </si>
  <si>
    <t>Total Debt</t>
  </si>
  <si>
    <t>Other Current liabilities</t>
  </si>
  <si>
    <t>Cash Flow from Investing Activities</t>
  </si>
  <si>
    <t>PAT margin (%)</t>
  </si>
  <si>
    <t>Cash Conversion cycle</t>
  </si>
  <si>
    <t>Trade Payables</t>
  </si>
  <si>
    <t>Other Financial liabilities</t>
  </si>
  <si>
    <t>Interest Cost</t>
  </si>
  <si>
    <t>Gross Block</t>
  </si>
  <si>
    <t>TOTAL ASSETS</t>
  </si>
  <si>
    <t>TOTAL LIABILITIES</t>
  </si>
  <si>
    <t>Balance Sheet</t>
  </si>
  <si>
    <t>Income Statement</t>
  </si>
  <si>
    <t>Short term loans and provisions</t>
  </si>
  <si>
    <t>Other Bank balances</t>
  </si>
  <si>
    <t>cost of materials consumed</t>
  </si>
  <si>
    <t>Diluted EPS</t>
  </si>
  <si>
    <t>FY19</t>
  </si>
  <si>
    <t>CAGR (%) - 3 Years</t>
  </si>
  <si>
    <t>Other financial assets</t>
  </si>
  <si>
    <t>Assets classified as held for sale</t>
  </si>
  <si>
    <t>CAGR (%)- 3 Years</t>
  </si>
  <si>
    <t>Gokul Agro</t>
  </si>
  <si>
    <t>IFB Agro</t>
  </si>
  <si>
    <t>Globus Spirits</t>
  </si>
  <si>
    <t>BCL Industries</t>
  </si>
  <si>
    <t xml:space="preserve">BCL </t>
  </si>
  <si>
    <t xml:space="preserve">Ruchi Soya </t>
  </si>
  <si>
    <t>Net Worth</t>
  </si>
  <si>
    <t>CAGR 3 YRS</t>
  </si>
  <si>
    <t>Purchase</t>
  </si>
  <si>
    <t>Change in Inventories</t>
  </si>
  <si>
    <t>Non Current Asset</t>
  </si>
  <si>
    <t>Current Asset</t>
  </si>
  <si>
    <t>Inventories 2019</t>
  </si>
  <si>
    <t>Sundry Debtors 2019</t>
  </si>
  <si>
    <t>Current Liabilites</t>
  </si>
  <si>
    <t>Trade Payables 2019</t>
  </si>
  <si>
    <t>DPS</t>
  </si>
  <si>
    <t>Asset T/O ratio</t>
  </si>
  <si>
    <t>Inerest Coverage Ratio</t>
  </si>
  <si>
    <t>FY20</t>
  </si>
  <si>
    <t>Other long term financial liabilities</t>
  </si>
  <si>
    <t>Y/E Mar (Rs. mn)</t>
  </si>
  <si>
    <t>Change in inventories of finished goods wip and stock in trade</t>
  </si>
  <si>
    <t>CURRENT ASSETS LOANS &amp; ADVANCES</t>
  </si>
  <si>
    <t xml:space="preserve">Y/E Mar </t>
  </si>
  <si>
    <t>Total Income 2020</t>
  </si>
  <si>
    <t>Total Income 2017</t>
  </si>
  <si>
    <t>Depriciation 2020</t>
  </si>
  <si>
    <t>Interest 2020</t>
  </si>
  <si>
    <t>Depriciation 2017</t>
  </si>
  <si>
    <t>Interest 2017</t>
  </si>
  <si>
    <t>PBT 2020</t>
  </si>
  <si>
    <t>PBT 2017</t>
  </si>
  <si>
    <t>PAT 2020</t>
  </si>
  <si>
    <t>PAT 2017</t>
  </si>
  <si>
    <t>EPS 2020</t>
  </si>
  <si>
    <t>Peer Analysis FY20</t>
  </si>
  <si>
    <t>Income Statement (INR Mn)</t>
  </si>
  <si>
    <t>EBITDA 2020</t>
  </si>
  <si>
    <t>EBITDA 2017</t>
  </si>
  <si>
    <t>Balance Sheet (INR Mn)</t>
  </si>
  <si>
    <t>Inventories 2020</t>
  </si>
  <si>
    <t>Sundry Debtors 2020</t>
  </si>
  <si>
    <t>Trade Payables 2020</t>
  </si>
  <si>
    <t>Excise Duty</t>
  </si>
  <si>
    <t>FY21</t>
  </si>
  <si>
    <t>-</t>
  </si>
  <si>
    <t>FY22</t>
  </si>
  <si>
    <t xml:space="preserve">Purchases of stock in trade </t>
  </si>
  <si>
    <t>Current Tax liabilities</t>
  </si>
  <si>
    <t>Lease Liabilities</t>
  </si>
  <si>
    <t>Total Income</t>
  </si>
  <si>
    <t>Total Non-Current Assets</t>
  </si>
  <si>
    <t>Right of Use Assets</t>
  </si>
  <si>
    <t>Capital Work in Progress</t>
  </si>
  <si>
    <t xml:space="preserve">Investments </t>
  </si>
  <si>
    <t>Trade Receivables</t>
  </si>
  <si>
    <t>Other Financial Assets</t>
  </si>
  <si>
    <t>Other Non Current Assets</t>
  </si>
  <si>
    <t>FY23</t>
  </si>
  <si>
    <t>Current tax asset (net)</t>
  </si>
  <si>
    <t>Goodwill on Consolidation</t>
  </si>
  <si>
    <t>FY24</t>
  </si>
  <si>
    <t>long term lease liability</t>
  </si>
  <si>
    <t>MAN Industries (India) Ltd (Consolidated)</t>
  </si>
  <si>
    <t>Cost of materials consumed</t>
  </si>
  <si>
    <t>FY25</t>
  </si>
  <si>
    <t>Intangible Assets</t>
  </si>
  <si>
    <t>NA</t>
  </si>
  <si>
    <t>Q1 FY26</t>
  </si>
  <si>
    <t>Q1-FY26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</si>
</sst>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_(* #,##0.00_);_(* \(#,##0.00\);_(* &quot;-&quot;??_);_(@_)"/>
    <numFmt numFmtId="165" formatCode="0.0"/>
    <numFmt numFmtId="166" formatCode="0.0%"/>
    <numFmt numFmtId="167" formatCode="_ * #,##0.0_ ;_ * \-#,##0.0_ ;_ * &quot;-&quot;??_ ;_ @_ "/>
    <numFmt numFmtId="168" formatCode="_ * #,##0_ ;_ * \-#,##0_ ;_ * &quot;-&quot;??_ ;_ @_ "/>
  </numFmts>
  <fonts count="24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color rgb="FFFFFFFF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rgb="FFFF0000"/>
      <name val="Arial"/>
      <family val="2"/>
    </font>
    <font>
      <sz val="9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11"/>
      <color rgb="FF333333"/>
      <name val="Arial"/>
      <family val="2"/>
    </font>
    <font>
      <sz val="9"/>
      <color indexed="81"/>
      <name val="Tahoma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8"/>
      <color rgb="FF000000"/>
      <name val="MyFirstFont"/>
    </font>
    <font>
      <b/>
      <sz val="9"/>
      <color theme="0"/>
      <name val="Arial"/>
      <family val="2"/>
    </font>
    <font>
      <b/>
      <u/>
      <sz val="10"/>
      <color theme="1"/>
      <name val="Arial"/>
      <family val="2"/>
    </font>
    <font>
      <sz val="8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2" fillId="0" borderId="0"/>
    <xf numFmtId="0" fontId="12" fillId="0" borderId="0"/>
    <xf numFmtId="43" fontId="7" fillId="0" borderId="0" applyFont="0" applyFill="0" applyBorder="0" applyAlignment="0" applyProtection="0"/>
  </cellStyleXfs>
  <cellXfs count="208">
    <xf numFmtId="0" fontId="0" fillId="0" borderId="0" xfId="0"/>
    <xf numFmtId="0" fontId="1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1" fillId="0" borderId="1" xfId="0" applyFont="1" applyBorder="1"/>
    <xf numFmtId="165" fontId="1" fillId="0" borderId="1" xfId="0" applyNumberFormat="1" applyFont="1" applyBorder="1"/>
    <xf numFmtId="166" fontId="1" fillId="0" borderId="1" xfId="0" applyNumberFormat="1" applyFont="1" applyBorder="1"/>
    <xf numFmtId="0" fontId="6" fillId="0" borderId="0" xfId="0" applyFont="1"/>
    <xf numFmtId="165" fontId="9" fillId="0" borderId="1" xfId="0" applyNumberFormat="1" applyFont="1" applyBorder="1"/>
    <xf numFmtId="1" fontId="1" fillId="0" borderId="0" xfId="0" applyNumberFormat="1" applyFont="1"/>
    <xf numFmtId="165" fontId="9" fillId="0" borderId="0" xfId="0" applyNumberFormat="1" applyFont="1"/>
    <xf numFmtId="0" fontId="9" fillId="0" borderId="1" xfId="0" applyFont="1" applyBorder="1"/>
    <xf numFmtId="2" fontId="1" fillId="3" borderId="1" xfId="0" applyNumberFormat="1" applyFont="1" applyFill="1" applyBorder="1"/>
    <xf numFmtId="43" fontId="1" fillId="3" borderId="1" xfId="2" applyFont="1" applyFill="1" applyBorder="1"/>
    <xf numFmtId="43" fontId="4" fillId="3" borderId="1" xfId="2" applyFont="1" applyFill="1" applyBorder="1"/>
    <xf numFmtId="10" fontId="9" fillId="3" borderId="1" xfId="1" applyNumberFormat="1" applyFont="1" applyFill="1" applyBorder="1"/>
    <xf numFmtId="43" fontId="4" fillId="0" borderId="1" xfId="2" applyFont="1" applyBorder="1"/>
    <xf numFmtId="43" fontId="1" fillId="0" borderId="1" xfId="2" applyFont="1" applyBorder="1"/>
    <xf numFmtId="43" fontId="9" fillId="0" borderId="1" xfId="2" applyFont="1" applyFill="1" applyBorder="1"/>
    <xf numFmtId="167" fontId="1" fillId="0" borderId="1" xfId="2" applyNumberFormat="1" applyFont="1" applyBorder="1"/>
    <xf numFmtId="167" fontId="9" fillId="0" borderId="1" xfId="2" applyNumberFormat="1" applyFont="1" applyFill="1" applyBorder="1"/>
    <xf numFmtId="167" fontId="9" fillId="0" borderId="1" xfId="2" applyNumberFormat="1" applyFont="1" applyBorder="1"/>
    <xf numFmtId="43" fontId="4" fillId="0" borderId="1" xfId="2" applyFont="1" applyFill="1" applyBorder="1"/>
    <xf numFmtId="10" fontId="1" fillId="3" borderId="1" xfId="0" applyNumberFormat="1" applyFont="1" applyFill="1" applyBorder="1"/>
    <xf numFmtId="167" fontId="4" fillId="0" borderId="1" xfId="2" applyNumberFormat="1" applyFont="1" applyFill="1" applyBorder="1"/>
    <xf numFmtId="43" fontId="1" fillId="0" borderId="1" xfId="2" applyFont="1" applyFill="1" applyBorder="1"/>
    <xf numFmtId="167" fontId="1" fillId="3" borderId="1" xfId="2" applyNumberFormat="1" applyFont="1" applyFill="1" applyBorder="1"/>
    <xf numFmtId="167" fontId="9" fillId="3" borderId="1" xfId="2" applyNumberFormat="1" applyFont="1" applyFill="1" applyBorder="1"/>
    <xf numFmtId="167" fontId="1" fillId="0" borderId="1" xfId="2" applyNumberFormat="1" applyFont="1" applyFill="1" applyBorder="1"/>
    <xf numFmtId="167" fontId="6" fillId="0" borderId="1" xfId="2" applyNumberFormat="1" applyFont="1" applyBorder="1"/>
    <xf numFmtId="10" fontId="1" fillId="3" borderId="1" xfId="1" applyNumberFormat="1" applyFont="1" applyFill="1" applyBorder="1"/>
    <xf numFmtId="1" fontId="1" fillId="3" borderId="1" xfId="0" applyNumberFormat="1" applyFont="1" applyFill="1" applyBorder="1"/>
    <xf numFmtId="1" fontId="9" fillId="3" borderId="1" xfId="0" applyNumberFormat="1" applyFont="1" applyFill="1" applyBorder="1"/>
    <xf numFmtId="1" fontId="9" fillId="4" borderId="1" xfId="0" applyNumberFormat="1" applyFont="1" applyFill="1" applyBorder="1"/>
    <xf numFmtId="167" fontId="11" fillId="4" borderId="1" xfId="2" applyNumberFormat="1" applyFont="1" applyFill="1" applyBorder="1" applyAlignment="1">
      <alignment vertical="center"/>
    </xf>
    <xf numFmtId="165" fontId="11" fillId="0" borderId="1" xfId="3" applyNumberFormat="1" applyFont="1" applyBorder="1" applyAlignment="1">
      <alignment vertical="center"/>
    </xf>
    <xf numFmtId="165" fontId="11" fillId="0" borderId="1" xfId="2" applyNumberFormat="1" applyFont="1" applyBorder="1" applyAlignment="1">
      <alignment vertical="center"/>
    </xf>
    <xf numFmtId="167" fontId="11" fillId="0" borderId="1" xfId="2" applyNumberFormat="1" applyFont="1" applyBorder="1" applyAlignment="1">
      <alignment vertical="center"/>
    </xf>
    <xf numFmtId="167" fontId="11" fillId="0" borderId="1" xfId="2" applyNumberFormat="1" applyFont="1" applyFill="1" applyBorder="1" applyAlignment="1">
      <alignment vertical="center"/>
    </xf>
    <xf numFmtId="165" fontId="9" fillId="0" borderId="1" xfId="3" applyNumberFormat="1" applyFont="1" applyBorder="1" applyAlignment="1">
      <alignment vertical="center"/>
    </xf>
    <xf numFmtId="165" fontId="9" fillId="0" borderId="1" xfId="2" applyNumberFormat="1" applyFont="1" applyBorder="1" applyAlignment="1">
      <alignment vertical="center"/>
    </xf>
    <xf numFmtId="165" fontId="11" fillId="0" borderId="1" xfId="2" applyNumberFormat="1" applyFont="1" applyFill="1" applyBorder="1" applyAlignment="1">
      <alignment vertical="center"/>
    </xf>
    <xf numFmtId="165" fontId="9" fillId="0" borderId="1" xfId="4" applyNumberFormat="1" applyFont="1" applyBorder="1" applyAlignment="1">
      <alignment vertical="center"/>
    </xf>
    <xf numFmtId="167" fontId="9" fillId="0" borderId="1" xfId="2" applyNumberFormat="1" applyFont="1" applyBorder="1" applyAlignment="1">
      <alignment vertical="center"/>
    </xf>
    <xf numFmtId="167" fontId="9" fillId="0" borderId="1" xfId="2" applyNumberFormat="1" applyFont="1" applyBorder="1" applyAlignment="1">
      <alignment horizontal="center" vertical="center"/>
    </xf>
    <xf numFmtId="43" fontId="6" fillId="0" borderId="0" xfId="0" applyNumberFormat="1" applyFont="1"/>
    <xf numFmtId="167" fontId="9" fillId="0" borderId="1" xfId="2" applyNumberFormat="1" applyFont="1" applyFill="1" applyBorder="1" applyAlignment="1">
      <alignment vertical="center"/>
    </xf>
    <xf numFmtId="167" fontId="4" fillId="0" borderId="1" xfId="2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165" fontId="9" fillId="0" borderId="1" xfId="4" applyNumberFormat="1" applyFont="1" applyBorder="1" applyAlignment="1">
      <alignment horizontal="right" vertical="center"/>
    </xf>
    <xf numFmtId="165" fontId="9" fillId="0" borderId="1" xfId="2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left"/>
    </xf>
    <xf numFmtId="0" fontId="13" fillId="0" borderId="0" xfId="0" applyFont="1" applyAlignment="1">
      <alignment horizontal="right" vertical="center" wrapText="1"/>
    </xf>
    <xf numFmtId="167" fontId="6" fillId="0" borderId="1" xfId="2" applyNumberFormat="1" applyFont="1" applyFill="1" applyBorder="1"/>
    <xf numFmtId="167" fontId="9" fillId="0" borderId="2" xfId="2" applyNumberFormat="1" applyFont="1" applyFill="1" applyBorder="1"/>
    <xf numFmtId="167" fontId="10" fillId="4" borderId="1" xfId="2" applyNumberFormat="1" applyFont="1" applyFill="1" applyBorder="1"/>
    <xf numFmtId="167" fontId="10" fillId="4" borderId="1" xfId="2" applyNumberFormat="1" applyFont="1" applyFill="1" applyBorder="1" applyAlignment="1">
      <alignment horizontal="right"/>
    </xf>
    <xf numFmtId="167" fontId="9" fillId="4" borderId="1" xfId="2" applyNumberFormat="1" applyFont="1" applyFill="1" applyBorder="1"/>
    <xf numFmtId="167" fontId="10" fillId="0" borderId="1" xfId="2" applyNumberFormat="1" applyFont="1" applyBorder="1" applyAlignment="1">
      <alignment horizontal="right"/>
    </xf>
    <xf numFmtId="0" fontId="4" fillId="6" borderId="1" xfId="0" applyFont="1" applyFill="1" applyBorder="1" applyAlignment="1">
      <alignment horizontal="right"/>
    </xf>
    <xf numFmtId="0" fontId="4" fillId="8" borderId="0" xfId="0" applyFont="1" applyFill="1"/>
    <xf numFmtId="0" fontId="16" fillId="0" borderId="0" xfId="0" applyFont="1"/>
    <xf numFmtId="0" fontId="16" fillId="0" borderId="1" xfId="0" applyFont="1" applyBorder="1"/>
    <xf numFmtId="0" fontId="16" fillId="3" borderId="1" xfId="0" applyFont="1" applyFill="1" applyBorder="1"/>
    <xf numFmtId="10" fontId="16" fillId="3" borderId="1" xfId="1" applyNumberFormat="1" applyFont="1" applyFill="1" applyBorder="1"/>
    <xf numFmtId="167" fontId="17" fillId="3" borderId="1" xfId="2" applyNumberFormat="1" applyFont="1" applyFill="1" applyBorder="1"/>
    <xf numFmtId="2" fontId="16" fillId="3" borderId="1" xfId="0" applyNumberFormat="1" applyFont="1" applyFill="1" applyBorder="1"/>
    <xf numFmtId="2" fontId="16" fillId="3" borderId="1" xfId="2" applyNumberFormat="1" applyFont="1" applyFill="1" applyBorder="1"/>
    <xf numFmtId="10" fontId="16" fillId="3" borderId="1" xfId="0" applyNumberFormat="1" applyFont="1" applyFill="1" applyBorder="1"/>
    <xf numFmtId="1" fontId="16" fillId="3" borderId="1" xfId="0" applyNumberFormat="1" applyFont="1" applyFill="1" applyBorder="1"/>
    <xf numFmtId="0" fontId="16" fillId="0" borderId="0" xfId="0" applyFont="1" applyAlignment="1">
      <alignment horizontal="right"/>
    </xf>
    <xf numFmtId="0" fontId="16" fillId="0" borderId="1" xfId="0" applyFont="1" applyBorder="1" applyAlignment="1">
      <alignment horizontal="right"/>
    </xf>
    <xf numFmtId="10" fontId="16" fillId="3" borderId="1" xfId="1" applyNumberFormat="1" applyFont="1" applyFill="1" applyBorder="1" applyAlignment="1">
      <alignment horizontal="right"/>
    </xf>
    <xf numFmtId="10" fontId="16" fillId="0" borderId="1" xfId="1" applyNumberFormat="1" applyFont="1" applyBorder="1" applyAlignment="1">
      <alignment horizontal="right"/>
    </xf>
    <xf numFmtId="0" fontId="16" fillId="0" borderId="1" xfId="1" applyNumberFormat="1" applyFont="1" applyBorder="1" applyAlignment="1">
      <alignment horizontal="right"/>
    </xf>
    <xf numFmtId="0" fontId="16" fillId="3" borderId="1" xfId="0" applyFont="1" applyFill="1" applyBorder="1" applyAlignment="1">
      <alignment horizontal="right"/>
    </xf>
    <xf numFmtId="0" fontId="17" fillId="6" borderId="1" xfId="0" applyFont="1" applyFill="1" applyBorder="1" applyAlignment="1">
      <alignment horizontal="center"/>
    </xf>
    <xf numFmtId="0" fontId="17" fillId="6" borderId="0" xfId="0" applyFont="1" applyFill="1"/>
    <xf numFmtId="0" fontId="17" fillId="8" borderId="1" xfId="0" applyFont="1" applyFill="1" applyBorder="1"/>
    <xf numFmtId="0" fontId="17" fillId="8" borderId="1" xfId="0" applyFont="1" applyFill="1" applyBorder="1" applyAlignment="1">
      <alignment horizontal="center"/>
    </xf>
    <xf numFmtId="3" fontId="15" fillId="0" borderId="1" xfId="0" applyNumberFormat="1" applyFont="1" applyBorder="1"/>
    <xf numFmtId="3" fontId="15" fillId="5" borderId="1" xfId="0" applyNumberFormat="1" applyFont="1" applyFill="1" applyBorder="1" applyAlignment="1">
      <alignment horizontal="right" vertical="center" wrapText="1" indent="1"/>
    </xf>
    <xf numFmtId="43" fontId="16" fillId="4" borderId="1" xfId="2" applyFont="1" applyFill="1" applyBorder="1" applyAlignment="1">
      <alignment horizontal="right"/>
    </xf>
    <xf numFmtId="43" fontId="16" fillId="0" borderId="1" xfId="2" applyFont="1" applyFill="1" applyBorder="1" applyAlignment="1">
      <alignment horizontal="right"/>
    </xf>
    <xf numFmtId="43" fontId="16" fillId="0" borderId="1" xfId="2" applyFont="1" applyBorder="1" applyAlignment="1">
      <alignment horizontal="right"/>
    </xf>
    <xf numFmtId="2" fontId="16" fillId="0" borderId="1" xfId="0" applyNumberFormat="1" applyFont="1" applyBorder="1" applyAlignment="1">
      <alignment horizontal="right"/>
    </xf>
    <xf numFmtId="0" fontId="16" fillId="9" borderId="1" xfId="0" applyFont="1" applyFill="1" applyBorder="1"/>
    <xf numFmtId="43" fontId="1" fillId="0" borderId="0" xfId="0" applyNumberFormat="1" applyFont="1"/>
    <xf numFmtId="165" fontId="11" fillId="0" borderId="2" xfId="2" applyNumberFormat="1" applyFont="1" applyBorder="1" applyAlignment="1">
      <alignment vertical="center"/>
    </xf>
    <xf numFmtId="167" fontId="1" fillId="0" borderId="2" xfId="2" applyNumberFormat="1" applyFont="1" applyBorder="1"/>
    <xf numFmtId="167" fontId="1" fillId="0" borderId="2" xfId="2" applyNumberFormat="1" applyFont="1" applyFill="1" applyBorder="1"/>
    <xf numFmtId="43" fontId="9" fillId="0" borderId="2" xfId="2" applyFont="1" applyFill="1" applyBorder="1"/>
    <xf numFmtId="167" fontId="1" fillId="0" borderId="0" xfId="0" applyNumberFormat="1" applyFont="1"/>
    <xf numFmtId="164" fontId="1" fillId="0" borderId="0" xfId="0" applyNumberFormat="1" applyFont="1"/>
    <xf numFmtId="165" fontId="11" fillId="0" borderId="1" xfId="2" applyNumberFormat="1" applyFont="1" applyBorder="1" applyAlignment="1">
      <alignment horizontal="center"/>
    </xf>
    <xf numFmtId="167" fontId="1" fillId="0" borderId="1" xfId="2" applyNumberFormat="1" applyFont="1" applyBorder="1" applyAlignment="1">
      <alignment horizontal="center"/>
    </xf>
    <xf numFmtId="167" fontId="11" fillId="0" borderId="1" xfId="2" applyNumberFormat="1" applyFont="1" applyBorder="1" applyAlignment="1">
      <alignment horizontal="right"/>
    </xf>
    <xf numFmtId="165" fontId="11" fillId="0" borderId="1" xfId="2" applyNumberFormat="1" applyFont="1" applyBorder="1" applyAlignment="1">
      <alignment horizontal="right"/>
    </xf>
    <xf numFmtId="167" fontId="1" fillId="0" borderId="1" xfId="2" applyNumberFormat="1" applyFont="1" applyBorder="1" applyAlignment="1">
      <alignment horizontal="right"/>
    </xf>
    <xf numFmtId="167" fontId="11" fillId="0" borderId="1" xfId="2" applyNumberFormat="1" applyFont="1" applyFill="1" applyBorder="1" applyAlignment="1">
      <alignment horizontal="center" vertical="center"/>
    </xf>
    <xf numFmtId="2" fontId="1" fillId="0" borderId="1" xfId="0" applyNumberFormat="1" applyFont="1" applyBorder="1"/>
    <xf numFmtId="167" fontId="9" fillId="0" borderId="2" xfId="2" applyNumberFormat="1" applyFont="1" applyBorder="1" applyAlignment="1">
      <alignment horizontal="right"/>
    </xf>
    <xf numFmtId="165" fontId="11" fillId="4" borderId="1" xfId="2" applyNumberFormat="1" applyFont="1" applyFill="1" applyBorder="1" applyAlignment="1">
      <alignment vertical="center"/>
    </xf>
    <xf numFmtId="165" fontId="1" fillId="4" borderId="1" xfId="2" applyNumberFormat="1" applyFont="1" applyFill="1" applyBorder="1" applyAlignment="1">
      <alignment vertical="center"/>
    </xf>
    <xf numFmtId="167" fontId="1" fillId="4" borderId="1" xfId="2" applyNumberFormat="1" applyFont="1" applyFill="1" applyBorder="1" applyAlignment="1">
      <alignment horizontal="center"/>
    </xf>
    <xf numFmtId="167" fontId="1" fillId="4" borderId="1" xfId="2" applyNumberFormat="1" applyFont="1" applyFill="1" applyBorder="1"/>
    <xf numFmtId="165" fontId="1" fillId="4" borderId="1" xfId="0" applyNumberFormat="1" applyFont="1" applyFill="1" applyBorder="1"/>
    <xf numFmtId="165" fontId="9" fillId="4" borderId="1" xfId="0" applyNumberFormat="1" applyFont="1" applyFill="1" applyBorder="1"/>
    <xf numFmtId="43" fontId="4" fillId="4" borderId="1" xfId="2" applyFont="1" applyFill="1" applyBorder="1"/>
    <xf numFmtId="43" fontId="10" fillId="4" borderId="1" xfId="2" applyFont="1" applyFill="1" applyBorder="1"/>
    <xf numFmtId="165" fontId="11" fillId="4" borderId="2" xfId="2" applyNumberFormat="1" applyFont="1" applyFill="1" applyBorder="1" applyAlignment="1">
      <alignment vertical="center"/>
    </xf>
    <xf numFmtId="167" fontId="11" fillId="4" borderId="2" xfId="2" applyNumberFormat="1" applyFont="1" applyFill="1" applyBorder="1" applyAlignment="1">
      <alignment vertical="center"/>
    </xf>
    <xf numFmtId="167" fontId="9" fillId="4" borderId="1" xfId="2" applyNumberFormat="1" applyFont="1" applyFill="1" applyBorder="1" applyAlignment="1">
      <alignment vertical="center"/>
    </xf>
    <xf numFmtId="167" fontId="9" fillId="4" borderId="2" xfId="2" applyNumberFormat="1" applyFont="1" applyFill="1" applyBorder="1" applyAlignment="1">
      <alignment vertical="center"/>
    </xf>
    <xf numFmtId="167" fontId="1" fillId="4" borderId="2" xfId="2" applyNumberFormat="1" applyFont="1" applyFill="1" applyBorder="1"/>
    <xf numFmtId="167" fontId="1" fillId="4" borderId="2" xfId="2" applyNumberFormat="1" applyFont="1" applyFill="1" applyBorder="1" applyAlignment="1">
      <alignment horizontal="center"/>
    </xf>
    <xf numFmtId="167" fontId="9" fillId="4" borderId="2" xfId="2" applyNumberFormat="1" applyFont="1" applyFill="1" applyBorder="1" applyAlignment="1">
      <alignment horizontal="center"/>
    </xf>
    <xf numFmtId="167" fontId="11" fillId="4" borderId="1" xfId="2" applyNumberFormat="1" applyFont="1" applyFill="1" applyBorder="1" applyAlignment="1">
      <alignment horizontal="right"/>
    </xf>
    <xf numFmtId="167" fontId="11" fillId="4" borderId="2" xfId="2" applyNumberFormat="1" applyFont="1" applyFill="1" applyBorder="1" applyAlignment="1">
      <alignment horizontal="right"/>
    </xf>
    <xf numFmtId="165" fontId="11" fillId="4" borderId="1" xfId="2" applyNumberFormat="1" applyFont="1" applyFill="1" applyBorder="1" applyAlignment="1">
      <alignment horizontal="right"/>
    </xf>
    <xf numFmtId="165" fontId="11" fillId="4" borderId="2" xfId="2" applyNumberFormat="1" applyFont="1" applyFill="1" applyBorder="1" applyAlignment="1">
      <alignment horizontal="right"/>
    </xf>
    <xf numFmtId="167" fontId="1" fillId="4" borderId="2" xfId="2" applyNumberFormat="1" applyFont="1" applyFill="1" applyBorder="1" applyAlignment="1">
      <alignment horizontal="right"/>
    </xf>
    <xf numFmtId="167" fontId="1" fillId="4" borderId="1" xfId="2" applyNumberFormat="1" applyFont="1" applyFill="1" applyBorder="1" applyAlignment="1">
      <alignment horizontal="right"/>
    </xf>
    <xf numFmtId="165" fontId="1" fillId="4" borderId="1" xfId="0" applyNumberFormat="1" applyFont="1" applyFill="1" applyBorder="1" applyAlignment="1">
      <alignment horizontal="right"/>
    </xf>
    <xf numFmtId="165" fontId="1" fillId="4" borderId="2" xfId="0" applyNumberFormat="1" applyFont="1" applyFill="1" applyBorder="1" applyAlignment="1">
      <alignment horizontal="right"/>
    </xf>
    <xf numFmtId="165" fontId="9" fillId="4" borderId="1" xfId="2" applyNumberFormat="1" applyFont="1" applyFill="1" applyBorder="1" applyAlignment="1">
      <alignment vertical="center"/>
    </xf>
    <xf numFmtId="165" fontId="9" fillId="4" borderId="2" xfId="2" applyNumberFormat="1" applyFont="1" applyFill="1" applyBorder="1" applyAlignment="1">
      <alignment vertical="center"/>
    </xf>
    <xf numFmtId="167" fontId="9" fillId="4" borderId="1" xfId="2" applyNumberFormat="1" applyFont="1" applyFill="1" applyBorder="1" applyAlignment="1">
      <alignment horizontal="center" vertical="center"/>
    </xf>
    <xf numFmtId="167" fontId="9" fillId="4" borderId="2" xfId="2" applyNumberFormat="1" applyFont="1" applyFill="1" applyBorder="1" applyAlignment="1">
      <alignment horizontal="center" vertical="center"/>
    </xf>
    <xf numFmtId="165" fontId="1" fillId="0" borderId="1" xfId="2" applyNumberFormat="1" applyFont="1" applyBorder="1" applyAlignment="1">
      <alignment vertical="center"/>
    </xf>
    <xf numFmtId="165" fontId="1" fillId="4" borderId="2" xfId="2" applyNumberFormat="1" applyFont="1" applyFill="1" applyBorder="1" applyAlignment="1">
      <alignment vertical="center"/>
    </xf>
    <xf numFmtId="165" fontId="9" fillId="0" borderId="1" xfId="2" applyNumberFormat="1" applyFont="1" applyFill="1" applyBorder="1" applyAlignment="1">
      <alignment horizontal="right" vertical="center"/>
    </xf>
    <xf numFmtId="167" fontId="1" fillId="0" borderId="1" xfId="2" applyNumberFormat="1" applyFont="1" applyFill="1" applyBorder="1" applyAlignment="1">
      <alignment horizontal="center"/>
    </xf>
    <xf numFmtId="167" fontId="1" fillId="0" borderId="2" xfId="2" applyNumberFormat="1" applyFont="1" applyFill="1" applyBorder="1" applyAlignment="1">
      <alignment horizontal="right"/>
    </xf>
    <xf numFmtId="0" fontId="1" fillId="0" borderId="2" xfId="0" applyFont="1" applyBorder="1"/>
    <xf numFmtId="167" fontId="9" fillId="4" borderId="2" xfId="2" applyNumberFormat="1" applyFont="1" applyFill="1" applyBorder="1"/>
    <xf numFmtId="0" fontId="20" fillId="0" borderId="0" xfId="0" applyFont="1"/>
    <xf numFmtId="165" fontId="1" fillId="0" borderId="0" xfId="0" applyNumberFormat="1" applyFont="1"/>
    <xf numFmtId="1" fontId="9" fillId="0" borderId="1" xfId="2" applyNumberFormat="1" applyFont="1" applyBorder="1" applyAlignment="1">
      <alignment vertical="center"/>
    </xf>
    <xf numFmtId="0" fontId="4" fillId="10" borderId="1" xfId="0" applyFont="1" applyFill="1" applyBorder="1"/>
    <xf numFmtId="167" fontId="4" fillId="10" borderId="1" xfId="2" applyNumberFormat="1" applyFont="1" applyFill="1" applyBorder="1"/>
    <xf numFmtId="0" fontId="3" fillId="11" borderId="1" xfId="0" applyFont="1" applyFill="1" applyBorder="1"/>
    <xf numFmtId="166" fontId="5" fillId="11" borderId="1" xfId="0" applyNumberFormat="1" applyFont="1" applyFill="1" applyBorder="1"/>
    <xf numFmtId="10" fontId="1" fillId="11" borderId="1" xfId="0" applyNumberFormat="1" applyFont="1" applyFill="1" applyBorder="1"/>
    <xf numFmtId="10" fontId="6" fillId="11" borderId="1" xfId="0" applyNumberFormat="1" applyFont="1" applyFill="1" applyBorder="1"/>
    <xf numFmtId="0" fontId="21" fillId="12" borderId="1" xfId="0" applyFont="1" applyFill="1" applyBorder="1"/>
    <xf numFmtId="0" fontId="21" fillId="12" borderId="1" xfId="0" applyFont="1" applyFill="1" applyBorder="1" applyAlignment="1">
      <alignment horizontal="center"/>
    </xf>
    <xf numFmtId="0" fontId="21" fillId="12" borderId="1" xfId="0" applyFont="1" applyFill="1" applyBorder="1" applyAlignment="1">
      <alignment horizontal="right"/>
    </xf>
    <xf numFmtId="165" fontId="21" fillId="12" borderId="2" xfId="0" applyNumberFormat="1" applyFont="1" applyFill="1" applyBorder="1" applyAlignment="1">
      <alignment horizontal="center"/>
    </xf>
    <xf numFmtId="0" fontId="21" fillId="12" borderId="2" xfId="0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13" borderId="1" xfId="0" applyFont="1" applyFill="1" applyBorder="1"/>
    <xf numFmtId="0" fontId="21" fillId="13" borderId="1" xfId="0" applyFont="1" applyFill="1" applyBorder="1" applyAlignment="1">
      <alignment horizontal="center"/>
    </xf>
    <xf numFmtId="0" fontId="21" fillId="13" borderId="1" xfId="0" applyFont="1" applyFill="1" applyBorder="1" applyAlignment="1">
      <alignment horizontal="right"/>
    </xf>
    <xf numFmtId="0" fontId="21" fillId="13" borderId="2" xfId="0" applyFont="1" applyFill="1" applyBorder="1" applyAlignment="1">
      <alignment horizontal="right"/>
    </xf>
    <xf numFmtId="167" fontId="4" fillId="10" borderId="2" xfId="2" applyNumberFormat="1" applyFont="1" applyFill="1" applyBorder="1"/>
    <xf numFmtId="165" fontId="10" fillId="10" borderId="1" xfId="3" applyNumberFormat="1" applyFont="1" applyFill="1" applyBorder="1" applyAlignment="1">
      <alignment vertical="center"/>
    </xf>
    <xf numFmtId="165" fontId="10" fillId="10" borderId="1" xfId="2" applyNumberFormat="1" applyFont="1" applyFill="1" applyBorder="1" applyAlignment="1">
      <alignment vertical="center"/>
    </xf>
    <xf numFmtId="0" fontId="6" fillId="0" borderId="1" xfId="0" applyFont="1" applyBorder="1"/>
    <xf numFmtId="167" fontId="10" fillId="10" borderId="1" xfId="2" applyNumberFormat="1" applyFont="1" applyFill="1" applyBorder="1"/>
    <xf numFmtId="43" fontId="1" fillId="0" borderId="2" xfId="2" applyFont="1" applyFill="1" applyBorder="1"/>
    <xf numFmtId="2" fontId="1" fillId="0" borderId="1" xfId="0" applyNumberFormat="1" applyFont="1" applyBorder="1" applyAlignment="1">
      <alignment horizontal="right"/>
    </xf>
    <xf numFmtId="2" fontId="1" fillId="0" borderId="2" xfId="0" applyNumberFormat="1" applyFont="1" applyBorder="1"/>
    <xf numFmtId="10" fontId="1" fillId="0" borderId="1" xfId="0" applyNumberFormat="1" applyFont="1" applyBorder="1"/>
    <xf numFmtId="10" fontId="1" fillId="0" borderId="2" xfId="0" applyNumberFormat="1" applyFont="1" applyBorder="1"/>
    <xf numFmtId="10" fontId="1" fillId="0" borderId="1" xfId="1" applyNumberFormat="1" applyFont="1" applyFill="1" applyBorder="1"/>
    <xf numFmtId="10" fontId="1" fillId="0" borderId="2" xfId="1" applyNumberFormat="1" applyFont="1" applyFill="1" applyBorder="1"/>
    <xf numFmtId="1" fontId="1" fillId="0" borderId="1" xfId="0" applyNumberFormat="1" applyFont="1" applyBorder="1"/>
    <xf numFmtId="1" fontId="1" fillId="0" borderId="2" xfId="0" applyNumberFormat="1" applyFont="1" applyBorder="1"/>
    <xf numFmtId="1" fontId="9" fillId="0" borderId="1" xfId="0" applyNumberFormat="1" applyFont="1" applyBorder="1"/>
    <xf numFmtId="1" fontId="9" fillId="0" borderId="2" xfId="0" applyNumberFormat="1" applyFont="1" applyBorder="1"/>
    <xf numFmtId="10" fontId="9" fillId="0" borderId="1" xfId="1" applyNumberFormat="1" applyFont="1" applyFill="1" applyBorder="1"/>
    <xf numFmtId="10" fontId="9" fillId="0" borderId="2" xfId="1" applyNumberFormat="1" applyFont="1" applyFill="1" applyBorder="1"/>
    <xf numFmtId="9" fontId="4" fillId="10" borderId="1" xfId="1" applyFont="1" applyFill="1" applyBorder="1"/>
    <xf numFmtId="168" fontId="4" fillId="10" borderId="1" xfId="2" applyNumberFormat="1" applyFont="1" applyFill="1" applyBorder="1"/>
    <xf numFmtId="43" fontId="9" fillId="4" borderId="1" xfId="2" applyFont="1" applyFill="1" applyBorder="1"/>
    <xf numFmtId="167" fontId="9" fillId="0" borderId="2" xfId="2" applyNumberFormat="1" applyFont="1" applyBorder="1"/>
    <xf numFmtId="167" fontId="1" fillId="0" borderId="1" xfId="2" applyNumberFormat="1" applyFont="1" applyFill="1" applyBorder="1" applyAlignment="1">
      <alignment vertical="center"/>
    </xf>
    <xf numFmtId="43" fontId="10" fillId="0" borderId="1" xfId="2" applyFont="1" applyFill="1" applyBorder="1"/>
    <xf numFmtId="167" fontId="1" fillId="0" borderId="1" xfId="2" applyNumberFormat="1" applyFont="1" applyFill="1" applyBorder="1" applyAlignment="1">
      <alignment horizontal="right"/>
    </xf>
    <xf numFmtId="167" fontId="1" fillId="0" borderId="6" xfId="2" applyNumberFormat="1" applyFont="1" applyFill="1" applyBorder="1"/>
    <xf numFmtId="167" fontId="10" fillId="10" borderId="1" xfId="2" applyNumberFormat="1" applyFont="1" applyFill="1" applyBorder="1" applyAlignment="1">
      <alignment vertical="center"/>
    </xf>
    <xf numFmtId="43" fontId="1" fillId="4" borderId="1" xfId="2" applyFont="1" applyFill="1" applyBorder="1"/>
    <xf numFmtId="43" fontId="11" fillId="4" borderId="1" xfId="2" applyFont="1" applyFill="1" applyBorder="1" applyAlignment="1">
      <alignment horizontal="right"/>
    </xf>
    <xf numFmtId="9" fontId="11" fillId="14" borderId="1" xfId="1" applyFont="1" applyFill="1" applyBorder="1" applyAlignment="1">
      <alignment vertical="center"/>
    </xf>
    <xf numFmtId="10" fontId="1" fillId="0" borderId="0" xfId="0" applyNumberFormat="1" applyFont="1"/>
    <xf numFmtId="166" fontId="1" fillId="0" borderId="0" xfId="0" applyNumberFormat="1" applyFont="1"/>
    <xf numFmtId="0" fontId="21" fillId="12" borderId="8" xfId="0" applyFont="1" applyFill="1" applyBorder="1" applyAlignment="1">
      <alignment horizontal="center"/>
    </xf>
    <xf numFmtId="167" fontId="6" fillId="0" borderId="0" xfId="0" applyNumberFormat="1" applyFont="1"/>
    <xf numFmtId="0" fontId="21" fillId="13" borderId="2" xfId="0" applyFont="1" applyFill="1" applyBorder="1" applyAlignment="1">
      <alignment horizontal="center"/>
    </xf>
    <xf numFmtId="167" fontId="1" fillId="0" borderId="1" xfId="2" applyNumberFormat="1" applyFont="1" applyFill="1" applyBorder="1" applyAlignment="1"/>
    <xf numFmtId="10" fontId="9" fillId="0" borderId="1" xfId="1" applyNumberFormat="1" applyFont="1" applyFill="1" applyBorder="1" applyAlignment="1">
      <alignment horizontal="center"/>
    </xf>
    <xf numFmtId="0" fontId="22" fillId="7" borderId="0" xfId="0" applyFont="1" applyFill="1" applyAlignment="1">
      <alignment horizontal="center"/>
    </xf>
    <xf numFmtId="0" fontId="21" fillId="12" borderId="0" xfId="0" applyFont="1" applyFill="1" applyAlignment="1">
      <alignment horizontal="center"/>
    </xf>
    <xf numFmtId="167" fontId="4" fillId="10" borderId="0" xfId="2" applyNumberFormat="1" applyFont="1" applyFill="1" applyBorder="1"/>
    <xf numFmtId="167" fontId="9" fillId="0" borderId="0" xfId="2" applyNumberFormat="1" applyFont="1" applyFill="1" applyBorder="1"/>
    <xf numFmtId="0" fontId="21" fillId="13" borderId="0" xfId="0" applyFont="1" applyFill="1" applyAlignment="1">
      <alignment horizontal="center"/>
    </xf>
    <xf numFmtId="0" fontId="0" fillId="4" borderId="2" xfId="0" applyFill="1" applyBorder="1" applyAlignment="1">
      <alignment horizontal="center" wrapText="1"/>
    </xf>
    <xf numFmtId="0" fontId="0" fillId="4" borderId="7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22" fillId="7" borderId="3" xfId="0" applyFont="1" applyFill="1" applyBorder="1" applyAlignment="1">
      <alignment horizontal="center"/>
    </xf>
    <xf numFmtId="0" fontId="22" fillId="7" borderId="0" xfId="0" applyFont="1" applyFill="1" applyAlignment="1">
      <alignment horizontal="center"/>
    </xf>
    <xf numFmtId="0" fontId="22" fillId="7" borderId="8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2" fillId="7" borderId="4" xfId="0" applyFont="1" applyFill="1" applyBorder="1" applyAlignment="1">
      <alignment horizontal="center"/>
    </xf>
    <xf numFmtId="0" fontId="22" fillId="7" borderId="5" xfId="0" applyFont="1" applyFill="1" applyBorder="1" applyAlignment="1">
      <alignment horizontal="center"/>
    </xf>
  </cellXfs>
  <cellStyles count="6">
    <cellStyle name="Comma" xfId="2" builtinId="3"/>
    <cellStyle name="Comma 2" xfId="5" xr:uid="{00000000-0005-0000-0000-000001000000}"/>
    <cellStyle name="Normal" xfId="0" builtinId="0"/>
    <cellStyle name="Normal 2" xfId="4" xr:uid="{00000000-0005-0000-0000-000003000000}"/>
    <cellStyle name="Percent" xfId="1" builtinId="5"/>
    <cellStyle name="Style 1" xfId="3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7F7F7F"/>
      <rgbColor rgb="00BFBFBF"/>
      <rgbColor rgb="00FFFF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90"/>
  <sheetViews>
    <sheetView tabSelected="1" zoomScale="70" zoomScaleNormal="70" zoomScaleSheetLayoutView="90" workbookViewId="0">
      <selection activeCell="AB58" sqref="AB58"/>
    </sheetView>
  </sheetViews>
  <sheetFormatPr defaultColWidth="9.1796875" defaultRowHeight="12.75" customHeight="1"/>
  <cols>
    <col min="1" max="1" width="44.81640625" style="1" customWidth="1"/>
    <col min="2" max="2" width="11.1796875" style="8" hidden="1" customWidth="1"/>
    <col min="3" max="3" width="9" style="8" hidden="1" customWidth="1"/>
    <col min="4" max="4" width="11.1796875" style="8" hidden="1" customWidth="1"/>
    <col min="5" max="5" width="0.453125" style="8" hidden="1" customWidth="1"/>
    <col min="6" max="6" width="13.7265625" style="1" customWidth="1"/>
    <col min="7" max="13" width="13.7265625" style="8" customWidth="1"/>
    <col min="14" max="14" width="11.1796875" style="8" customWidth="1"/>
    <col min="15" max="15" width="30.26953125" style="1" customWidth="1"/>
    <col min="16" max="16" width="10.81640625" style="8" hidden="1" customWidth="1"/>
    <col min="17" max="17" width="13.81640625" style="8" hidden="1" customWidth="1"/>
    <col min="18" max="18" width="13.1796875" style="8" hidden="1" customWidth="1"/>
    <col min="19" max="19" width="11.1796875" style="8" hidden="1" customWidth="1"/>
    <col min="20" max="20" width="13.7265625" style="1" customWidth="1"/>
    <col min="21" max="21" width="13.7265625" style="11" customWidth="1"/>
    <col min="22" max="26" width="13.7265625" style="1" customWidth="1"/>
    <col min="27" max="27" width="10.90625" style="1" bestFit="1" customWidth="1"/>
    <col min="28" max="28" width="17.81640625" style="1" customWidth="1"/>
    <col min="29" max="29" width="11.7265625" style="1" bestFit="1" customWidth="1"/>
    <col min="30" max="16384" width="9.1796875" style="1"/>
  </cols>
  <sheetData>
    <row r="1" spans="1:28" ht="12.75" customHeight="1">
      <c r="A1" s="204" t="s">
        <v>158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5"/>
    </row>
    <row r="2" spans="1:28" ht="15" customHeight="1">
      <c r="A2" s="201" t="s">
        <v>84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3"/>
      <c r="M2" s="193"/>
      <c r="O2" s="206" t="s">
        <v>83</v>
      </c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</row>
    <row r="3" spans="1:28" ht="12.75" customHeight="1">
      <c r="A3" s="146" t="s">
        <v>115</v>
      </c>
      <c r="B3" s="147" t="s">
        <v>25</v>
      </c>
      <c r="C3" s="147" t="s">
        <v>26</v>
      </c>
      <c r="D3" s="147" t="s">
        <v>27</v>
      </c>
      <c r="E3" s="147" t="s">
        <v>28</v>
      </c>
      <c r="F3" s="147" t="s">
        <v>89</v>
      </c>
      <c r="G3" s="147" t="s">
        <v>113</v>
      </c>
      <c r="H3" s="147" t="s">
        <v>139</v>
      </c>
      <c r="I3" s="147" t="s">
        <v>141</v>
      </c>
      <c r="J3" s="147" t="s">
        <v>153</v>
      </c>
      <c r="K3" s="147" t="s">
        <v>156</v>
      </c>
      <c r="L3" s="188" t="s">
        <v>160</v>
      </c>
      <c r="M3" s="194" t="s">
        <v>163</v>
      </c>
      <c r="N3" s="151"/>
      <c r="O3" s="146" t="s">
        <v>115</v>
      </c>
      <c r="P3" s="148" t="s">
        <v>25</v>
      </c>
      <c r="Q3" s="148" t="s">
        <v>26</v>
      </c>
      <c r="R3" s="147" t="s">
        <v>27</v>
      </c>
      <c r="S3" s="147" t="s">
        <v>28</v>
      </c>
      <c r="T3" s="147" t="s">
        <v>89</v>
      </c>
      <c r="U3" s="149" t="s">
        <v>113</v>
      </c>
      <c r="V3" s="147" t="s">
        <v>139</v>
      </c>
      <c r="W3" s="150" t="s">
        <v>141</v>
      </c>
      <c r="X3" s="147" t="s">
        <v>153</v>
      </c>
      <c r="Y3" s="147" t="s">
        <v>156</v>
      </c>
      <c r="Z3" s="153" t="s">
        <v>160</v>
      </c>
    </row>
    <row r="4" spans="1:28" ht="12.75" customHeight="1">
      <c r="A4" s="3" t="s">
        <v>0</v>
      </c>
      <c r="B4" s="35">
        <v>5738.2269999999999</v>
      </c>
      <c r="C4" s="35">
        <v>6373.915</v>
      </c>
      <c r="D4" s="35">
        <v>6768.9319999999998</v>
      </c>
      <c r="E4" s="35">
        <v>5278.1689999999999</v>
      </c>
      <c r="F4" s="35">
        <v>22217.11</v>
      </c>
      <c r="G4" s="35">
        <v>17592.79</v>
      </c>
      <c r="H4" s="35">
        <v>20801.96</v>
      </c>
      <c r="I4" s="35">
        <v>21386.319</v>
      </c>
      <c r="J4" s="178">
        <v>22313.4</v>
      </c>
      <c r="K4" s="39">
        <v>31421.8</v>
      </c>
      <c r="L4" s="39">
        <v>35053.5</v>
      </c>
      <c r="M4" s="39">
        <v>7421.3</v>
      </c>
      <c r="O4" s="5" t="s">
        <v>29</v>
      </c>
      <c r="P4" s="36">
        <v>141.5</v>
      </c>
      <c r="Q4" s="37">
        <v>141.5</v>
      </c>
      <c r="R4" s="37">
        <v>141.5</v>
      </c>
      <c r="S4" s="37">
        <v>141.5</v>
      </c>
      <c r="T4" s="37">
        <v>285.52</v>
      </c>
      <c r="U4" s="37">
        <v>285.52</v>
      </c>
      <c r="V4" s="103">
        <v>285.52</v>
      </c>
      <c r="W4" s="111">
        <v>295.89499999999998</v>
      </c>
      <c r="X4" s="29">
        <v>300.5</v>
      </c>
      <c r="Y4" s="29">
        <v>323.7</v>
      </c>
      <c r="Z4" s="29">
        <v>323.7</v>
      </c>
    </row>
    <row r="5" spans="1:28" ht="12.75" customHeight="1">
      <c r="A5" s="5" t="s">
        <v>5</v>
      </c>
      <c r="B5" s="36">
        <v>38.959000000000003</v>
      </c>
      <c r="C5" s="37">
        <v>42.536999999999999</v>
      </c>
      <c r="D5" s="37">
        <v>61.258000000000003</v>
      </c>
      <c r="E5" s="37">
        <v>50.48</v>
      </c>
      <c r="F5" s="103">
        <v>206.55500000000001</v>
      </c>
      <c r="G5" s="103">
        <v>165.54</v>
      </c>
      <c r="H5" s="103">
        <v>307.89999999999998</v>
      </c>
      <c r="I5" s="103">
        <v>370.84800000000001</v>
      </c>
      <c r="J5" s="178">
        <v>390.3</v>
      </c>
      <c r="K5" s="39">
        <v>520.5</v>
      </c>
      <c r="L5" s="39">
        <v>518.20000000000005</v>
      </c>
      <c r="M5" s="39">
        <v>314.89999999999998</v>
      </c>
      <c r="O5" s="5" t="s">
        <v>30</v>
      </c>
      <c r="P5" s="36">
        <v>599.86500000000001</v>
      </c>
      <c r="Q5" s="37">
        <v>634.51900000000001</v>
      </c>
      <c r="R5" s="37">
        <v>686.50300000000004</v>
      </c>
      <c r="S5" s="37">
        <v>750.89400000000001</v>
      </c>
      <c r="T5" s="37">
        <v>6734.79</v>
      </c>
      <c r="U5" s="38">
        <v>7178.1</v>
      </c>
      <c r="V5" s="103">
        <v>8063.26</v>
      </c>
      <c r="W5" s="111">
        <v>9125.8989999999994</v>
      </c>
      <c r="X5" s="29">
        <v>11022.4</v>
      </c>
      <c r="Y5" s="29">
        <v>13725</v>
      </c>
      <c r="Z5" s="29">
        <v>15749</v>
      </c>
    </row>
    <row r="6" spans="1:28" ht="12.75" customHeight="1">
      <c r="A6" s="140" t="s">
        <v>145</v>
      </c>
      <c r="B6" s="141">
        <f t="shared" ref="B6:I6" si="0">B4+B5</f>
        <v>5777.1859999999997</v>
      </c>
      <c r="C6" s="141">
        <f t="shared" si="0"/>
        <v>6416.4520000000002</v>
      </c>
      <c r="D6" s="141">
        <f t="shared" si="0"/>
        <v>6830.19</v>
      </c>
      <c r="E6" s="141">
        <f t="shared" si="0"/>
        <v>5328.6489999999994</v>
      </c>
      <c r="F6" s="141">
        <f t="shared" si="0"/>
        <v>22423.665000000001</v>
      </c>
      <c r="G6" s="141">
        <f t="shared" si="0"/>
        <v>17758.330000000002</v>
      </c>
      <c r="H6" s="141">
        <f t="shared" si="0"/>
        <v>21109.86</v>
      </c>
      <c r="I6" s="141">
        <f t="shared" si="0"/>
        <v>21757.167000000001</v>
      </c>
      <c r="J6" s="141">
        <f>J4+J5</f>
        <v>22703.7</v>
      </c>
      <c r="K6" s="141">
        <f>K4+K5</f>
        <v>31942.3</v>
      </c>
      <c r="L6" s="141">
        <f>L4+L5</f>
        <v>35571.699999999997</v>
      </c>
      <c r="M6" s="141">
        <f>M4+M5</f>
        <v>7736.2</v>
      </c>
      <c r="O6" s="140" t="s">
        <v>31</v>
      </c>
      <c r="P6" s="141">
        <f>(P4+P5)</f>
        <v>741.36500000000001</v>
      </c>
      <c r="Q6" s="141">
        <f>(Q4+Q5)</f>
        <v>776.01900000000001</v>
      </c>
      <c r="R6" s="141">
        <f>(R4+R5)</f>
        <v>828.00300000000004</v>
      </c>
      <c r="S6" s="141">
        <f>(S4+S5)</f>
        <v>892.39400000000001</v>
      </c>
      <c r="T6" s="141">
        <f>(T4+T5)</f>
        <v>7020.3099999999995</v>
      </c>
      <c r="U6" s="141">
        <f>(U4+U5+U7)</f>
        <v>7463.8680000000004</v>
      </c>
      <c r="V6" s="141">
        <f>(V4+V5)</f>
        <v>8348.7800000000007</v>
      </c>
      <c r="W6" s="156">
        <f>(W4+W5)</f>
        <v>9421.7939999999999</v>
      </c>
      <c r="X6" s="156">
        <f>(X4+X5)</f>
        <v>11322.9</v>
      </c>
      <c r="Y6" s="141">
        <f>(Y4+Y5)</f>
        <v>14048.7</v>
      </c>
      <c r="Z6" s="141">
        <f>(Z4+Z5)</f>
        <v>16072.7</v>
      </c>
      <c r="AB6" s="138"/>
    </row>
    <row r="7" spans="1:28" ht="12.75" customHeight="1">
      <c r="A7" s="142" t="s">
        <v>1</v>
      </c>
      <c r="B7" s="143"/>
      <c r="C7" s="144">
        <f t="shared" ref="C7:I7" si="1">(C6/B6-1)</f>
        <v>0.11065352578227539</v>
      </c>
      <c r="D7" s="144">
        <f t="shared" si="1"/>
        <v>6.4480806526722168E-2</v>
      </c>
      <c r="E7" s="144">
        <f t="shared" si="1"/>
        <v>-0.21983883318033615</v>
      </c>
      <c r="F7" s="144">
        <f>(F6/E6-1)</f>
        <v>3.2081332435294581</v>
      </c>
      <c r="G7" s="144">
        <f t="shared" si="1"/>
        <v>-0.20805408036554229</v>
      </c>
      <c r="H7" s="144">
        <f t="shared" si="1"/>
        <v>0.18873002134772809</v>
      </c>
      <c r="I7" s="144">
        <f t="shared" si="1"/>
        <v>3.0663727755655401E-2</v>
      </c>
      <c r="J7" s="144">
        <f>(J6/I6-1)</f>
        <v>4.350442316318115E-2</v>
      </c>
      <c r="K7" s="144">
        <f>(K6/J6-1)</f>
        <v>0.40692045789893272</v>
      </c>
      <c r="L7" s="144">
        <f>(L6/K6-1)</f>
        <v>0.11362362760352251</v>
      </c>
      <c r="M7" s="144"/>
      <c r="O7" s="5" t="s">
        <v>32</v>
      </c>
      <c r="P7" s="20">
        <v>0</v>
      </c>
      <c r="Q7" s="20"/>
      <c r="R7" s="20"/>
      <c r="S7" s="20"/>
      <c r="T7" s="20">
        <v>0</v>
      </c>
      <c r="U7" s="38">
        <v>0.248</v>
      </c>
      <c r="V7" s="20">
        <v>0</v>
      </c>
      <c r="W7" s="90">
        <v>0</v>
      </c>
      <c r="X7" s="29">
        <v>0</v>
      </c>
      <c r="Y7" s="29">
        <v>0</v>
      </c>
      <c r="Z7" s="29">
        <v>0</v>
      </c>
    </row>
    <row r="8" spans="1:28" ht="12.75" customHeight="1">
      <c r="A8" s="142" t="s">
        <v>90</v>
      </c>
      <c r="B8" s="143"/>
      <c r="C8" s="145"/>
      <c r="D8" s="145"/>
      <c r="E8" s="145"/>
      <c r="F8" s="144"/>
      <c r="G8" s="144">
        <f t="shared" ref="G8:K8" si="2">+((G6/D6)^(1/3)-1)</f>
        <v>0.37506463413283408</v>
      </c>
      <c r="H8" s="144">
        <f t="shared" si="2"/>
        <v>0.58230213112355855</v>
      </c>
      <c r="I8" s="144">
        <f t="shared" si="2"/>
        <v>-1.0007473264819322E-2</v>
      </c>
      <c r="J8" s="144">
        <f t="shared" si="2"/>
        <v>8.5337575827113987E-2</v>
      </c>
      <c r="K8" s="144">
        <f t="shared" si="2"/>
        <v>0.14804860987880764</v>
      </c>
      <c r="L8" s="144">
        <f>+((L6/I6)^(1/3)-1)</f>
        <v>0.17806004093758765</v>
      </c>
      <c r="M8" s="144"/>
      <c r="O8" s="5" t="s">
        <v>33</v>
      </c>
      <c r="P8" s="36">
        <v>728.53599999999994</v>
      </c>
      <c r="Q8" s="37">
        <v>564.45699999999999</v>
      </c>
      <c r="R8" s="37">
        <v>466.78100000000001</v>
      </c>
      <c r="S8" s="37">
        <v>616.88800000000003</v>
      </c>
      <c r="T8" s="37">
        <v>491.65</v>
      </c>
      <c r="U8" s="37">
        <v>153.33000000000001</v>
      </c>
      <c r="V8" s="37">
        <v>20.309999999999999</v>
      </c>
      <c r="W8" s="89">
        <v>36.630000000000003</v>
      </c>
      <c r="X8" s="29">
        <v>1295.5</v>
      </c>
      <c r="Y8" s="29">
        <v>1362.8</v>
      </c>
      <c r="Z8" s="29">
        <v>1384.8</v>
      </c>
    </row>
    <row r="9" spans="1:28" ht="12.75" customHeight="1">
      <c r="A9" s="140" t="s">
        <v>2</v>
      </c>
      <c r="B9" s="141">
        <f t="shared" ref="B9:I9" si="3">SUM(B10:B15)</f>
        <v>5516.5459999999994</v>
      </c>
      <c r="C9" s="141">
        <f t="shared" si="3"/>
        <v>6086.7660000000005</v>
      </c>
      <c r="D9" s="141">
        <f t="shared" si="3"/>
        <v>6402.1489999999994</v>
      </c>
      <c r="E9" s="141">
        <f t="shared" si="3"/>
        <v>5022.442</v>
      </c>
      <c r="F9" s="141">
        <f t="shared" si="3"/>
        <v>20435.142</v>
      </c>
      <c r="G9" s="141">
        <f t="shared" si="3"/>
        <v>15913.309999999998</v>
      </c>
      <c r="H9" s="141">
        <f t="shared" si="3"/>
        <v>18936.989999999998</v>
      </c>
      <c r="I9" s="141">
        <f t="shared" si="3"/>
        <v>19580.453999999998</v>
      </c>
      <c r="J9" s="141">
        <f>SUM(J10:J15)</f>
        <v>20943.900000000001</v>
      </c>
      <c r="K9" s="141">
        <f>SUM(K10:K15)</f>
        <v>29010.100000000002</v>
      </c>
      <c r="L9" s="141">
        <f>SUM(L10:L15)</f>
        <v>32039.4</v>
      </c>
      <c r="M9" s="141">
        <f>SUM(M10:M15)</f>
        <v>6930.1999999999989</v>
      </c>
      <c r="O9" s="5" t="s">
        <v>34</v>
      </c>
      <c r="P9" s="36">
        <v>861.23599999999999</v>
      </c>
      <c r="Q9" s="37">
        <v>1101.2329999999999</v>
      </c>
      <c r="R9" s="37">
        <v>1232.2819999999999</v>
      </c>
      <c r="S9" s="37">
        <v>1179.07</v>
      </c>
      <c r="T9" s="37">
        <v>1512.99</v>
      </c>
      <c r="U9" s="37">
        <v>2247.8200000000002</v>
      </c>
      <c r="V9" s="37">
        <v>2818.2</v>
      </c>
      <c r="W9" s="89">
        <v>456.95</v>
      </c>
      <c r="X9" s="29">
        <v>1657.4</v>
      </c>
      <c r="Y9" s="29">
        <v>1721.7</v>
      </c>
      <c r="Z9" s="29">
        <v>3174.7</v>
      </c>
    </row>
    <row r="10" spans="1:28" ht="12.75" customHeight="1">
      <c r="A10" s="5" t="s">
        <v>159</v>
      </c>
      <c r="B10" s="38">
        <v>4886.2389999999996</v>
      </c>
      <c r="C10" s="38">
        <v>5026.9350000000004</v>
      </c>
      <c r="D10" s="38">
        <v>5373.6109999999999</v>
      </c>
      <c r="E10" s="38">
        <v>3854.4270000000001</v>
      </c>
      <c r="F10" s="35">
        <v>15198.129000000001</v>
      </c>
      <c r="G10" s="35">
        <v>11664.14</v>
      </c>
      <c r="H10" s="35">
        <v>13012.5</v>
      </c>
      <c r="I10" s="35">
        <v>15481.7</v>
      </c>
      <c r="J10" s="178">
        <v>14563.6</v>
      </c>
      <c r="K10" s="39">
        <v>24874.7</v>
      </c>
      <c r="L10" s="39">
        <v>23357.7</v>
      </c>
      <c r="M10" s="39">
        <v>5149.3</v>
      </c>
      <c r="O10" s="140" t="s">
        <v>35</v>
      </c>
      <c r="P10" s="141">
        <f t="shared" ref="P10:V10" si="4">(P8+P9)</f>
        <v>1589.7719999999999</v>
      </c>
      <c r="Q10" s="141">
        <f t="shared" si="4"/>
        <v>1665.69</v>
      </c>
      <c r="R10" s="141">
        <f t="shared" si="4"/>
        <v>1699.0629999999999</v>
      </c>
      <c r="S10" s="141">
        <f t="shared" si="4"/>
        <v>1795.9580000000001</v>
      </c>
      <c r="T10" s="141">
        <f t="shared" si="4"/>
        <v>2004.6399999999999</v>
      </c>
      <c r="U10" s="141">
        <f t="shared" si="4"/>
        <v>2401.15</v>
      </c>
      <c r="V10" s="141">
        <f t="shared" si="4"/>
        <v>2838.5099999999998</v>
      </c>
      <c r="W10" s="156">
        <f>(W8+W9)</f>
        <v>493.58</v>
      </c>
      <c r="X10" s="141">
        <f>(X8+X9)</f>
        <v>2952.9</v>
      </c>
      <c r="Y10" s="141">
        <f>(Y8+Y9)</f>
        <v>3084.5</v>
      </c>
      <c r="Z10" s="141">
        <f>(Z8+Z9)</f>
        <v>4559.5</v>
      </c>
    </row>
    <row r="11" spans="1:28" ht="12.75" customHeight="1">
      <c r="A11" s="5" t="s">
        <v>142</v>
      </c>
      <c r="B11" s="38"/>
      <c r="C11" s="38"/>
      <c r="D11" s="38"/>
      <c r="E11" s="38"/>
      <c r="F11" s="35">
        <v>801.37900000000002</v>
      </c>
      <c r="G11" s="35">
        <v>1003.3</v>
      </c>
      <c r="H11" s="35">
        <v>1814.252</v>
      </c>
      <c r="I11" s="35">
        <v>628.40800000000002</v>
      </c>
      <c r="J11" s="178">
        <v>2332.8000000000002</v>
      </c>
      <c r="K11" s="39">
        <v>432.7</v>
      </c>
      <c r="L11" s="39">
        <v>2575.4</v>
      </c>
      <c r="M11" s="39">
        <v>1152.5999999999999</v>
      </c>
      <c r="N11" s="46"/>
      <c r="O11" s="140" t="s">
        <v>36</v>
      </c>
      <c r="P11" s="141">
        <f>(P6+P8+P7+P42+P43)</f>
        <v>1706.8829999999998</v>
      </c>
      <c r="Q11" s="141">
        <f>(Q6+Q8+Q7+Q42+Q43)</f>
        <v>1511.2460000000001</v>
      </c>
      <c r="R11" s="141">
        <f>(R6+R8+R7+R42+R43)</f>
        <v>1471.5760000000002</v>
      </c>
      <c r="S11" s="141">
        <f>(S6+S8+S7+S42+S43)</f>
        <v>1700.412</v>
      </c>
      <c r="T11" s="141">
        <f>(T6+T8+T7+T42+T43+T44)</f>
        <v>7962.0029999999997</v>
      </c>
      <c r="U11" s="141">
        <f t="shared" ref="U11:Y11" si="5">U6+U7+U10</f>
        <v>9865.2659999999996</v>
      </c>
      <c r="V11" s="141">
        <f t="shared" si="5"/>
        <v>11187.29</v>
      </c>
      <c r="W11" s="156">
        <f t="shared" si="5"/>
        <v>9915.3739999999998</v>
      </c>
      <c r="X11" s="141">
        <f t="shared" si="5"/>
        <v>14275.8</v>
      </c>
      <c r="Y11" s="141">
        <f t="shared" si="5"/>
        <v>17133.2</v>
      </c>
      <c r="Z11" s="141">
        <f>Z6+Z7+Z10</f>
        <v>20632.2</v>
      </c>
    </row>
    <row r="12" spans="1:28" ht="12.75" customHeight="1">
      <c r="A12" s="5" t="s">
        <v>116</v>
      </c>
      <c r="B12" s="36">
        <v>-197.78100000000001</v>
      </c>
      <c r="C12" s="37">
        <v>-86.826999999999998</v>
      </c>
      <c r="D12" s="37">
        <v>-78.759</v>
      </c>
      <c r="E12" s="37">
        <v>-95.72</v>
      </c>
      <c r="F12" s="103">
        <v>970.53599999999994</v>
      </c>
      <c r="G12" s="103">
        <v>-36.082999999999998</v>
      </c>
      <c r="H12" s="103">
        <v>-599.44100000000003</v>
      </c>
      <c r="I12" s="103">
        <v>-277.2</v>
      </c>
      <c r="J12" s="178">
        <v>833.3</v>
      </c>
      <c r="K12" s="39">
        <v>-1272.5999999999999</v>
      </c>
      <c r="L12" s="39">
        <v>1415.2</v>
      </c>
      <c r="M12" s="39">
        <v>-398.8</v>
      </c>
      <c r="O12" s="5" t="s">
        <v>80</v>
      </c>
      <c r="P12" s="54" t="e">
        <f>P11-#REF!</f>
        <v>#REF!</v>
      </c>
      <c r="Q12" s="54"/>
      <c r="R12" s="54"/>
      <c r="S12" s="54"/>
      <c r="T12" s="29">
        <v>5556.45</v>
      </c>
      <c r="U12" s="21">
        <v>5616.08</v>
      </c>
      <c r="V12" s="29">
        <v>5763.48</v>
      </c>
      <c r="W12" s="91">
        <v>6032.03</v>
      </c>
      <c r="X12" s="29">
        <v>8284.0879999999997</v>
      </c>
      <c r="Y12" s="29">
        <v>5198.43</v>
      </c>
      <c r="Z12" s="29"/>
      <c r="AB12" s="88"/>
    </row>
    <row r="13" spans="1:28" ht="12.75" customHeight="1">
      <c r="A13" s="5" t="s">
        <v>138</v>
      </c>
      <c r="B13" s="36"/>
      <c r="C13" s="37"/>
      <c r="D13" s="37"/>
      <c r="E13" s="37"/>
      <c r="F13" s="123">
        <v>0</v>
      </c>
      <c r="G13" s="123">
        <v>0</v>
      </c>
      <c r="H13" s="123">
        <v>0</v>
      </c>
      <c r="I13" s="184">
        <v>0</v>
      </c>
      <c r="J13" s="184">
        <v>0</v>
      </c>
      <c r="K13" s="184">
        <v>0</v>
      </c>
      <c r="L13" s="184">
        <v>0</v>
      </c>
      <c r="M13" s="184"/>
      <c r="O13" s="140" t="s">
        <v>146</v>
      </c>
      <c r="P13" s="157"/>
      <c r="Q13" s="158"/>
      <c r="R13" s="158"/>
      <c r="S13" s="158"/>
      <c r="T13" s="158">
        <f t="shared" ref="T13:Z13" si="6">SUM(T14:T22)</f>
        <v>6450.6090000000004</v>
      </c>
      <c r="U13" s="158">
        <f t="shared" si="6"/>
        <v>6487.6990000000005</v>
      </c>
      <c r="V13" s="158">
        <f t="shared" si="6"/>
        <v>5777.5779999999995</v>
      </c>
      <c r="W13" s="158">
        <f t="shared" si="6"/>
        <v>6011.6990000000005</v>
      </c>
      <c r="X13" s="182">
        <f t="shared" si="6"/>
        <v>7029.5999999999995</v>
      </c>
      <c r="Y13" s="182">
        <f t="shared" si="6"/>
        <v>8154.0000000000009</v>
      </c>
      <c r="Z13" s="182">
        <f t="shared" si="6"/>
        <v>10285.799999999999</v>
      </c>
    </row>
    <row r="14" spans="1:28" ht="12.75" customHeight="1">
      <c r="A14" s="5" t="s">
        <v>60</v>
      </c>
      <c r="B14" s="36">
        <v>46.494</v>
      </c>
      <c r="C14" s="37">
        <v>62.578000000000003</v>
      </c>
      <c r="D14" s="37">
        <v>76.045000000000002</v>
      </c>
      <c r="E14" s="37">
        <v>71.625</v>
      </c>
      <c r="F14" s="103">
        <v>560.35199999999998</v>
      </c>
      <c r="G14" s="103">
        <v>559.20299999999997</v>
      </c>
      <c r="H14" s="103">
        <v>548.88499999999999</v>
      </c>
      <c r="I14" s="103">
        <v>541.24599999999998</v>
      </c>
      <c r="J14" s="178">
        <v>599.4</v>
      </c>
      <c r="K14" s="39">
        <v>688.1</v>
      </c>
      <c r="L14" s="39">
        <v>770.6</v>
      </c>
      <c r="M14" s="39">
        <v>197.2</v>
      </c>
      <c r="O14" s="5" t="s">
        <v>37</v>
      </c>
      <c r="P14" s="39">
        <v>1109.1949999999999</v>
      </c>
      <c r="Q14" s="39">
        <v>1032.761</v>
      </c>
      <c r="R14" s="39">
        <v>997.298</v>
      </c>
      <c r="S14" s="39">
        <v>926.25699999999995</v>
      </c>
      <c r="T14" s="39">
        <f>3964.198</f>
        <v>3964.1979999999999</v>
      </c>
      <c r="U14" s="39">
        <f>3540.387</f>
        <v>3540.3870000000002</v>
      </c>
      <c r="V14" s="112">
        <f>3263.921</f>
        <v>3263.9209999999998</v>
      </c>
      <c r="W14" s="112">
        <f>3119.875</f>
        <v>3119.875</v>
      </c>
      <c r="X14" s="29">
        <v>4841.8</v>
      </c>
      <c r="Y14" s="29">
        <v>5233.6000000000004</v>
      </c>
      <c r="Z14" s="29">
        <v>5538.5</v>
      </c>
    </row>
    <row r="15" spans="1:28" ht="12.75" customHeight="1">
      <c r="A15" s="5" t="s">
        <v>63</v>
      </c>
      <c r="B15" s="36">
        <v>781.59400000000005</v>
      </c>
      <c r="C15" s="37">
        <v>1084.08</v>
      </c>
      <c r="D15" s="37">
        <v>1031.252</v>
      </c>
      <c r="E15" s="37">
        <v>1192.1099999999999</v>
      </c>
      <c r="F15" s="103">
        <v>2904.7460000000001</v>
      </c>
      <c r="G15" s="103">
        <v>2722.75</v>
      </c>
      <c r="H15" s="103">
        <v>4160.7939999999999</v>
      </c>
      <c r="I15" s="103">
        <v>3206.3</v>
      </c>
      <c r="J15" s="178">
        <v>2614.8000000000002</v>
      </c>
      <c r="K15" s="39">
        <v>4287.2</v>
      </c>
      <c r="L15" s="39">
        <v>3920.5</v>
      </c>
      <c r="M15" s="39">
        <v>829.9</v>
      </c>
      <c r="O15" s="5" t="s">
        <v>147</v>
      </c>
      <c r="P15" s="40"/>
      <c r="Q15" s="41"/>
      <c r="R15" s="41"/>
      <c r="S15" s="41"/>
      <c r="T15" s="41">
        <v>0</v>
      </c>
      <c r="U15" s="42">
        <f>142.748</f>
        <v>142.74799999999999</v>
      </c>
      <c r="V15" s="103">
        <f>103.078</f>
        <v>103.078</v>
      </c>
      <c r="W15" s="111">
        <f>63.393</f>
        <v>63.393000000000001</v>
      </c>
      <c r="X15" s="29">
        <v>48.7</v>
      </c>
      <c r="Y15" s="29">
        <v>163.1</v>
      </c>
      <c r="Z15" s="29">
        <v>185.6</v>
      </c>
    </row>
    <row r="16" spans="1:28" ht="12.75" customHeight="1">
      <c r="A16" s="140" t="s">
        <v>3</v>
      </c>
      <c r="B16" s="141">
        <f t="shared" ref="B16:G16" si="7">(B6-B9)</f>
        <v>260.64000000000033</v>
      </c>
      <c r="C16" s="141">
        <f t="shared" si="7"/>
        <v>329.68599999999969</v>
      </c>
      <c r="D16" s="141">
        <f t="shared" si="7"/>
        <v>428.04100000000017</v>
      </c>
      <c r="E16" s="141">
        <f t="shared" si="7"/>
        <v>306.20699999999943</v>
      </c>
      <c r="F16" s="141">
        <f t="shared" si="7"/>
        <v>1988.523000000001</v>
      </c>
      <c r="G16" s="141">
        <f t="shared" si="7"/>
        <v>1845.0200000000041</v>
      </c>
      <c r="H16" s="141">
        <f t="shared" ref="H16:M16" si="8">(H6-H9)</f>
        <v>2172.8700000000026</v>
      </c>
      <c r="I16" s="141">
        <f t="shared" si="8"/>
        <v>2176.7130000000034</v>
      </c>
      <c r="J16" s="141">
        <f t="shared" si="8"/>
        <v>1759.7999999999993</v>
      </c>
      <c r="K16" s="141">
        <f t="shared" si="8"/>
        <v>2932.1999999999971</v>
      </c>
      <c r="L16" s="141">
        <f t="shared" si="8"/>
        <v>3532.2999999999956</v>
      </c>
      <c r="M16" s="141">
        <f>(M6-M9)</f>
        <v>806.00000000000091</v>
      </c>
      <c r="O16" s="5" t="s">
        <v>148</v>
      </c>
      <c r="P16" s="40"/>
      <c r="Q16" s="41"/>
      <c r="R16" s="41"/>
      <c r="S16" s="41"/>
      <c r="T16" s="44">
        <f>27.581</f>
        <v>27.581</v>
      </c>
      <c r="U16" s="44">
        <f>35.604</f>
        <v>35.603999999999999</v>
      </c>
      <c r="V16" s="113">
        <f>10.117</f>
        <v>10.117000000000001</v>
      </c>
      <c r="W16" s="114">
        <f>198.806</f>
        <v>198.80600000000001</v>
      </c>
      <c r="X16" s="29">
        <v>144.5</v>
      </c>
      <c r="Y16" s="29">
        <v>305.39999999999998</v>
      </c>
      <c r="Z16" s="29">
        <v>1334.1</v>
      </c>
    </row>
    <row r="17" spans="1:26" ht="12.75" customHeight="1">
      <c r="A17" s="142" t="s">
        <v>1</v>
      </c>
      <c r="B17" s="143"/>
      <c r="C17" s="144">
        <f t="shared" ref="C17:I17" si="9">(C16/B16-1)</f>
        <v>0.26490945365254492</v>
      </c>
      <c r="D17" s="144">
        <f t="shared" si="9"/>
        <v>0.29832931941301899</v>
      </c>
      <c r="E17" s="144">
        <f t="shared" si="9"/>
        <v>-0.28463161239227242</v>
      </c>
      <c r="F17" s="144">
        <f t="shared" si="9"/>
        <v>5.4940481439026696</v>
      </c>
      <c r="G17" s="144">
        <f t="shared" si="9"/>
        <v>-7.2165622424280151E-2</v>
      </c>
      <c r="H17" s="144">
        <f t="shared" si="9"/>
        <v>0.17769455073657614</v>
      </c>
      <c r="I17" s="144">
        <f t="shared" si="9"/>
        <v>1.7686285879967567E-3</v>
      </c>
      <c r="J17" s="144">
        <f>(J16/I16-1)</f>
        <v>-0.19153328895449395</v>
      </c>
      <c r="K17" s="144">
        <f>(K16/J16-1)</f>
        <v>0.66621206955335732</v>
      </c>
      <c r="L17" s="144">
        <f>(L16/K16-1)</f>
        <v>0.20465861810244834</v>
      </c>
      <c r="M17" s="144"/>
      <c r="O17" s="5" t="s">
        <v>161</v>
      </c>
      <c r="P17" s="40"/>
      <c r="Q17" s="41"/>
      <c r="R17" s="41"/>
      <c r="S17" s="41"/>
      <c r="T17" s="44">
        <v>0</v>
      </c>
      <c r="U17" s="44">
        <v>0</v>
      </c>
      <c r="V17" s="44">
        <v>0</v>
      </c>
      <c r="W17" s="44">
        <v>0</v>
      </c>
      <c r="X17" s="44">
        <v>0</v>
      </c>
      <c r="Y17" s="44">
        <v>0</v>
      </c>
      <c r="Z17" s="29">
        <v>5</v>
      </c>
    </row>
    <row r="18" spans="1:26" ht="12.75" customHeight="1">
      <c r="A18" s="142" t="s">
        <v>90</v>
      </c>
      <c r="B18" s="143"/>
      <c r="C18" s="145"/>
      <c r="D18" s="145"/>
      <c r="E18" s="145"/>
      <c r="F18" s="144"/>
      <c r="G18" s="144">
        <f t="shared" ref="G18:K18" si="10">+((G16/D16)^(1/3)-1)</f>
        <v>0.62744093683787883</v>
      </c>
      <c r="H18" s="144">
        <f t="shared" si="10"/>
        <v>0.92164374410263927</v>
      </c>
      <c r="I18" s="144">
        <f t="shared" si="10"/>
        <v>3.0600109216872617E-2</v>
      </c>
      <c r="J18" s="144">
        <f t="shared" si="10"/>
        <v>-1.563972627385235E-2</v>
      </c>
      <c r="K18" s="144">
        <f t="shared" si="10"/>
        <v>0.10506192418720994</v>
      </c>
      <c r="L18" s="144">
        <f>+((L16/I16)^(1/3)-1)</f>
        <v>0.17512880009914156</v>
      </c>
      <c r="M18" s="144"/>
      <c r="O18" s="5" t="s">
        <v>155</v>
      </c>
      <c r="P18" s="159"/>
      <c r="Q18" s="159"/>
      <c r="R18" s="159"/>
      <c r="S18" s="159"/>
      <c r="T18" s="5">
        <v>0</v>
      </c>
      <c r="U18" s="9">
        <v>0</v>
      </c>
      <c r="V18" s="5">
        <v>0</v>
      </c>
      <c r="W18" s="5">
        <v>0</v>
      </c>
      <c r="X18" s="29">
        <v>620.20000000000005</v>
      </c>
      <c r="Y18" s="29">
        <v>639.29999999999995</v>
      </c>
      <c r="Z18" s="29">
        <v>688.2</v>
      </c>
    </row>
    <row r="19" spans="1:26" ht="12.75" customHeight="1">
      <c r="A19" s="140" t="s">
        <v>4</v>
      </c>
      <c r="B19" s="141">
        <f t="shared" ref="B19:E19" si="11">(B16/B6)</f>
        <v>4.5115390087838672E-2</v>
      </c>
      <c r="C19" s="141">
        <f t="shared" si="11"/>
        <v>5.1381355303522835E-2</v>
      </c>
      <c r="D19" s="141">
        <f t="shared" si="11"/>
        <v>6.2668974069535435E-2</v>
      </c>
      <c r="E19" s="141">
        <f t="shared" si="11"/>
        <v>5.7464284099027624E-2</v>
      </c>
      <c r="F19" s="174">
        <f t="shared" ref="F19:I19" si="12">(F16/F4)</f>
        <v>8.9504125424053851E-2</v>
      </c>
      <c r="G19" s="174">
        <f t="shared" si="12"/>
        <v>0.1048736442599499</v>
      </c>
      <c r="H19" s="174">
        <f t="shared" si="12"/>
        <v>0.10445506096540916</v>
      </c>
      <c r="I19" s="174">
        <f t="shared" si="12"/>
        <v>0.10178062900866687</v>
      </c>
      <c r="J19" s="174">
        <f>(J16/J4)</f>
        <v>7.886740702896014E-2</v>
      </c>
      <c r="K19" s="174">
        <f>(K16/K4)</f>
        <v>9.3317378380614643E-2</v>
      </c>
      <c r="L19" s="174">
        <f>(L16/L4)</f>
        <v>0.10076882479638255</v>
      </c>
      <c r="M19" s="174">
        <f>(M16/M4)</f>
        <v>0.10860630886771871</v>
      </c>
      <c r="O19" s="5" t="s">
        <v>149</v>
      </c>
      <c r="P19" s="20"/>
      <c r="Q19" s="20"/>
      <c r="R19" s="20"/>
      <c r="S19" s="39"/>
      <c r="T19" s="20">
        <f>1022.98</f>
        <v>1022.98</v>
      </c>
      <c r="U19" s="20">
        <f>1022.98</f>
        <v>1022.98</v>
      </c>
      <c r="V19" s="106">
        <f>1022.983</f>
        <v>1022.9829999999999</v>
      </c>
      <c r="W19" s="115">
        <f>1022.98</f>
        <v>1022.98</v>
      </c>
      <c r="X19" s="29">
        <v>17</v>
      </c>
      <c r="Y19" s="29">
        <v>14.3</v>
      </c>
      <c r="Z19" s="29">
        <v>14.3</v>
      </c>
    </row>
    <row r="20" spans="1:26" ht="12.75" customHeight="1">
      <c r="A20" s="5" t="s">
        <v>6</v>
      </c>
      <c r="B20" s="36">
        <v>74.507000000000005</v>
      </c>
      <c r="C20" s="37">
        <v>111.996</v>
      </c>
      <c r="D20" s="37">
        <v>82.792000000000002</v>
      </c>
      <c r="E20" s="37">
        <v>77.786000000000001</v>
      </c>
      <c r="F20" s="103">
        <v>459.28699999999998</v>
      </c>
      <c r="G20" s="103">
        <v>523.21</v>
      </c>
      <c r="H20" s="103">
        <v>463.81200000000001</v>
      </c>
      <c r="I20" s="103">
        <v>454.03</v>
      </c>
      <c r="J20" s="178">
        <v>455</v>
      </c>
      <c r="K20" s="39">
        <v>610.9</v>
      </c>
      <c r="L20" s="39">
        <v>452.5</v>
      </c>
      <c r="M20" s="39">
        <v>125.8</v>
      </c>
      <c r="O20" s="5" t="s">
        <v>150</v>
      </c>
      <c r="P20" s="20"/>
      <c r="Q20" s="20"/>
      <c r="R20" s="20"/>
      <c r="S20" s="39"/>
      <c r="T20" s="100">
        <f>374.173</f>
        <v>374.173</v>
      </c>
      <c r="U20" s="100">
        <f>511.331</f>
        <v>511.33100000000002</v>
      </c>
      <c r="V20" s="105">
        <f>251.852</f>
        <v>251.852</v>
      </c>
      <c r="W20" s="116">
        <f>734.72</f>
        <v>734.72</v>
      </c>
      <c r="X20" s="29">
        <v>856.5</v>
      </c>
      <c r="Y20" s="29">
        <v>967</v>
      </c>
      <c r="Z20" s="29">
        <v>973.3</v>
      </c>
    </row>
    <row r="21" spans="1:26" ht="12.75" customHeight="1">
      <c r="A21" s="5" t="s">
        <v>7</v>
      </c>
      <c r="B21" s="36">
        <v>140.64599999999999</v>
      </c>
      <c r="C21" s="37">
        <v>141.47399999999999</v>
      </c>
      <c r="D21" s="37">
        <v>243.185</v>
      </c>
      <c r="E21" s="37">
        <v>140.08199999999999</v>
      </c>
      <c r="F21" s="103">
        <v>644.93700000000001</v>
      </c>
      <c r="G21" s="103">
        <v>644.20000000000005</v>
      </c>
      <c r="H21" s="103">
        <v>528.03300000000002</v>
      </c>
      <c r="I21" s="103">
        <v>373.03</v>
      </c>
      <c r="J21" s="178">
        <v>410.3</v>
      </c>
      <c r="K21" s="39">
        <v>878.3</v>
      </c>
      <c r="L21" s="39">
        <v>996.3</v>
      </c>
      <c r="M21" s="39">
        <v>297.7</v>
      </c>
      <c r="O21" s="5" t="s">
        <v>151</v>
      </c>
      <c r="P21" s="20"/>
      <c r="Q21" s="20"/>
      <c r="R21" s="20"/>
      <c r="S21" s="39"/>
      <c r="T21" s="47">
        <f>48.617</f>
        <v>48.616999999999997</v>
      </c>
      <c r="U21" s="39">
        <f>155.893</f>
        <v>155.893</v>
      </c>
      <c r="V21" s="113">
        <v>45.883000000000003</v>
      </c>
      <c r="W21" s="114">
        <f>102.785</f>
        <v>102.785</v>
      </c>
      <c r="X21" s="29">
        <v>116</v>
      </c>
      <c r="Y21" s="29">
        <v>173</v>
      </c>
      <c r="Z21" s="29">
        <v>524</v>
      </c>
    </row>
    <row r="22" spans="1:26" ht="12.75" customHeight="1">
      <c r="A22" s="5" t="s">
        <v>8</v>
      </c>
      <c r="B22" s="20"/>
      <c r="C22" s="20"/>
      <c r="D22" s="20"/>
      <c r="E22" s="20"/>
      <c r="F22" s="106">
        <v>0</v>
      </c>
      <c r="G22" s="58">
        <v>25.041</v>
      </c>
      <c r="H22" s="58">
        <v>0</v>
      </c>
      <c r="I22" s="58">
        <v>0</v>
      </c>
      <c r="J22" s="58">
        <v>0</v>
      </c>
      <c r="K22" s="58">
        <v>0</v>
      </c>
      <c r="L22" s="58">
        <v>0</v>
      </c>
      <c r="M22" s="58"/>
      <c r="O22" s="5" t="s">
        <v>152</v>
      </c>
      <c r="P22" s="20"/>
      <c r="Q22" s="20"/>
      <c r="R22" s="20"/>
      <c r="S22" s="20"/>
      <c r="T22" s="20">
        <f>1013.06</f>
        <v>1013.06</v>
      </c>
      <c r="U22" s="39">
        <f>1078.756</f>
        <v>1078.7560000000001</v>
      </c>
      <c r="V22" s="58">
        <f>1079.744</f>
        <v>1079.7439999999999</v>
      </c>
      <c r="W22" s="117">
        <f>769.14</f>
        <v>769.14</v>
      </c>
      <c r="X22" s="180">
        <v>384.9</v>
      </c>
      <c r="Y22" s="180">
        <v>658.3</v>
      </c>
      <c r="Z22" s="180">
        <v>1022.8</v>
      </c>
    </row>
    <row r="23" spans="1:26" ht="12.75" customHeight="1">
      <c r="A23" s="140" t="s">
        <v>9</v>
      </c>
      <c r="B23" s="141">
        <f>(B16-B20-B21-B22)</f>
        <v>45.487000000000336</v>
      </c>
      <c r="C23" s="141">
        <f t="shared" ref="C23:I23" si="13">(C16-C20-C21-C22)</f>
        <v>76.215999999999724</v>
      </c>
      <c r="D23" s="141">
        <f t="shared" si="13"/>
        <v>102.06400000000014</v>
      </c>
      <c r="E23" s="141">
        <f t="shared" si="13"/>
        <v>88.33899999999943</v>
      </c>
      <c r="F23" s="141">
        <f t="shared" si="13"/>
        <v>884.299000000001</v>
      </c>
      <c r="G23" s="141">
        <f t="shared" si="13"/>
        <v>652.56900000000394</v>
      </c>
      <c r="H23" s="141">
        <f t="shared" si="13"/>
        <v>1181.0250000000028</v>
      </c>
      <c r="I23" s="141">
        <f t="shared" si="13"/>
        <v>1349.6530000000034</v>
      </c>
      <c r="J23" s="141">
        <f>(J16-J20-J21-J22)</f>
        <v>894.49999999999932</v>
      </c>
      <c r="K23" s="141">
        <f>(K16-K20-K21-K22)</f>
        <v>1442.999999999997</v>
      </c>
      <c r="L23" s="141">
        <f>(L16-L20-L21-L22)</f>
        <v>2083.4999999999955</v>
      </c>
      <c r="M23" s="141">
        <v>382.6</v>
      </c>
      <c r="O23" s="140" t="s">
        <v>117</v>
      </c>
      <c r="P23" s="141">
        <f t="shared" ref="P23:W23" si="14">SUM(P24:P32)</f>
        <v>2056.9660000000003</v>
      </c>
      <c r="Q23" s="141">
        <f t="shared" si="14"/>
        <v>2114.386</v>
      </c>
      <c r="R23" s="141">
        <f t="shared" si="14"/>
        <v>2572.4689999999996</v>
      </c>
      <c r="S23" s="141">
        <f t="shared" si="14"/>
        <v>2853.1840000000002</v>
      </c>
      <c r="T23" s="141">
        <f t="shared" si="14"/>
        <v>9491.369999999999</v>
      </c>
      <c r="U23" s="141">
        <f t="shared" si="14"/>
        <v>11783.95</v>
      </c>
      <c r="V23" s="141">
        <f t="shared" si="14"/>
        <v>12081.456</v>
      </c>
      <c r="W23" s="156">
        <f t="shared" si="14"/>
        <v>12187.290999999997</v>
      </c>
      <c r="X23" s="141">
        <f>SUM(X24:X33)</f>
        <v>11572.800000000001</v>
      </c>
      <c r="Y23" s="141">
        <f>SUM(Y24:Y33)</f>
        <v>15997.599999999999</v>
      </c>
      <c r="Z23" s="141">
        <f>SUM(Z24:Z33)</f>
        <v>27505.7</v>
      </c>
    </row>
    <row r="24" spans="1:26" ht="12.75" customHeight="1">
      <c r="A24" s="5" t="s">
        <v>10</v>
      </c>
      <c r="B24" s="20">
        <v>7</v>
      </c>
      <c r="C24" s="20">
        <v>8.5</v>
      </c>
      <c r="D24" s="20">
        <v>25</v>
      </c>
      <c r="E24" s="20">
        <v>19</v>
      </c>
      <c r="F24" s="56">
        <f>265.58+30.35</f>
        <v>295.93</v>
      </c>
      <c r="G24" s="58">
        <v>97.53</v>
      </c>
      <c r="H24" s="58">
        <v>358.44</v>
      </c>
      <c r="I24" s="58">
        <v>333.9</v>
      </c>
      <c r="J24" s="29">
        <v>224.2</v>
      </c>
      <c r="K24" s="21">
        <v>391.6</v>
      </c>
      <c r="L24" s="21">
        <v>551.79999999999995</v>
      </c>
      <c r="M24" s="21">
        <v>106.4</v>
      </c>
      <c r="O24" s="5" t="s">
        <v>38</v>
      </c>
      <c r="P24" s="38">
        <v>1741.0340000000001</v>
      </c>
      <c r="Q24" s="38">
        <v>1794.6949999999999</v>
      </c>
      <c r="R24" s="38">
        <f>2236.967</f>
        <v>2236.9670000000001</v>
      </c>
      <c r="S24" s="38">
        <f>2419.994</f>
        <v>2419.9940000000001</v>
      </c>
      <c r="T24" s="97">
        <v>2166.29</v>
      </c>
      <c r="U24" s="97">
        <v>3796.02</v>
      </c>
      <c r="V24" s="118">
        <v>3315.61</v>
      </c>
      <c r="W24" s="119">
        <v>3183.4</v>
      </c>
      <c r="X24" s="180">
        <v>4068.1</v>
      </c>
      <c r="Y24" s="180">
        <v>6456.3</v>
      </c>
      <c r="Z24" s="180">
        <v>12685.4</v>
      </c>
    </row>
    <row r="25" spans="1:26" ht="12.75" customHeight="1">
      <c r="A25" s="142" t="s">
        <v>11</v>
      </c>
      <c r="B25" s="144">
        <f t="shared" ref="B25:H25" si="15">(B24/B23)</f>
        <v>0.15389012245256772</v>
      </c>
      <c r="C25" s="144">
        <f t="shared" si="15"/>
        <v>0.11152513907840914</v>
      </c>
      <c r="D25" s="144">
        <f t="shared" si="15"/>
        <v>0.24494434864398776</v>
      </c>
      <c r="E25" s="144">
        <f t="shared" si="15"/>
        <v>0.21508054200296722</v>
      </c>
      <c r="F25" s="144">
        <f t="shared" si="15"/>
        <v>0.3346492532503143</v>
      </c>
      <c r="G25" s="144">
        <f t="shared" si="15"/>
        <v>0.14945545988240233</v>
      </c>
      <c r="H25" s="144">
        <f t="shared" si="15"/>
        <v>0.30349907918968622</v>
      </c>
      <c r="I25" s="144">
        <f>(I24/I23)</f>
        <v>0.24739692350552261</v>
      </c>
      <c r="J25" s="144">
        <f>(J24/J23)</f>
        <v>0.25064281721632214</v>
      </c>
      <c r="K25" s="144">
        <f>(K24/K23)</f>
        <v>0.27137907137907197</v>
      </c>
      <c r="L25" s="144">
        <f>(L24/L23)</f>
        <v>0.26484281257499453</v>
      </c>
      <c r="M25" s="144">
        <f>(M24/M23)</f>
        <v>0.27809722948248822</v>
      </c>
      <c r="O25" s="5" t="s">
        <v>150</v>
      </c>
      <c r="P25" s="36">
        <v>170.089</v>
      </c>
      <c r="Q25" s="37">
        <v>149.346</v>
      </c>
      <c r="R25" s="37">
        <v>191.67099999999999</v>
      </c>
      <c r="S25" s="37">
        <v>300.12799999999999</v>
      </c>
      <c r="T25" s="98">
        <v>5552.54</v>
      </c>
      <c r="U25" s="98">
        <v>4499.92</v>
      </c>
      <c r="V25" s="120">
        <v>6559.53</v>
      </c>
      <c r="W25" s="121">
        <v>5443.4</v>
      </c>
      <c r="X25" s="180">
        <v>4939.3</v>
      </c>
      <c r="Y25" s="180">
        <v>3551</v>
      </c>
      <c r="Z25" s="180">
        <v>8958.9</v>
      </c>
    </row>
    <row r="26" spans="1:26" ht="12.75" customHeight="1">
      <c r="A26" s="140" t="s">
        <v>12</v>
      </c>
      <c r="B26" s="141">
        <f t="shared" ref="B26:I26" si="16">(B23-B24)</f>
        <v>38.487000000000336</v>
      </c>
      <c r="C26" s="141">
        <f t="shared" si="16"/>
        <v>67.715999999999724</v>
      </c>
      <c r="D26" s="141">
        <f>(D23-D24-8)</f>
        <v>69.064000000000135</v>
      </c>
      <c r="E26" s="141">
        <f>(E23-E24-4)</f>
        <v>65.33899999999943</v>
      </c>
      <c r="F26" s="141">
        <f>(F23-F24)</f>
        <v>588.36900000000105</v>
      </c>
      <c r="G26" s="141">
        <f t="shared" si="16"/>
        <v>555.03900000000397</v>
      </c>
      <c r="H26" s="141">
        <f t="shared" si="16"/>
        <v>822.58500000000276</v>
      </c>
      <c r="I26" s="141">
        <f t="shared" si="16"/>
        <v>1015.7530000000035</v>
      </c>
      <c r="J26" s="141">
        <f>(J23-J24)</f>
        <v>670.29999999999927</v>
      </c>
      <c r="K26" s="141">
        <f>(K23-K24)</f>
        <v>1051.3999999999969</v>
      </c>
      <c r="L26" s="141">
        <f>(L23-L24)</f>
        <v>1531.6999999999955</v>
      </c>
      <c r="M26" s="141">
        <f>(M23-M24)</f>
        <v>276.20000000000005</v>
      </c>
      <c r="O26" s="5" t="s">
        <v>39</v>
      </c>
      <c r="P26" s="36">
        <v>59.843000000000004</v>
      </c>
      <c r="Q26" s="37">
        <v>61.216999999999999</v>
      </c>
      <c r="R26" s="37">
        <v>82.111000000000004</v>
      </c>
      <c r="S26" s="37">
        <v>54.527000000000001</v>
      </c>
      <c r="T26" s="98">
        <v>49.21</v>
      </c>
      <c r="U26" s="98">
        <v>1360.28</v>
      </c>
      <c r="V26" s="120">
        <v>172.92</v>
      </c>
      <c r="W26" s="121">
        <v>819.46</v>
      </c>
      <c r="X26" s="180">
        <f>369.7</f>
        <v>369.7</v>
      </c>
      <c r="Y26" s="180">
        <f>1886</f>
        <v>1886</v>
      </c>
      <c r="Z26" s="180">
        <f>2448.8</f>
        <v>2448.8000000000002</v>
      </c>
    </row>
    <row r="27" spans="1:26" ht="12.75" customHeight="1">
      <c r="A27" s="140" t="s">
        <v>75</v>
      </c>
      <c r="B27" s="141">
        <f t="shared" ref="B27:I27" si="17">B26/B6</f>
        <v>6.6618938701299103E-3</v>
      </c>
      <c r="C27" s="141">
        <f t="shared" si="17"/>
        <v>1.0553495919551759E-2</v>
      </c>
      <c r="D27" s="141">
        <f t="shared" si="17"/>
        <v>1.0111578155219713E-2</v>
      </c>
      <c r="E27" s="141">
        <f t="shared" si="17"/>
        <v>1.2261832220512072E-2</v>
      </c>
      <c r="F27" s="174">
        <f t="shared" si="17"/>
        <v>2.6238752674908453E-2</v>
      </c>
      <c r="G27" s="174">
        <f t="shared" si="17"/>
        <v>3.125513491415037E-2</v>
      </c>
      <c r="H27" s="174">
        <f t="shared" si="17"/>
        <v>3.8966861930870351E-2</v>
      </c>
      <c r="I27" s="174">
        <f t="shared" si="17"/>
        <v>4.6685903546174162E-2</v>
      </c>
      <c r="J27" s="174">
        <f>J26/J6</f>
        <v>2.9523822108290687E-2</v>
      </c>
      <c r="K27" s="174">
        <f>K26/K6</f>
        <v>3.2915600942950159E-2</v>
      </c>
      <c r="L27" s="174">
        <f>L26/L6</f>
        <v>4.305951079088139E-2</v>
      </c>
      <c r="M27" s="174">
        <f>M26/M6</f>
        <v>3.5702282774488774E-2</v>
      </c>
      <c r="O27" s="5" t="s">
        <v>85</v>
      </c>
      <c r="P27" s="36">
        <v>86</v>
      </c>
      <c r="Q27" s="37">
        <v>109.128</v>
      </c>
      <c r="R27" s="37">
        <v>61.72</v>
      </c>
      <c r="S27" s="37">
        <v>78.534999999999997</v>
      </c>
      <c r="T27" s="98">
        <v>500.69</v>
      </c>
      <c r="U27" s="98">
        <v>114.02</v>
      </c>
      <c r="V27" s="133">
        <v>96.1</v>
      </c>
      <c r="W27" s="134">
        <v>13.83</v>
      </c>
      <c r="X27" s="180">
        <v>13.9</v>
      </c>
      <c r="Y27" s="180">
        <v>21.5</v>
      </c>
      <c r="Z27" s="180">
        <v>1.8</v>
      </c>
    </row>
    <row r="28" spans="1:26" ht="12.75" customHeight="1">
      <c r="A28" s="5" t="s">
        <v>13</v>
      </c>
      <c r="B28" s="6"/>
      <c r="C28" s="6"/>
      <c r="D28" s="6"/>
      <c r="E28" s="6"/>
      <c r="F28" s="183">
        <v>0</v>
      </c>
      <c r="G28" s="176">
        <v>0</v>
      </c>
      <c r="H28" s="110">
        <v>0</v>
      </c>
      <c r="I28" s="110">
        <v>0</v>
      </c>
      <c r="J28" s="25">
        <v>0</v>
      </c>
      <c r="K28" s="29">
        <v>0</v>
      </c>
      <c r="L28" s="29">
        <v>0</v>
      </c>
      <c r="M28" s="29"/>
      <c r="O28" s="5" t="s">
        <v>92</v>
      </c>
      <c r="P28" s="36"/>
      <c r="Q28" s="37"/>
      <c r="R28" s="37"/>
      <c r="S28" s="37"/>
      <c r="T28" s="95" t="s">
        <v>140</v>
      </c>
      <c r="U28" s="95" t="s">
        <v>140</v>
      </c>
      <c r="V28" s="123">
        <v>0</v>
      </c>
      <c r="W28" s="122">
        <v>0</v>
      </c>
      <c r="X28" s="180" t="s">
        <v>140</v>
      </c>
      <c r="Y28" s="180">
        <v>0</v>
      </c>
      <c r="Z28" s="180">
        <v>0</v>
      </c>
    </row>
    <row r="29" spans="1:26" ht="12.75" customHeight="1">
      <c r="A29" s="5" t="s">
        <v>64</v>
      </c>
      <c r="B29" s="6"/>
      <c r="C29" s="6"/>
      <c r="D29" s="6"/>
      <c r="E29" s="6"/>
      <c r="F29" s="107">
        <v>22.143999999999998</v>
      </c>
      <c r="G29" s="108">
        <v>67.382000000000005</v>
      </c>
      <c r="H29" s="108">
        <v>-26.18</v>
      </c>
      <c r="I29" s="108">
        <v>-43.99</v>
      </c>
      <c r="J29" s="21">
        <v>34.299999999999997</v>
      </c>
      <c r="K29" s="29">
        <v>34.299999999999997</v>
      </c>
      <c r="L29" s="29">
        <v>50.4</v>
      </c>
      <c r="M29" s="29">
        <v>-18.5</v>
      </c>
      <c r="O29" s="5" t="s">
        <v>91</v>
      </c>
      <c r="P29" s="36"/>
      <c r="Q29" s="37"/>
      <c r="R29" s="37"/>
      <c r="S29" s="37"/>
      <c r="T29" s="98">
        <v>138.07</v>
      </c>
      <c r="U29" s="98">
        <v>83.29</v>
      </c>
      <c r="V29" s="123">
        <v>50.54</v>
      </c>
      <c r="W29" s="116">
        <v>70.3</v>
      </c>
      <c r="X29" s="180">
        <v>84.2</v>
      </c>
      <c r="Y29" s="180">
        <v>105.3</v>
      </c>
      <c r="Z29" s="180">
        <v>97.9</v>
      </c>
    </row>
    <row r="30" spans="1:26" ht="12.75" customHeight="1">
      <c r="A30" s="140" t="s">
        <v>14</v>
      </c>
      <c r="B30" s="141">
        <f t="shared" ref="B30:I30" si="18">(B26-B28+B29)</f>
        <v>38.487000000000336</v>
      </c>
      <c r="C30" s="141">
        <f t="shared" si="18"/>
        <v>67.715999999999724</v>
      </c>
      <c r="D30" s="141">
        <f t="shared" si="18"/>
        <v>69.064000000000135</v>
      </c>
      <c r="E30" s="141">
        <f t="shared" si="18"/>
        <v>65.33899999999943</v>
      </c>
      <c r="F30" s="141">
        <f t="shared" si="18"/>
        <v>610.51300000000106</v>
      </c>
      <c r="G30" s="141">
        <f t="shared" si="18"/>
        <v>622.42100000000391</v>
      </c>
      <c r="H30" s="141">
        <f t="shared" si="18"/>
        <v>796.40500000000281</v>
      </c>
      <c r="I30" s="141">
        <f t="shared" si="18"/>
        <v>971.76300000000344</v>
      </c>
      <c r="J30" s="141">
        <f>(J26-J28+J29)</f>
        <v>704.59999999999923</v>
      </c>
      <c r="K30" s="141">
        <f>(K26-K28+K29)</f>
        <v>1085.6999999999969</v>
      </c>
      <c r="L30" s="141">
        <f>(L26-L28+L29)</f>
        <v>1582.0999999999956</v>
      </c>
      <c r="M30" s="141">
        <f>(M26-M28+M29)</f>
        <v>257.70000000000005</v>
      </c>
      <c r="O30" s="5" t="s">
        <v>61</v>
      </c>
      <c r="P30" s="20"/>
      <c r="Q30" s="20"/>
      <c r="R30" s="20"/>
      <c r="S30" s="20"/>
      <c r="T30" s="97">
        <v>660.74</v>
      </c>
      <c r="U30" s="97">
        <v>1074.48</v>
      </c>
      <c r="V30" s="118">
        <v>1031.78</v>
      </c>
      <c r="W30" s="119">
        <v>1075.08</v>
      </c>
      <c r="X30" s="180">
        <v>749.5</v>
      </c>
      <c r="Y30" s="180">
        <v>1035.2</v>
      </c>
      <c r="Z30" s="180">
        <v>1710.4</v>
      </c>
    </row>
    <row r="31" spans="1:26" ht="12.75" customHeight="1">
      <c r="A31" s="142" t="s">
        <v>1</v>
      </c>
      <c r="B31" s="143"/>
      <c r="C31" s="144">
        <f t="shared" ref="C31:I31" si="19">(C30/B30-1)</f>
        <v>0.75945124327692803</v>
      </c>
      <c r="D31" s="144">
        <f t="shared" si="19"/>
        <v>1.9906669029482238E-2</v>
      </c>
      <c r="E31" s="144">
        <f t="shared" si="19"/>
        <v>-5.3935480134378211E-2</v>
      </c>
      <c r="F31" s="144">
        <f t="shared" si="19"/>
        <v>8.3437763051164904</v>
      </c>
      <c r="G31" s="144">
        <f t="shared" si="19"/>
        <v>1.950490816739836E-2</v>
      </c>
      <c r="H31" s="144">
        <f t="shared" si="19"/>
        <v>0.27952784369421635</v>
      </c>
      <c r="I31" s="144">
        <f t="shared" si="19"/>
        <v>0.22018696517475411</v>
      </c>
      <c r="J31" s="144">
        <f>(J30/I30-1)</f>
        <v>-0.27492608794531515</v>
      </c>
      <c r="K31" s="144">
        <f>(K30/J30-1)</f>
        <v>0.54087425489639229</v>
      </c>
      <c r="L31" s="144">
        <f>(L30/K30-1)</f>
        <v>0.45721654232292552</v>
      </c>
      <c r="M31" s="144"/>
      <c r="O31" s="5" t="s">
        <v>62</v>
      </c>
      <c r="P31" s="20"/>
      <c r="Q31" s="20"/>
      <c r="R31" s="20"/>
      <c r="S31" s="20"/>
      <c r="T31" s="99">
        <v>0.51</v>
      </c>
      <c r="U31" s="97">
        <v>0.21</v>
      </c>
      <c r="V31" s="118">
        <v>6.2560000000000002</v>
      </c>
      <c r="W31" s="119">
        <v>0.04</v>
      </c>
      <c r="X31" s="180">
        <v>3.2</v>
      </c>
      <c r="Y31" s="180">
        <v>2279.8000000000002</v>
      </c>
      <c r="Z31" s="180">
        <v>259.5</v>
      </c>
    </row>
    <row r="32" spans="1:26" ht="12.75" customHeight="1">
      <c r="A32" s="142" t="s">
        <v>93</v>
      </c>
      <c r="B32" s="143"/>
      <c r="C32" s="145"/>
      <c r="D32" s="145"/>
      <c r="E32" s="145"/>
      <c r="F32" s="144"/>
      <c r="G32" s="144">
        <f t="shared" ref="G32:K32" si="20">((G30/D30)^(1/3)-1)</f>
        <v>1.0810259845598322</v>
      </c>
      <c r="H32" s="144">
        <f t="shared" si="20"/>
        <v>1.3013738015529364</v>
      </c>
      <c r="I32" s="144">
        <f t="shared" si="20"/>
        <v>0.16758493036294619</v>
      </c>
      <c r="J32" s="144">
        <f t="shared" si="20"/>
        <v>4.2204155875734672E-2</v>
      </c>
      <c r="K32" s="144">
        <f t="shared" si="20"/>
        <v>0.10881379372590194</v>
      </c>
      <c r="L32" s="144">
        <f>((L30/I30)^(1/3)-1)</f>
        <v>0.17640769634479359</v>
      </c>
      <c r="M32" s="144"/>
      <c r="O32" s="5" t="s">
        <v>86</v>
      </c>
      <c r="P32" s="30"/>
      <c r="Q32" s="30"/>
      <c r="R32" s="30"/>
      <c r="S32" s="30"/>
      <c r="T32" s="99">
        <v>423.32</v>
      </c>
      <c r="U32" s="102">
        <v>855.73</v>
      </c>
      <c r="V32" s="124">
        <v>848.72</v>
      </c>
      <c r="W32" s="125">
        <v>1581.7809999999999</v>
      </c>
      <c r="X32" s="180">
        <v>1332.4</v>
      </c>
      <c r="Y32" s="180">
        <v>662.5</v>
      </c>
      <c r="Z32" s="180">
        <v>1343</v>
      </c>
    </row>
    <row r="33" spans="1:30" ht="12.75" customHeight="1">
      <c r="A33" s="3" t="s">
        <v>88</v>
      </c>
      <c r="B33" s="23">
        <v>5.75</v>
      </c>
      <c r="C33" s="23">
        <v>-3.69</v>
      </c>
      <c r="D33" s="23">
        <v>4.8899999999999997</v>
      </c>
      <c r="E33" s="23">
        <v>4.5599999999999996</v>
      </c>
      <c r="F33" s="109">
        <v>10.3</v>
      </c>
      <c r="G33" s="110">
        <v>9.7200000000000006</v>
      </c>
      <c r="H33" s="110">
        <v>16.78</v>
      </c>
      <c r="I33" s="110">
        <v>17.52</v>
      </c>
      <c r="J33" s="179">
        <v>11.17</v>
      </c>
      <c r="K33" s="23">
        <v>16.73</v>
      </c>
      <c r="L33" s="23">
        <v>22.78</v>
      </c>
      <c r="M33" s="23">
        <v>4.13</v>
      </c>
      <c r="O33" s="135" t="s">
        <v>154</v>
      </c>
      <c r="T33" s="5"/>
      <c r="U33" s="9"/>
      <c r="V33" s="5"/>
      <c r="W33" s="5"/>
      <c r="X33" s="181">
        <v>12.5</v>
      </c>
      <c r="Y33" s="181">
        <v>0</v>
      </c>
      <c r="Z33" s="181">
        <v>0</v>
      </c>
    </row>
    <row r="34" spans="1:30" ht="12.75" customHeight="1">
      <c r="A34" s="142" t="s">
        <v>1</v>
      </c>
      <c r="B34" s="143"/>
      <c r="C34" s="144">
        <f t="shared" ref="C34:I34" si="21">(C33/B33-1)</f>
        <v>-1.6417391304347826</v>
      </c>
      <c r="D34" s="144">
        <f t="shared" si="21"/>
        <v>-2.3252032520325203</v>
      </c>
      <c r="E34" s="144">
        <f t="shared" si="21"/>
        <v>-6.7484662576687171E-2</v>
      </c>
      <c r="F34" s="144">
        <f t="shared" si="21"/>
        <v>1.2587719298245617</v>
      </c>
      <c r="G34" s="144">
        <f t="shared" si="21"/>
        <v>-5.6310679611650483E-2</v>
      </c>
      <c r="H34" s="144">
        <f t="shared" si="21"/>
        <v>0.72633744855967075</v>
      </c>
      <c r="I34" s="144">
        <f t="shared" si="21"/>
        <v>4.4100119189511178E-2</v>
      </c>
      <c r="J34" s="144">
        <f>(J33/I33-1)</f>
        <v>-0.36244292237442921</v>
      </c>
      <c r="K34" s="144">
        <f>(K33/J33-1)</f>
        <v>0.49776186213070739</v>
      </c>
      <c r="L34" s="144">
        <f>(L33/K33-1)</f>
        <v>0.36162582187686798</v>
      </c>
      <c r="M34" s="144"/>
      <c r="O34" s="140" t="s">
        <v>40</v>
      </c>
      <c r="P34" s="141">
        <f t="shared" ref="P34:V34" si="22">SUM(P35:P40)</f>
        <v>695.73500000000001</v>
      </c>
      <c r="Q34" s="141">
        <f t="shared" si="22"/>
        <v>638.67399999999998</v>
      </c>
      <c r="R34" s="141">
        <f t="shared" si="22"/>
        <v>916.80700000000002</v>
      </c>
      <c r="S34" s="141">
        <f t="shared" si="22"/>
        <v>1040.673</v>
      </c>
      <c r="T34" s="141">
        <f>SUM(T35:T40)</f>
        <v>6466.9769999999999</v>
      </c>
      <c r="U34" s="141">
        <f t="shared" si="22"/>
        <v>8092.503999999999</v>
      </c>
      <c r="V34" s="141">
        <f t="shared" si="22"/>
        <v>6367.9150000000009</v>
      </c>
      <c r="W34" s="156">
        <f>SUM(W35:W40)</f>
        <v>8002.9679999999998</v>
      </c>
      <c r="X34" s="141">
        <f>SUM(X35:X40)</f>
        <v>4011.1000000000004</v>
      </c>
      <c r="Y34" s="141">
        <f>SUM(Y35:Y40)</f>
        <v>6578.1</v>
      </c>
      <c r="Z34" s="141">
        <f>SUM(Z35:Z40)</f>
        <v>16674.7</v>
      </c>
    </row>
    <row r="35" spans="1:30" ht="12.75" customHeight="1">
      <c r="A35" s="142" t="s">
        <v>90</v>
      </c>
      <c r="B35" s="143"/>
      <c r="C35" s="145"/>
      <c r="D35" s="145"/>
      <c r="E35" s="145"/>
      <c r="F35" s="144"/>
      <c r="G35" s="144">
        <f>((G33/D33)^(1/3)-1)</f>
        <v>0.25733923722973473</v>
      </c>
      <c r="H35" s="144">
        <f>-((H33/E33)^(1/3)-1)</f>
        <v>-0.54386399127627039</v>
      </c>
      <c r="I35" s="144">
        <f>-((I33/F33)^(1/3)-1)</f>
        <v>-0.19371034899257245</v>
      </c>
      <c r="J35" s="144">
        <f>-((J33/G33)^(1/3)-1)</f>
        <v>-4.7439552672226659E-2</v>
      </c>
      <c r="K35" s="144">
        <f>-((K33/H33)^(1/3)-1)</f>
        <v>9.9423410153975933E-4</v>
      </c>
      <c r="L35" s="144">
        <f>-((L33/I33)^(1/3)-1)</f>
        <v>-9.1456770720507174E-2</v>
      </c>
      <c r="M35" s="144"/>
      <c r="O35" s="5" t="s">
        <v>77</v>
      </c>
      <c r="P35" s="43">
        <v>441.41899999999998</v>
      </c>
      <c r="Q35" s="41">
        <v>575.11599999999999</v>
      </c>
      <c r="R35" s="41">
        <v>857.86199999999997</v>
      </c>
      <c r="S35" s="41">
        <v>946.91300000000001</v>
      </c>
      <c r="T35" s="130">
        <f>5569.592+64.249+1.083</f>
        <v>5634.9239999999991</v>
      </c>
      <c r="U35" s="130">
        <v>5613.8</v>
      </c>
      <c r="V35" s="104">
        <f>5093.529+82.158+8.44</f>
        <v>5184.1270000000004</v>
      </c>
      <c r="W35" s="131">
        <f>191.074+7357.561</f>
        <v>7548.6349999999993</v>
      </c>
      <c r="X35" s="29">
        <f>3384.9+14.9</f>
        <v>3399.8</v>
      </c>
      <c r="Y35" s="29">
        <f>5013.5+14</f>
        <v>5027.5</v>
      </c>
      <c r="Z35" s="29">
        <f>11.3+11992.8</f>
        <v>12004.099999999999</v>
      </c>
    </row>
    <row r="36" spans="1:30" ht="12.75" customHeight="1">
      <c r="O36" s="5" t="s">
        <v>78</v>
      </c>
      <c r="P36" s="43">
        <v>246.947</v>
      </c>
      <c r="Q36" s="41">
        <v>52.713999999999999</v>
      </c>
      <c r="R36" s="41">
        <v>44.134</v>
      </c>
      <c r="S36" s="41">
        <v>74.463999999999999</v>
      </c>
      <c r="T36" s="41">
        <v>572.38</v>
      </c>
      <c r="U36" s="41">
        <v>657.22400000000005</v>
      </c>
      <c r="V36" s="126">
        <v>275.02</v>
      </c>
      <c r="W36" s="127">
        <v>273.35700000000003</v>
      </c>
      <c r="X36" s="29">
        <v>241.5</v>
      </c>
      <c r="Y36" s="29">
        <v>278.2</v>
      </c>
      <c r="Z36" s="29">
        <v>321.10000000000002</v>
      </c>
      <c r="AC36" s="94"/>
    </row>
    <row r="37" spans="1:30" ht="12.75" customHeight="1">
      <c r="O37" s="5" t="s">
        <v>73</v>
      </c>
      <c r="P37" s="30"/>
      <c r="Q37" s="30"/>
      <c r="R37" s="30"/>
      <c r="S37" s="20"/>
      <c r="T37" s="44">
        <v>50.911999999999999</v>
      </c>
      <c r="U37" s="44">
        <v>1535.36</v>
      </c>
      <c r="V37" s="113">
        <v>644.41</v>
      </c>
      <c r="W37" s="114">
        <v>25.295999999999999</v>
      </c>
      <c r="X37" s="29">
        <v>260.89999999999998</v>
      </c>
      <c r="Y37" s="191">
        <v>1167.5</v>
      </c>
      <c r="Z37" s="29">
        <v>4271.1000000000004</v>
      </c>
      <c r="AB37" s="94"/>
      <c r="AC37" s="88"/>
    </row>
    <row r="38" spans="1:30" ht="12.75" customHeight="1">
      <c r="A38" s="2" t="s">
        <v>15</v>
      </c>
      <c r="O38" s="5" t="s">
        <v>144</v>
      </c>
      <c r="P38" s="20"/>
      <c r="Q38" s="20"/>
      <c r="R38" s="20"/>
      <c r="S38" s="20"/>
      <c r="T38" s="99" t="s">
        <v>140</v>
      </c>
      <c r="U38" s="96">
        <f>36.06+117.38</f>
        <v>153.44</v>
      </c>
      <c r="V38" s="105">
        <f>40.94+76.008</f>
        <v>116.94799999999999</v>
      </c>
      <c r="W38" s="115">
        <f>29.95+45.988</f>
        <v>75.938000000000002</v>
      </c>
      <c r="X38" s="29">
        <v>40.6</v>
      </c>
      <c r="Y38" s="29">
        <v>34.1</v>
      </c>
      <c r="Z38" s="29">
        <v>46.7</v>
      </c>
      <c r="AC38" s="94"/>
    </row>
    <row r="39" spans="1:30" ht="12.75" customHeight="1">
      <c r="A39" s="152" t="s">
        <v>115</v>
      </c>
      <c r="B39" s="153" t="s">
        <v>25</v>
      </c>
      <c r="C39" s="153" t="s">
        <v>26</v>
      </c>
      <c r="D39" s="153" t="s">
        <v>27</v>
      </c>
      <c r="E39" s="153" t="s">
        <v>28</v>
      </c>
      <c r="F39" s="153" t="s">
        <v>89</v>
      </c>
      <c r="G39" s="153" t="s">
        <v>113</v>
      </c>
      <c r="H39" s="154" t="s">
        <v>139</v>
      </c>
      <c r="I39" s="155" t="s">
        <v>141</v>
      </c>
      <c r="J39" s="154" t="s">
        <v>153</v>
      </c>
      <c r="K39" s="154" t="s">
        <v>156</v>
      </c>
      <c r="L39" s="153" t="s">
        <v>160</v>
      </c>
      <c r="M39" s="197"/>
      <c r="O39" s="5" t="s">
        <v>143</v>
      </c>
      <c r="P39" s="20"/>
      <c r="Q39" s="20"/>
      <c r="R39" s="20"/>
      <c r="S39" s="20"/>
      <c r="T39" s="96">
        <v>133.08099999999999</v>
      </c>
      <c r="U39" s="96">
        <v>93.44</v>
      </c>
      <c r="V39" s="105">
        <v>96.54</v>
      </c>
      <c r="W39" s="105">
        <v>21.102</v>
      </c>
      <c r="X39" s="180" t="s">
        <v>140</v>
      </c>
      <c r="Y39" s="180">
        <v>54</v>
      </c>
      <c r="Z39" s="180">
        <v>20.8</v>
      </c>
    </row>
    <row r="40" spans="1:30" ht="12.75" customHeight="1">
      <c r="A40" s="140" t="s">
        <v>16</v>
      </c>
      <c r="B40" s="141">
        <v>182.06</v>
      </c>
      <c r="C40" s="141">
        <v>67.819999999999993</v>
      </c>
      <c r="D40" s="141">
        <v>61.216999999999999</v>
      </c>
      <c r="E40" s="141">
        <v>82.111000000000004</v>
      </c>
      <c r="F40" s="141">
        <f>54.41</f>
        <v>54.41</v>
      </c>
      <c r="G40" s="141">
        <f t="shared" ref="G40:K40" si="23">F45</f>
        <v>49.209999999999951</v>
      </c>
      <c r="H40" s="141">
        <f t="shared" si="23"/>
        <v>1360.2800000000002</v>
      </c>
      <c r="I40" s="141">
        <f t="shared" si="23"/>
        <v>172.92000000000007</v>
      </c>
      <c r="J40" s="141">
        <f t="shared" si="23"/>
        <v>819.4680000000003</v>
      </c>
      <c r="K40" s="141">
        <f t="shared" si="23"/>
        <v>369.7</v>
      </c>
      <c r="L40" s="141">
        <f>K45</f>
        <v>1886</v>
      </c>
      <c r="M40" s="195"/>
      <c r="O40" s="5" t="s">
        <v>65</v>
      </c>
      <c r="P40" s="43">
        <v>7.3689999999999998</v>
      </c>
      <c r="Q40" s="41">
        <v>10.843999999999999</v>
      </c>
      <c r="R40" s="41">
        <v>14.811</v>
      </c>
      <c r="S40" s="41">
        <v>19.295999999999999</v>
      </c>
      <c r="T40" s="41">
        <v>75.680000000000007</v>
      </c>
      <c r="U40" s="41">
        <v>39.24</v>
      </c>
      <c r="V40" s="126">
        <v>50.87</v>
      </c>
      <c r="W40" s="127">
        <v>58.64</v>
      </c>
      <c r="X40" s="180">
        <v>68.3</v>
      </c>
      <c r="Y40" s="180">
        <v>16.8</v>
      </c>
      <c r="Z40" s="180">
        <v>10.9</v>
      </c>
    </row>
    <row r="41" spans="1:30" s="49" customFormat="1" ht="12.75" customHeight="1">
      <c r="A41" s="5" t="s">
        <v>17</v>
      </c>
      <c r="B41" s="48">
        <v>331.6</v>
      </c>
      <c r="C41" s="48">
        <v>343.33</v>
      </c>
      <c r="D41" s="59">
        <v>222.691</v>
      </c>
      <c r="E41" s="59">
        <v>89.847999999999999</v>
      </c>
      <c r="F41" s="57">
        <v>1373.5</v>
      </c>
      <c r="G41" s="48">
        <v>2143.0500000000002</v>
      </c>
      <c r="H41" s="59">
        <v>-598.94000000000005</v>
      </c>
      <c r="I41" s="177">
        <v>4509.3760000000002</v>
      </c>
      <c r="J41" s="21">
        <v>-1203</v>
      </c>
      <c r="K41" s="21">
        <v>3449.1</v>
      </c>
      <c r="L41" s="21">
        <v>679.9</v>
      </c>
      <c r="M41" s="196"/>
      <c r="N41" s="8"/>
      <c r="O41" s="140" t="s">
        <v>41</v>
      </c>
      <c r="P41" s="141">
        <f>(P23-P34-P9)</f>
        <v>499.99500000000023</v>
      </c>
      <c r="Q41" s="141">
        <f>(Q23-Q34-Q9)</f>
        <v>374.47900000000004</v>
      </c>
      <c r="R41" s="141">
        <f>(R23-R34-R9)</f>
        <v>423.37999999999965</v>
      </c>
      <c r="S41" s="141">
        <f>(S23-S34-S9)</f>
        <v>633.44100000000026</v>
      </c>
      <c r="T41" s="141">
        <f t="shared" ref="T41:Z41" si="24">(T23-T34)-T9</f>
        <v>1511.4029999999991</v>
      </c>
      <c r="U41" s="141">
        <f t="shared" si="24"/>
        <v>1443.6260000000016</v>
      </c>
      <c r="V41" s="141">
        <f t="shared" si="24"/>
        <v>2895.3409999999994</v>
      </c>
      <c r="W41" s="141">
        <f t="shared" si="24"/>
        <v>3727.3729999999978</v>
      </c>
      <c r="X41" s="141">
        <f t="shared" si="24"/>
        <v>5904.3000000000011</v>
      </c>
      <c r="Y41" s="141">
        <f t="shared" si="24"/>
        <v>7697.7999999999984</v>
      </c>
      <c r="Z41" s="141">
        <f t="shared" si="24"/>
        <v>7656.3</v>
      </c>
      <c r="AA41" s="1"/>
      <c r="AB41" s="1"/>
    </row>
    <row r="42" spans="1:30" ht="12.75" customHeight="1">
      <c r="A42" s="5" t="s">
        <v>74</v>
      </c>
      <c r="B42" s="20">
        <v>-661.48</v>
      </c>
      <c r="C42" s="20">
        <v>7.32</v>
      </c>
      <c r="D42" s="22">
        <v>23.937000000000001</v>
      </c>
      <c r="E42" s="22">
        <v>-86.762</v>
      </c>
      <c r="F42" s="58">
        <v>1.58</v>
      </c>
      <c r="G42" s="20">
        <v>-463.41</v>
      </c>
      <c r="H42" s="22">
        <v>42.59</v>
      </c>
      <c r="I42" s="177">
        <v>-1190.6199999999999</v>
      </c>
      <c r="J42" s="21">
        <v>-1354.904</v>
      </c>
      <c r="K42" s="21">
        <v>-2793.1</v>
      </c>
      <c r="L42" s="21">
        <v>-413.3</v>
      </c>
      <c r="M42" s="196"/>
      <c r="O42" s="5" t="s">
        <v>42</v>
      </c>
      <c r="P42" s="43">
        <v>67.811000000000007</v>
      </c>
      <c r="Q42" s="41">
        <v>68.081999999999994</v>
      </c>
      <c r="R42" s="41">
        <v>73.046000000000006</v>
      </c>
      <c r="S42" s="41">
        <v>74.867000000000004</v>
      </c>
      <c r="T42" s="41">
        <v>396.85</v>
      </c>
      <c r="U42" s="139">
        <v>266</v>
      </c>
      <c r="V42" s="126">
        <v>254.53</v>
      </c>
      <c r="W42" s="127">
        <v>226.94</v>
      </c>
      <c r="X42" s="29">
        <v>243</v>
      </c>
      <c r="Y42" s="29">
        <v>257.8</v>
      </c>
      <c r="Z42" s="29">
        <v>275.60000000000002</v>
      </c>
      <c r="AA42" s="49"/>
      <c r="AB42" s="49"/>
    </row>
    <row r="43" spans="1:30" ht="12.75" customHeight="1">
      <c r="A43" s="5" t="s">
        <v>18</v>
      </c>
      <c r="B43" s="20">
        <v>216.08</v>
      </c>
      <c r="C43" s="20">
        <v>-232.54</v>
      </c>
      <c r="D43" s="22">
        <v>-225.73400000000001</v>
      </c>
      <c r="E43" s="22">
        <v>-30.67</v>
      </c>
      <c r="F43" s="58">
        <v>-1380.28</v>
      </c>
      <c r="G43" s="20">
        <v>-368.57</v>
      </c>
      <c r="H43" s="22">
        <v>-631.01</v>
      </c>
      <c r="I43" s="177">
        <v>-2672.2080000000001</v>
      </c>
      <c r="J43" s="21">
        <v>2106.8000000000002</v>
      </c>
      <c r="K43" s="21">
        <v>860.3</v>
      </c>
      <c r="L43" s="21">
        <v>296.3</v>
      </c>
      <c r="M43" s="196"/>
      <c r="O43" s="52" t="s">
        <v>114</v>
      </c>
      <c r="P43" s="50">
        <v>169.17099999999999</v>
      </c>
      <c r="Q43" s="51">
        <v>102.688</v>
      </c>
      <c r="R43" s="51">
        <v>103.746</v>
      </c>
      <c r="S43" s="51">
        <v>116.26300000000001</v>
      </c>
      <c r="T43" s="132">
        <v>36.453000000000003</v>
      </c>
      <c r="U43" s="132">
        <v>36.4</v>
      </c>
      <c r="V43" s="132">
        <v>36.4</v>
      </c>
      <c r="W43" s="132">
        <v>36.5</v>
      </c>
      <c r="X43" s="29">
        <v>36.5</v>
      </c>
      <c r="Y43" s="29">
        <v>36.5</v>
      </c>
      <c r="Z43" s="29">
        <v>36.5</v>
      </c>
      <c r="AB43" s="94"/>
      <c r="AD43" s="94"/>
    </row>
    <row r="44" spans="1:30" ht="12.75" customHeight="1">
      <c r="A44" s="140" t="s">
        <v>19</v>
      </c>
      <c r="B44" s="141">
        <f t="shared" ref="B44:J44" si="25">+B41+B42+B43</f>
        <v>-113.79999999999998</v>
      </c>
      <c r="C44" s="141">
        <f t="shared" si="25"/>
        <v>118.10999999999999</v>
      </c>
      <c r="D44" s="141">
        <f t="shared" si="25"/>
        <v>20.894000000000005</v>
      </c>
      <c r="E44" s="141">
        <f t="shared" si="25"/>
        <v>-27.584000000000003</v>
      </c>
      <c r="F44" s="141">
        <f t="shared" si="25"/>
        <v>-5.2000000000000455</v>
      </c>
      <c r="G44" s="141">
        <f t="shared" si="25"/>
        <v>1311.0700000000002</v>
      </c>
      <c r="H44" s="141">
        <f t="shared" si="25"/>
        <v>-1187.3600000000001</v>
      </c>
      <c r="I44" s="141">
        <f t="shared" si="25"/>
        <v>646.54800000000023</v>
      </c>
      <c r="J44" s="141">
        <f t="shared" si="25"/>
        <v>-451.10399999999981</v>
      </c>
      <c r="K44" s="141">
        <f>+K41+K42+K43</f>
        <v>1516.3</v>
      </c>
      <c r="L44" s="141">
        <f>+L41+L42+L43</f>
        <v>562.9</v>
      </c>
      <c r="M44" s="195"/>
      <c r="O44" s="5" t="s">
        <v>66</v>
      </c>
      <c r="P44" s="20"/>
      <c r="Q44" s="20"/>
      <c r="R44" s="20"/>
      <c r="S44" s="20"/>
      <c r="T44" s="45">
        <v>16.739999999999998</v>
      </c>
      <c r="U44" s="45">
        <v>11.71</v>
      </c>
      <c r="V44" s="128">
        <v>12.83</v>
      </c>
      <c r="W44" s="129">
        <v>17.260000000000002</v>
      </c>
      <c r="X44" s="29">
        <v>23.1</v>
      </c>
      <c r="Y44" s="29">
        <v>5.4</v>
      </c>
      <c r="Z44" s="29">
        <v>16.399999999999999</v>
      </c>
    </row>
    <row r="45" spans="1:30" ht="12.75" customHeight="1">
      <c r="A45" s="140" t="s">
        <v>67</v>
      </c>
      <c r="B45" s="141">
        <f>+B40+B44-0.44</f>
        <v>67.820000000000022</v>
      </c>
      <c r="C45" s="141">
        <f t="shared" ref="C45:I45" si="26">+C40+C44</f>
        <v>185.92999999999998</v>
      </c>
      <c r="D45" s="141">
        <f t="shared" si="26"/>
        <v>82.111000000000004</v>
      </c>
      <c r="E45" s="141">
        <f t="shared" si="26"/>
        <v>54.527000000000001</v>
      </c>
      <c r="F45" s="141">
        <f t="shared" si="26"/>
        <v>49.209999999999951</v>
      </c>
      <c r="G45" s="141">
        <f t="shared" si="26"/>
        <v>1360.2800000000002</v>
      </c>
      <c r="H45" s="141">
        <f t="shared" si="26"/>
        <v>172.92000000000007</v>
      </c>
      <c r="I45" s="141">
        <f t="shared" si="26"/>
        <v>819.4680000000003</v>
      </c>
      <c r="J45" s="141">
        <v>369.7</v>
      </c>
      <c r="K45" s="141">
        <f>K40+K44</f>
        <v>1886</v>
      </c>
      <c r="L45" s="141">
        <f>L40+L44</f>
        <v>2448.9</v>
      </c>
      <c r="M45" s="195"/>
      <c r="N45" s="189"/>
      <c r="O45" s="5" t="s">
        <v>157</v>
      </c>
      <c r="P45" s="25"/>
      <c r="Q45" s="25"/>
      <c r="R45" s="25"/>
      <c r="S45" s="25"/>
      <c r="T45" s="29"/>
      <c r="U45" s="55"/>
      <c r="V45" s="58"/>
      <c r="W45" s="136"/>
      <c r="X45" s="29">
        <v>12.9</v>
      </c>
      <c r="Y45" s="29">
        <v>140.6</v>
      </c>
      <c r="Z45" s="29">
        <v>156.1</v>
      </c>
      <c r="AC45" s="93"/>
    </row>
    <row r="46" spans="1:30" ht="12.75" customHeight="1">
      <c r="O46" s="140" t="s">
        <v>81</v>
      </c>
      <c r="P46" s="160">
        <f t="shared" ref="P46:Z46" si="27">SUM(P14:P22)+P23</f>
        <v>3166.1610000000001</v>
      </c>
      <c r="Q46" s="160">
        <f t="shared" si="27"/>
        <v>3147.1469999999999</v>
      </c>
      <c r="R46" s="160">
        <f t="shared" si="27"/>
        <v>3569.7669999999998</v>
      </c>
      <c r="S46" s="160">
        <f t="shared" si="27"/>
        <v>3779.4410000000003</v>
      </c>
      <c r="T46" s="160">
        <f t="shared" si="27"/>
        <v>15941.978999999999</v>
      </c>
      <c r="U46" s="160">
        <f t="shared" si="27"/>
        <v>18271.649000000001</v>
      </c>
      <c r="V46" s="160">
        <f t="shared" si="27"/>
        <v>17859.034</v>
      </c>
      <c r="W46" s="160">
        <f t="shared" si="27"/>
        <v>18198.989999999998</v>
      </c>
      <c r="X46" s="160">
        <f t="shared" si="27"/>
        <v>18602.400000000001</v>
      </c>
      <c r="Y46" s="160">
        <f t="shared" si="27"/>
        <v>24151.599999999999</v>
      </c>
      <c r="Z46" s="160">
        <f t="shared" si="27"/>
        <v>37791.5</v>
      </c>
      <c r="AA46" s="5"/>
    </row>
    <row r="47" spans="1:30" ht="12.75" customHeight="1">
      <c r="A47" s="152" t="s">
        <v>20</v>
      </c>
      <c r="B47" s="153" t="s">
        <v>25</v>
      </c>
      <c r="C47" s="153" t="s">
        <v>26</v>
      </c>
      <c r="D47" s="153" t="s">
        <v>27</v>
      </c>
      <c r="E47" s="153" t="s">
        <v>28</v>
      </c>
      <c r="F47" s="153" t="s">
        <v>89</v>
      </c>
      <c r="G47" s="153" t="s">
        <v>113</v>
      </c>
      <c r="H47" s="154" t="s">
        <v>139</v>
      </c>
      <c r="I47" s="155" t="s">
        <v>141</v>
      </c>
      <c r="J47" s="154" t="s">
        <v>153</v>
      </c>
      <c r="K47" s="154" t="s">
        <v>156</v>
      </c>
      <c r="L47" s="153" t="s">
        <v>160</v>
      </c>
      <c r="M47" s="197"/>
      <c r="O47" s="140" t="s">
        <v>82</v>
      </c>
      <c r="P47" s="160">
        <f t="shared" ref="P47:Z47" si="28">P44+P34+P10+P6+P42+P43+P45</f>
        <v>3263.8540000000003</v>
      </c>
      <c r="Q47" s="160">
        <f t="shared" si="28"/>
        <v>3251.1529999999998</v>
      </c>
      <c r="R47" s="160">
        <f t="shared" si="28"/>
        <v>3620.665</v>
      </c>
      <c r="S47" s="160">
        <f t="shared" si="28"/>
        <v>3920.1550000000007</v>
      </c>
      <c r="T47" s="160">
        <f t="shared" si="28"/>
        <v>15941.97</v>
      </c>
      <c r="U47" s="160">
        <f t="shared" si="28"/>
        <v>18271.632000000001</v>
      </c>
      <c r="V47" s="160">
        <f t="shared" si="28"/>
        <v>17858.965000000004</v>
      </c>
      <c r="W47" s="160">
        <f t="shared" si="28"/>
        <v>18199.041999999998</v>
      </c>
      <c r="X47" s="160">
        <f t="shared" si="28"/>
        <v>18602.400000000001</v>
      </c>
      <c r="Y47" s="160">
        <f t="shared" si="28"/>
        <v>24151.599999999999</v>
      </c>
      <c r="Z47" s="160">
        <f t="shared" si="28"/>
        <v>37791.5</v>
      </c>
    </row>
    <row r="48" spans="1:30" ht="12.75" customHeight="1">
      <c r="A48" s="140" t="s">
        <v>21</v>
      </c>
      <c r="B48" s="141" t="e">
        <f>SUM(#REF!)</f>
        <v>#REF!</v>
      </c>
      <c r="C48" s="141" t="e">
        <f>SUM(#REF!)</f>
        <v>#REF!</v>
      </c>
      <c r="D48" s="141" t="e">
        <f>SUM(#REF!)</f>
        <v>#REF!</v>
      </c>
      <c r="E48" s="141" t="e">
        <f>SUM(#REF!)</f>
        <v>#REF!</v>
      </c>
      <c r="F48" s="141">
        <f t="shared" ref="F48:I48" si="29">F41</f>
        <v>1373.5</v>
      </c>
      <c r="G48" s="141">
        <f t="shared" si="29"/>
        <v>2143.0500000000002</v>
      </c>
      <c r="H48" s="141">
        <f t="shared" si="29"/>
        <v>-598.94000000000005</v>
      </c>
      <c r="I48" s="141">
        <f t="shared" si="29"/>
        <v>4509.3760000000002</v>
      </c>
      <c r="J48" s="141">
        <f>J41</f>
        <v>-1203</v>
      </c>
      <c r="K48" s="141">
        <f>K41</f>
        <v>3449.1</v>
      </c>
      <c r="L48" s="141">
        <f>L41</f>
        <v>679.9</v>
      </c>
      <c r="M48" s="195"/>
    </row>
    <row r="49" spans="1:28" ht="12.75" customHeight="1">
      <c r="A49" s="5" t="s">
        <v>22</v>
      </c>
      <c r="B49" s="29"/>
      <c r="C49" s="27">
        <v>-51.9</v>
      </c>
      <c r="D49" s="27">
        <v>-49.49</v>
      </c>
      <c r="E49" s="27">
        <v>-96.44</v>
      </c>
      <c r="F49" s="29">
        <v>266.95</v>
      </c>
      <c r="G49" s="21">
        <v>106.9</v>
      </c>
      <c r="H49" s="21">
        <v>121.9</v>
      </c>
      <c r="I49" s="55">
        <v>456.8</v>
      </c>
      <c r="J49" s="55">
        <v>2072.1849999999999</v>
      </c>
      <c r="K49" s="21">
        <v>1168.7</v>
      </c>
      <c r="L49" s="21">
        <v>15432</v>
      </c>
      <c r="M49" s="196"/>
      <c r="O49" s="61" t="s">
        <v>43</v>
      </c>
      <c r="P49" s="46"/>
      <c r="Q49" s="46"/>
      <c r="R49" s="46"/>
      <c r="S49" s="46"/>
      <c r="T49" s="46"/>
      <c r="U49" s="46"/>
      <c r="V49" s="46"/>
      <c r="W49" s="46"/>
    </row>
    <row r="50" spans="1:28" ht="12.75" customHeight="1">
      <c r="A50" s="140" t="s">
        <v>23</v>
      </c>
      <c r="B50" s="141"/>
      <c r="C50" s="141" t="e">
        <f>SUM(C48:C49)</f>
        <v>#REF!</v>
      </c>
      <c r="D50" s="141" t="e">
        <f>SUM(D48:D49)</f>
        <v>#REF!</v>
      </c>
      <c r="E50" s="141" t="e">
        <f>SUM(E48:E49)</f>
        <v>#REF!</v>
      </c>
      <c r="F50" s="141">
        <f t="shared" ref="F50:I50" si="30">F48-F49</f>
        <v>1106.55</v>
      </c>
      <c r="G50" s="141">
        <f t="shared" si="30"/>
        <v>2036.15</v>
      </c>
      <c r="H50" s="141">
        <f t="shared" si="30"/>
        <v>-720.84</v>
      </c>
      <c r="I50" s="141">
        <f t="shared" si="30"/>
        <v>4052.576</v>
      </c>
      <c r="J50" s="141">
        <f>J48-J49</f>
        <v>-3275.1849999999999</v>
      </c>
      <c r="K50" s="141">
        <f>K48-K49</f>
        <v>2280.3999999999996</v>
      </c>
      <c r="L50" s="141">
        <f>L48-L49</f>
        <v>-14752.1</v>
      </c>
      <c r="M50" s="195"/>
      <c r="O50" s="146" t="s">
        <v>118</v>
      </c>
      <c r="P50" s="4" t="s">
        <v>25</v>
      </c>
      <c r="Q50" s="4" t="s">
        <v>26</v>
      </c>
      <c r="R50" s="4" t="s">
        <v>27</v>
      </c>
      <c r="S50" s="60" t="s">
        <v>28</v>
      </c>
      <c r="T50" s="153" t="s">
        <v>89</v>
      </c>
      <c r="U50" s="190" t="s">
        <v>113</v>
      </c>
      <c r="V50" s="153" t="s">
        <v>139</v>
      </c>
      <c r="W50" s="153" t="s">
        <v>141</v>
      </c>
      <c r="X50" s="190" t="s">
        <v>153</v>
      </c>
      <c r="Y50" s="147" t="s">
        <v>156</v>
      </c>
      <c r="Z50" s="147" t="s">
        <v>160</v>
      </c>
      <c r="AA50" s="147" t="s">
        <v>164</v>
      </c>
    </row>
    <row r="51" spans="1:28" ht="12.75" customHeight="1">
      <c r="A51" s="1" t="s">
        <v>24</v>
      </c>
      <c r="O51" s="6" t="s">
        <v>44</v>
      </c>
      <c r="P51" s="17">
        <v>25.65</v>
      </c>
      <c r="Q51" s="17">
        <v>14.8</v>
      </c>
      <c r="R51" s="17">
        <v>35.950000000000003</v>
      </c>
      <c r="S51" s="17">
        <v>38.5</v>
      </c>
      <c r="T51" s="26">
        <v>99.2</v>
      </c>
      <c r="U51" s="26">
        <v>40.950000000000003</v>
      </c>
      <c r="V51" s="26">
        <v>79.8</v>
      </c>
      <c r="W51" s="26">
        <v>95.6</v>
      </c>
      <c r="X51" s="26">
        <v>93.04</v>
      </c>
      <c r="Y51" s="26">
        <v>359.1</v>
      </c>
      <c r="Z51" s="26">
        <v>266.55</v>
      </c>
      <c r="AA51" s="26">
        <v>413.1</v>
      </c>
    </row>
    <row r="52" spans="1:28" ht="12.75" customHeight="1">
      <c r="A52" s="152"/>
      <c r="F52" s="147" t="s">
        <v>89</v>
      </c>
      <c r="G52" s="147" t="s">
        <v>113</v>
      </c>
      <c r="H52" s="147" t="s">
        <v>139</v>
      </c>
      <c r="I52" s="147" t="s">
        <v>141</v>
      </c>
      <c r="J52" s="147" t="s">
        <v>153</v>
      </c>
      <c r="K52" s="147" t="s">
        <v>156</v>
      </c>
      <c r="L52" s="147" t="s">
        <v>160</v>
      </c>
      <c r="M52" s="147" t="s">
        <v>164</v>
      </c>
      <c r="O52" s="6" t="s">
        <v>45</v>
      </c>
      <c r="P52" s="15">
        <f>B33</f>
        <v>5.75</v>
      </c>
      <c r="Q52" s="15">
        <v>4.1900000000000004</v>
      </c>
      <c r="R52" s="15">
        <f t="shared" ref="R52:Y52" si="31">D33</f>
        <v>4.8899999999999997</v>
      </c>
      <c r="S52" s="15">
        <f t="shared" si="31"/>
        <v>4.5599999999999996</v>
      </c>
      <c r="T52" s="26">
        <f t="shared" si="31"/>
        <v>10.3</v>
      </c>
      <c r="U52" s="26">
        <f t="shared" si="31"/>
        <v>9.7200000000000006</v>
      </c>
      <c r="V52" s="26">
        <f t="shared" si="31"/>
        <v>16.78</v>
      </c>
      <c r="W52" s="26">
        <f t="shared" si="31"/>
        <v>17.52</v>
      </c>
      <c r="X52" s="161">
        <f t="shared" si="31"/>
        <v>11.17</v>
      </c>
      <c r="Y52" s="26">
        <f t="shared" si="31"/>
        <v>16.73</v>
      </c>
      <c r="Z52" s="26">
        <f t="shared" ref="Z52" si="32">L33</f>
        <v>22.78</v>
      </c>
      <c r="AA52" s="26">
        <f>22.78+4.13-2.83</f>
        <v>24.08</v>
      </c>
    </row>
    <row r="53" spans="1:28" ht="12.75" customHeight="1">
      <c r="A53" s="140" t="s">
        <v>68</v>
      </c>
      <c r="B53" s="141">
        <v>14150000</v>
      </c>
      <c r="C53" s="141">
        <v>14150000</v>
      </c>
      <c r="D53" s="141">
        <v>14150000</v>
      </c>
      <c r="E53" s="141">
        <v>14150000</v>
      </c>
      <c r="F53" s="175">
        <v>14150000</v>
      </c>
      <c r="G53" s="175">
        <v>15706000</v>
      </c>
      <c r="H53" s="175">
        <v>17433000</v>
      </c>
      <c r="I53" s="175">
        <v>59179055</v>
      </c>
      <c r="J53" s="175">
        <v>60103055</v>
      </c>
      <c r="K53" s="175">
        <v>64735188</v>
      </c>
      <c r="L53" s="175">
        <v>64735188</v>
      </c>
      <c r="M53" s="175">
        <v>64735188</v>
      </c>
      <c r="O53" s="6" t="s">
        <v>46</v>
      </c>
      <c r="P53" s="14">
        <f t="shared" ref="P53:Y53" si="33">(P6*1000000)/B53</f>
        <v>52.393286219081276</v>
      </c>
      <c r="Q53" s="14">
        <f t="shared" si="33"/>
        <v>54.842332155477031</v>
      </c>
      <c r="R53" s="14">
        <f t="shared" si="33"/>
        <v>58.516113074204945</v>
      </c>
      <c r="S53" s="14">
        <f t="shared" si="33"/>
        <v>63.066713780918725</v>
      </c>
      <c r="T53" s="26">
        <f t="shared" si="33"/>
        <v>496.1349823321554</v>
      </c>
      <c r="U53" s="161">
        <f t="shared" si="33"/>
        <v>475.22399083152936</v>
      </c>
      <c r="V53" s="26">
        <f t="shared" si="33"/>
        <v>478.90667125566461</v>
      </c>
      <c r="W53" s="26">
        <f t="shared" si="33"/>
        <v>159.20825366339494</v>
      </c>
      <c r="X53" s="161">
        <f t="shared" si="33"/>
        <v>188.39142203337252</v>
      </c>
      <c r="Y53" s="26">
        <f t="shared" si="33"/>
        <v>217.01798409854004</v>
      </c>
      <c r="Z53" s="26">
        <f t="shared" ref="Z53" si="34">(Z6*1000000)/L53</f>
        <v>248.28382362927562</v>
      </c>
      <c r="AA53" s="26"/>
    </row>
    <row r="54" spans="1:28" ht="12.75" customHeight="1">
      <c r="A54" s="5" t="s">
        <v>69</v>
      </c>
      <c r="B54" s="27">
        <f t="shared" ref="B54:K54" si="35">B53*P51/1000000</f>
        <v>362.94749999999999</v>
      </c>
      <c r="C54" s="28">
        <f t="shared" si="35"/>
        <v>209.42</v>
      </c>
      <c r="D54" s="28">
        <f t="shared" si="35"/>
        <v>508.69250000000005</v>
      </c>
      <c r="E54" s="28">
        <f t="shared" si="35"/>
        <v>544.77499999999998</v>
      </c>
      <c r="F54" s="21">
        <f t="shared" si="35"/>
        <v>1403.68</v>
      </c>
      <c r="G54" s="21">
        <f t="shared" si="35"/>
        <v>643.16070000000002</v>
      </c>
      <c r="H54" s="21">
        <f t="shared" si="35"/>
        <v>1391.1533999999999</v>
      </c>
      <c r="I54" s="55">
        <f t="shared" si="35"/>
        <v>5657.5176579999998</v>
      </c>
      <c r="J54" s="55">
        <f t="shared" si="35"/>
        <v>5591.9882372000011</v>
      </c>
      <c r="K54" s="21">
        <f t="shared" si="35"/>
        <v>23246.406010800001</v>
      </c>
      <c r="L54" s="21">
        <f>L53*Z51/1000000</f>
        <v>17255.164361400002</v>
      </c>
      <c r="M54" s="21" t="e">
        <f>M53*#REF!/1000000</f>
        <v>#REF!</v>
      </c>
      <c r="O54" s="6" t="s">
        <v>47</v>
      </c>
      <c r="P54" s="18">
        <v>0</v>
      </c>
      <c r="Q54" s="26">
        <v>0</v>
      </c>
      <c r="R54" s="26">
        <v>0</v>
      </c>
      <c r="S54" s="26">
        <v>1</v>
      </c>
      <c r="T54" s="19">
        <v>1.2</v>
      </c>
      <c r="U54" s="92">
        <v>1.2</v>
      </c>
      <c r="V54" s="101">
        <v>5</v>
      </c>
      <c r="W54" s="162">
        <v>5</v>
      </c>
      <c r="X54" s="163">
        <v>2</v>
      </c>
      <c r="Y54" s="26">
        <v>0</v>
      </c>
      <c r="Z54" s="26">
        <v>0</v>
      </c>
      <c r="AA54" s="26"/>
    </row>
    <row r="55" spans="1:28" ht="12.75" customHeight="1">
      <c r="A55" s="5" t="s">
        <v>72</v>
      </c>
      <c r="B55" s="27">
        <f t="shared" ref="B55:J55" si="36">P10</f>
        <v>1589.7719999999999</v>
      </c>
      <c r="C55" s="28">
        <f t="shared" si="36"/>
        <v>1665.69</v>
      </c>
      <c r="D55" s="28">
        <f t="shared" si="36"/>
        <v>1699.0629999999999</v>
      </c>
      <c r="E55" s="28">
        <f t="shared" si="36"/>
        <v>1795.9580000000001</v>
      </c>
      <c r="F55" s="21">
        <f t="shared" si="36"/>
        <v>2004.6399999999999</v>
      </c>
      <c r="G55" s="21">
        <f t="shared" si="36"/>
        <v>2401.15</v>
      </c>
      <c r="H55" s="21">
        <f t="shared" si="36"/>
        <v>2838.5099999999998</v>
      </c>
      <c r="I55" s="55">
        <f t="shared" si="36"/>
        <v>493.58</v>
      </c>
      <c r="J55" s="55">
        <f t="shared" si="36"/>
        <v>2952.9</v>
      </c>
      <c r="K55" s="21">
        <f>Y10</f>
        <v>3084.5</v>
      </c>
      <c r="L55" s="21">
        <f>Z10</f>
        <v>4559.5</v>
      </c>
      <c r="M55" s="196"/>
      <c r="O55" s="6" t="s">
        <v>48</v>
      </c>
      <c r="P55" s="14">
        <f t="shared" ref="P55:W55" si="37">(P51/P52)</f>
        <v>4.4608695652173909</v>
      </c>
      <c r="Q55" s="14">
        <f t="shared" si="37"/>
        <v>3.532219570405728</v>
      </c>
      <c r="R55" s="14">
        <f t="shared" si="37"/>
        <v>7.3517382413087944</v>
      </c>
      <c r="S55" s="14">
        <f t="shared" si="37"/>
        <v>8.442982456140351</v>
      </c>
      <c r="T55" s="26">
        <f t="shared" si="37"/>
        <v>9.6310679611650478</v>
      </c>
      <c r="U55" s="161">
        <f t="shared" si="37"/>
        <v>4.2129629629629628</v>
      </c>
      <c r="V55" s="26">
        <f t="shared" si="37"/>
        <v>4.7556615017878423</v>
      </c>
      <c r="W55" s="26">
        <f t="shared" si="37"/>
        <v>5.4566210045662098</v>
      </c>
      <c r="X55" s="161">
        <f>(X51/X52)</f>
        <v>8.3294538943598937</v>
      </c>
      <c r="Y55" s="26">
        <f>(Y51/Y52)</f>
        <v>21.464435146443517</v>
      </c>
      <c r="Z55" s="26">
        <f>(Z51/Z52)</f>
        <v>11.701053555750658</v>
      </c>
      <c r="AA55" s="26">
        <f>(AA51/AA52)</f>
        <v>17.155315614617944</v>
      </c>
    </row>
    <row r="56" spans="1:28" ht="12.75" customHeight="1">
      <c r="A56" s="5" t="s">
        <v>70</v>
      </c>
      <c r="B56" s="27">
        <f t="shared" ref="B56:I56" si="38">P26</f>
        <v>59.843000000000004</v>
      </c>
      <c r="C56" s="28">
        <f t="shared" si="38"/>
        <v>61.216999999999999</v>
      </c>
      <c r="D56" s="28">
        <f t="shared" si="38"/>
        <v>82.111000000000004</v>
      </c>
      <c r="E56" s="28">
        <f t="shared" si="38"/>
        <v>54.527000000000001</v>
      </c>
      <c r="F56" s="21">
        <f t="shared" si="38"/>
        <v>49.21</v>
      </c>
      <c r="G56" s="21">
        <f t="shared" si="38"/>
        <v>1360.28</v>
      </c>
      <c r="H56" s="21">
        <f t="shared" si="38"/>
        <v>172.92</v>
      </c>
      <c r="I56" s="55">
        <f t="shared" si="38"/>
        <v>819.46</v>
      </c>
      <c r="J56" s="55">
        <f t="shared" ref="J56" si="39">X26</f>
        <v>369.7</v>
      </c>
      <c r="K56" s="21">
        <f>Y26</f>
        <v>1886</v>
      </c>
      <c r="L56" s="21">
        <f>Z26</f>
        <v>2448.8000000000002</v>
      </c>
      <c r="M56" s="196"/>
      <c r="O56" s="6" t="s">
        <v>49</v>
      </c>
      <c r="P56" s="14">
        <f t="shared" ref="P56:W56" si="40">(P51/P53)</f>
        <v>0.48956654279605855</v>
      </c>
      <c r="Q56" s="14">
        <f t="shared" si="40"/>
        <v>0.26986452651288179</v>
      </c>
      <c r="R56" s="14">
        <f t="shared" si="40"/>
        <v>0.61436069676076055</v>
      </c>
      <c r="S56" s="14">
        <f t="shared" si="40"/>
        <v>0.61046466022855383</v>
      </c>
      <c r="T56" s="26">
        <f t="shared" si="40"/>
        <v>0.19994558644846172</v>
      </c>
      <c r="U56" s="161">
        <f t="shared" si="40"/>
        <v>8.6169892072046297E-2</v>
      </c>
      <c r="V56" s="26">
        <f t="shared" si="40"/>
        <v>0.16662954347820877</v>
      </c>
      <c r="W56" s="26">
        <f t="shared" si="40"/>
        <v>0.60047138135263833</v>
      </c>
      <c r="X56" s="161">
        <f>(X51/X53)</f>
        <v>0.49386537346439519</v>
      </c>
      <c r="Y56" s="26">
        <f>(Y51/Y53)</f>
        <v>1.6547015745798546</v>
      </c>
      <c r="Z56" s="26">
        <f>(Z51/Z53)</f>
        <v>1.0735697400810069</v>
      </c>
      <c r="AA56" s="1" t="s">
        <v>162</v>
      </c>
    </row>
    <row r="57" spans="1:28" ht="12.75" customHeight="1">
      <c r="A57" s="140" t="s">
        <v>71</v>
      </c>
      <c r="B57" s="141">
        <f t="shared" ref="B57:H57" si="41">B54+B55-B56</f>
        <v>1892.8764999999999</v>
      </c>
      <c r="C57" s="141">
        <f t="shared" si="41"/>
        <v>1813.893</v>
      </c>
      <c r="D57" s="141">
        <f t="shared" si="41"/>
        <v>2125.6444999999999</v>
      </c>
      <c r="E57" s="141">
        <f t="shared" si="41"/>
        <v>2286.2060000000001</v>
      </c>
      <c r="F57" s="141">
        <f t="shared" si="41"/>
        <v>3359.1099999999997</v>
      </c>
      <c r="G57" s="141">
        <f t="shared" si="41"/>
        <v>1684.0307</v>
      </c>
      <c r="H57" s="141">
        <f t="shared" si="41"/>
        <v>4056.7433999999994</v>
      </c>
      <c r="I57" s="141">
        <f>I54+I55-I56</f>
        <v>5331.6376579999996</v>
      </c>
      <c r="J57" s="141">
        <f>J54+J55-J56</f>
        <v>8175.1882372000009</v>
      </c>
      <c r="K57" s="141">
        <f>K54+K55-K56</f>
        <v>24444.906010800001</v>
      </c>
      <c r="L57" s="141">
        <f>L54+L55-L56</f>
        <v>19365.864361400003</v>
      </c>
      <c r="M57" s="195"/>
      <c r="N57" s="46"/>
      <c r="O57" s="6" t="s">
        <v>50</v>
      </c>
      <c r="P57" s="14">
        <f t="shared" ref="P57:Y57" si="42">B57/B16</f>
        <v>7.2624175107427771</v>
      </c>
      <c r="Q57" s="14">
        <f t="shared" si="42"/>
        <v>5.5018805772765651</v>
      </c>
      <c r="R57" s="14">
        <f t="shared" si="42"/>
        <v>4.9659833987865625</v>
      </c>
      <c r="S57" s="14">
        <f t="shared" si="42"/>
        <v>7.4662107659198007</v>
      </c>
      <c r="T57" s="26">
        <f t="shared" si="42"/>
        <v>1.6892487539746828</v>
      </c>
      <c r="U57" s="161">
        <f t="shared" si="42"/>
        <v>0.9127438726951449</v>
      </c>
      <c r="V57" s="26">
        <f t="shared" si="42"/>
        <v>1.8669977495202172</v>
      </c>
      <c r="W57" s="26">
        <f t="shared" si="42"/>
        <v>2.4493985463402805</v>
      </c>
      <c r="X57" s="161">
        <f t="shared" si="42"/>
        <v>4.6455212167291764</v>
      </c>
      <c r="Y57" s="26">
        <f t="shared" si="42"/>
        <v>8.3367116877429996</v>
      </c>
      <c r="Z57" s="26">
        <f t="shared" ref="Z57" si="43">L57/L16</f>
        <v>5.4825083830365564</v>
      </c>
      <c r="AA57" s="1" t="s">
        <v>162</v>
      </c>
    </row>
    <row r="58" spans="1:28" ht="12.75" customHeight="1">
      <c r="O58" s="7" t="s">
        <v>51</v>
      </c>
      <c r="P58" s="24">
        <f t="shared" ref="P58:Y58" si="44">(B26/P6)</f>
        <v>5.191369972955337E-2</v>
      </c>
      <c r="Q58" s="24">
        <f t="shared" si="44"/>
        <v>8.7260750058954381E-2</v>
      </c>
      <c r="R58" s="24">
        <f t="shared" si="44"/>
        <v>8.3410325807998439E-2</v>
      </c>
      <c r="S58" s="24">
        <f t="shared" si="44"/>
        <v>7.3217659464316687E-2</v>
      </c>
      <c r="T58" s="164">
        <f t="shared" si="44"/>
        <v>8.3809546871861942E-2</v>
      </c>
      <c r="U58" s="165">
        <f t="shared" si="44"/>
        <v>7.4363453372970151E-2</v>
      </c>
      <c r="V58" s="164">
        <f t="shared" si="44"/>
        <v>9.8527569297550383E-2</v>
      </c>
      <c r="W58" s="164">
        <f t="shared" si="44"/>
        <v>0.10780887376650386</v>
      </c>
      <c r="X58" s="165">
        <f t="shared" si="44"/>
        <v>5.9198615195753673E-2</v>
      </c>
      <c r="Y58" s="164">
        <f t="shared" si="44"/>
        <v>7.4839664880024262E-2</v>
      </c>
      <c r="Z58" s="164">
        <f t="shared" ref="Z58" si="45">(L26/Z6)</f>
        <v>9.5298238628232682E-2</v>
      </c>
      <c r="AA58" s="1" t="s">
        <v>162</v>
      </c>
    </row>
    <row r="59" spans="1:28" ht="12.75" customHeight="1">
      <c r="C59" s="53"/>
      <c r="N59" s="137"/>
      <c r="O59" s="7" t="s">
        <v>52</v>
      </c>
      <c r="P59" s="24">
        <f>(B23+B21)/P11</f>
        <v>0.10904848194047298</v>
      </c>
      <c r="Q59" s="24">
        <f>(C23+C21)/Q11</f>
        <v>0.14404670053717245</v>
      </c>
      <c r="R59" s="24">
        <f t="shared" ref="R59:Y59" si="46">(D16-D20)/R11</f>
        <v>0.23461173598917084</v>
      </c>
      <c r="S59" s="24">
        <f t="shared" si="46"/>
        <v>0.13433273818345168</v>
      </c>
      <c r="T59" s="164">
        <f t="shared" si="46"/>
        <v>0.19206674501378623</v>
      </c>
      <c r="U59" s="165">
        <f t="shared" si="46"/>
        <v>0.13398625034540418</v>
      </c>
      <c r="V59" s="164">
        <f t="shared" si="46"/>
        <v>0.15276782849108253</v>
      </c>
      <c r="W59" s="164">
        <f t="shared" si="46"/>
        <v>0.17373858010802248</v>
      </c>
      <c r="X59" s="165">
        <f t="shared" si="46"/>
        <v>9.1399431205256398E-2</v>
      </c>
      <c r="Y59" s="164">
        <f t="shared" si="46"/>
        <v>0.13548549015945632</v>
      </c>
      <c r="Z59" s="164">
        <f t="shared" ref="Z59" si="47">(L16-L20)/Z11</f>
        <v>0.14927152703056365</v>
      </c>
      <c r="AA59" s="1" t="s">
        <v>162</v>
      </c>
    </row>
    <row r="60" spans="1:28" ht="12.75" customHeight="1">
      <c r="C60" s="53"/>
      <c r="O60" s="6" t="s">
        <v>53</v>
      </c>
      <c r="P60" s="13">
        <f t="shared" ref="P60:Z60" si="48">(P10/P6)</f>
        <v>2.1443850195247953</v>
      </c>
      <c r="Q60" s="13">
        <f t="shared" si="48"/>
        <v>2.1464551769995324</v>
      </c>
      <c r="R60" s="13">
        <f t="shared" si="48"/>
        <v>2.0520010193199782</v>
      </c>
      <c r="S60" s="13">
        <f t="shared" si="48"/>
        <v>2.0125168927626138</v>
      </c>
      <c r="T60" s="101">
        <f t="shared" si="48"/>
        <v>0.2855486438633052</v>
      </c>
      <c r="U60" s="163">
        <f t="shared" si="48"/>
        <v>0.32170317052766739</v>
      </c>
      <c r="V60" s="101">
        <f t="shared" si="48"/>
        <v>0.33999099269593874</v>
      </c>
      <c r="W60" s="101">
        <f t="shared" si="48"/>
        <v>5.2387050703931758E-2</v>
      </c>
      <c r="X60" s="163">
        <f t="shared" si="48"/>
        <v>0.26079008027978701</v>
      </c>
      <c r="Y60" s="101">
        <f t="shared" si="48"/>
        <v>0.21955768149366131</v>
      </c>
      <c r="Z60" s="101">
        <f t="shared" si="48"/>
        <v>0.28367977999962668</v>
      </c>
      <c r="AA60" s="1" t="s">
        <v>162</v>
      </c>
    </row>
    <row r="61" spans="1:28" ht="12.75" customHeight="1">
      <c r="C61" s="53"/>
      <c r="F61" s="93"/>
      <c r="O61" s="6" t="s">
        <v>54</v>
      </c>
      <c r="P61" s="13">
        <f t="shared" ref="P61:Z61" si="49">(P10-P26)/P6</f>
        <v>2.0636649963243476</v>
      </c>
      <c r="Q61" s="13">
        <f t="shared" si="49"/>
        <v>2.0675692218876085</v>
      </c>
      <c r="R61" s="13">
        <f t="shared" si="49"/>
        <v>1.9528335042264335</v>
      </c>
      <c r="S61" s="13">
        <f t="shared" si="49"/>
        <v>1.9514149579669966</v>
      </c>
      <c r="T61" s="101">
        <f t="shared" si="49"/>
        <v>0.27853898189681081</v>
      </c>
      <c r="U61" s="163">
        <f t="shared" si="49"/>
        <v>0.13945450267877194</v>
      </c>
      <c r="V61" s="101">
        <f t="shared" si="49"/>
        <v>0.31927898447437825</v>
      </c>
      <c r="W61" s="101">
        <f t="shared" si="49"/>
        <v>-3.4587892709180446E-2</v>
      </c>
      <c r="X61" s="163">
        <f t="shared" si="49"/>
        <v>0.22813943424387748</v>
      </c>
      <c r="Y61" s="101">
        <f t="shared" si="49"/>
        <v>8.5310384590745053E-2</v>
      </c>
      <c r="Z61" s="101">
        <f t="shared" si="49"/>
        <v>0.1313220554107275</v>
      </c>
      <c r="AA61" s="1" t="s">
        <v>162</v>
      </c>
    </row>
    <row r="62" spans="1:28" ht="12.75" customHeight="1">
      <c r="C62" s="53"/>
      <c r="O62" s="6" t="s">
        <v>55</v>
      </c>
      <c r="P62" s="31">
        <f t="shared" ref="P62:W62" si="50">(P54/P51)</f>
        <v>0</v>
      </c>
      <c r="Q62" s="31">
        <f t="shared" si="50"/>
        <v>0</v>
      </c>
      <c r="R62" s="31">
        <f t="shared" si="50"/>
        <v>0</v>
      </c>
      <c r="S62" s="31">
        <f t="shared" si="50"/>
        <v>2.5974025974025976E-2</v>
      </c>
      <c r="T62" s="166">
        <f t="shared" si="50"/>
        <v>1.2096774193548387E-2</v>
      </c>
      <c r="U62" s="167">
        <f t="shared" si="50"/>
        <v>2.9304029304029301E-2</v>
      </c>
      <c r="V62" s="166">
        <f t="shared" si="50"/>
        <v>6.2656641604010022E-2</v>
      </c>
      <c r="W62" s="166">
        <f t="shared" si="50"/>
        <v>5.2301255230125528E-2</v>
      </c>
      <c r="X62" s="167">
        <f>(X54/X51)</f>
        <v>2.1496130696474634E-2</v>
      </c>
      <c r="Y62" s="166">
        <f>(Y54/Y51)</f>
        <v>0</v>
      </c>
      <c r="Z62" s="166">
        <f>(Z54/Z51)</f>
        <v>0</v>
      </c>
      <c r="AA62" s="1" t="s">
        <v>162</v>
      </c>
    </row>
    <row r="63" spans="1:28" ht="12.75" customHeight="1">
      <c r="C63" s="53"/>
      <c r="O63" s="6" t="s">
        <v>56</v>
      </c>
      <c r="P63" s="6"/>
      <c r="Q63" s="32">
        <f t="shared" ref="Q63:Y63" si="51">(AVERAGE(P25:Q25)/C6*365)</f>
        <v>9.0855331731617408</v>
      </c>
      <c r="R63" s="32">
        <f t="shared" si="51"/>
        <v>9.1118405930142501</v>
      </c>
      <c r="S63" s="32">
        <f t="shared" si="51"/>
        <v>16.843540923787625</v>
      </c>
      <c r="T63" s="168">
        <f t="shared" si="51"/>
        <v>47.633244164145331</v>
      </c>
      <c r="U63" s="169">
        <f t="shared" si="51"/>
        <v>103.30779696063762</v>
      </c>
      <c r="V63" s="168">
        <f t="shared" si="51"/>
        <v>95.611701119761094</v>
      </c>
      <c r="W63" s="168">
        <f t="shared" si="51"/>
        <v>100.68106408338916</v>
      </c>
      <c r="X63" s="169">
        <f t="shared" si="51"/>
        <v>83.459645344150957</v>
      </c>
      <c r="Y63" s="168">
        <f t="shared" si="51"/>
        <v>48.508709454234669</v>
      </c>
      <c r="Z63" s="168">
        <f t="shared" ref="Z63" si="52">(AVERAGE(Y25:Z25)/L6*365)</f>
        <v>64.181828532232089</v>
      </c>
      <c r="AA63" s="1" t="s">
        <v>162</v>
      </c>
      <c r="AB63"/>
    </row>
    <row r="64" spans="1:28" ht="12.75" customHeight="1">
      <c r="F64" s="88"/>
      <c r="G64" s="88"/>
      <c r="H64" s="88"/>
      <c r="O64" s="6" t="s">
        <v>57</v>
      </c>
      <c r="P64" s="6"/>
      <c r="Q64" s="32">
        <f>AVERAGE(P35:Q35)/(C10+C12)*365</f>
        <v>37.55335662702111</v>
      </c>
      <c r="R64" s="32">
        <f>AVERAGE(Q35:R35)/(D10)*365</f>
        <v>48.667178364790459</v>
      </c>
      <c r="S64" s="32">
        <f>AVERAGE(R35:S35)/(E10)*365</f>
        <v>85.452763147414657</v>
      </c>
      <c r="T64" s="168">
        <f t="shared" ref="T64:Y64" si="53">AVERAGE(S35:T35)/(F9)*365</f>
        <v>58.780372189241454</v>
      </c>
      <c r="U64" s="168">
        <f t="shared" si="53"/>
        <v>129.00472183348404</v>
      </c>
      <c r="V64" s="168">
        <f t="shared" si="53"/>
        <v>104.06203295771927</v>
      </c>
      <c r="W64" s="168">
        <f t="shared" si="53"/>
        <v>118.67595434712597</v>
      </c>
      <c r="X64" s="168">
        <f t="shared" si="53"/>
        <v>95.401973247580415</v>
      </c>
      <c r="Y64" s="168">
        <f t="shared" si="53"/>
        <v>53.01540670318267</v>
      </c>
      <c r="Z64" s="168">
        <f t="shared" ref="Z64" si="54">AVERAGE(Y35:Z35)/(L9)*365</f>
        <v>97.013895391299457</v>
      </c>
      <c r="AA64" s="1" t="s">
        <v>162</v>
      </c>
      <c r="AB64"/>
    </row>
    <row r="65" spans="1:28" ht="12.75" customHeight="1">
      <c r="O65" s="6" t="s">
        <v>58</v>
      </c>
      <c r="P65" s="9"/>
      <c r="Q65" s="33">
        <f>(AVERAGE(P24:Q24)/(C10+C12)*365)</f>
        <v>130.61871167593907</v>
      </c>
      <c r="R65" s="33">
        <f>(AVERAGE(Q24:R24)/(D10+D12)*365)</f>
        <v>138.96107294405965</v>
      </c>
      <c r="S65" s="33">
        <f>(AVERAGE(R24:S24)/(E10+E12)*365)</f>
        <v>226.11376265827582</v>
      </c>
      <c r="T65" s="170">
        <f t="shared" ref="T65:Y65" si="55">(AVERAGE(S24:T24)/(F9)*365)</f>
        <v>40.958698990200311</v>
      </c>
      <c r="U65" s="170">
        <f t="shared" si="55"/>
        <v>68.378079419052355</v>
      </c>
      <c r="V65" s="170">
        <f t="shared" si="55"/>
        <v>68.53636586384637</v>
      </c>
      <c r="W65" s="170">
        <f t="shared" si="55"/>
        <v>60.574148331800693</v>
      </c>
      <c r="X65" s="170">
        <f t="shared" si="55"/>
        <v>63.187789762174184</v>
      </c>
      <c r="Y65" s="170">
        <f t="shared" si="55"/>
        <v>66.208079255155951</v>
      </c>
      <c r="Z65" s="170">
        <f t="shared" ref="Z65" si="56">(AVERAGE(Y24:Z24)/(L9)*365)</f>
        <v>109.03326061037349</v>
      </c>
      <c r="AA65" s="1" t="s">
        <v>162</v>
      </c>
      <c r="AB65"/>
    </row>
    <row r="66" spans="1:28" ht="12.75" customHeight="1">
      <c r="O66" s="6" t="s">
        <v>76</v>
      </c>
      <c r="P66" s="34"/>
      <c r="Q66" s="33">
        <f t="shared" ref="Q66:W66" si="57">(Q65+Q63-Q64)</f>
        <v>102.15088822207969</v>
      </c>
      <c r="R66" s="33">
        <f t="shared" si="57"/>
        <v>99.405735172283443</v>
      </c>
      <c r="S66" s="33">
        <f t="shared" si="57"/>
        <v>157.50454043464879</v>
      </c>
      <c r="T66" s="170">
        <f t="shared" si="57"/>
        <v>29.811570965104188</v>
      </c>
      <c r="U66" s="171">
        <f t="shared" si="57"/>
        <v>42.681154546205931</v>
      </c>
      <c r="V66" s="170">
        <f t="shared" si="57"/>
        <v>60.086034025888196</v>
      </c>
      <c r="W66" s="170">
        <f t="shared" si="57"/>
        <v>42.579258068063879</v>
      </c>
      <c r="X66" s="171">
        <f>(X65+X63-X64)</f>
        <v>51.245461858744719</v>
      </c>
      <c r="Y66" s="170">
        <f>(Y65+Y63-Y64)</f>
        <v>61.701382006207943</v>
      </c>
      <c r="Z66" s="170">
        <f>(Z65+Z63-Z64)</f>
        <v>76.201193751306107</v>
      </c>
      <c r="AA66" s="1" t="s">
        <v>162</v>
      </c>
    </row>
    <row r="67" spans="1:28" ht="12.75" customHeight="1">
      <c r="O67" s="6" t="s">
        <v>59</v>
      </c>
      <c r="P67" s="34"/>
      <c r="Q67" s="33">
        <f t="shared" ref="Q67:Y67" si="58">AVERAGE(P41:Q41)/C6*365</f>
        <v>24.872235465955338</v>
      </c>
      <c r="R67" s="33">
        <f t="shared" si="58"/>
        <v>21.318479793387876</v>
      </c>
      <c r="S67" s="33">
        <f t="shared" si="58"/>
        <v>36.194884012814505</v>
      </c>
      <c r="T67" s="170">
        <f t="shared" si="58"/>
        <v>17.456291377881353</v>
      </c>
      <c r="U67" s="171">
        <f t="shared" si="58"/>
        <v>30.368440754282638</v>
      </c>
      <c r="V67" s="170">
        <f t="shared" si="58"/>
        <v>37.511450928618196</v>
      </c>
      <c r="W67" s="170">
        <f t="shared" si="58"/>
        <v>55.55159387249266</v>
      </c>
      <c r="X67" s="171">
        <f t="shared" si="58"/>
        <v>77.422636949043536</v>
      </c>
      <c r="Y67" s="170">
        <f t="shared" si="58"/>
        <v>77.714605710922498</v>
      </c>
      <c r="Z67" s="170">
        <f t="shared" ref="Z67" si="59">AVERAGE(Y41:Z41)/L6*365</f>
        <v>78.773948110436109</v>
      </c>
      <c r="AA67" s="1" t="s">
        <v>162</v>
      </c>
    </row>
    <row r="68" spans="1:28" ht="12.75" customHeight="1">
      <c r="A68"/>
      <c r="B68"/>
      <c r="C68"/>
      <c r="D68"/>
      <c r="E68"/>
      <c r="F68"/>
      <c r="G68"/>
      <c r="H68"/>
      <c r="I68"/>
      <c r="J68"/>
      <c r="O68" s="12" t="s">
        <v>79</v>
      </c>
      <c r="P68" s="12"/>
      <c r="Q68" s="16">
        <f t="shared" ref="Q68:X68" si="60">C21/Q10</f>
        <v>8.4934171424454724E-2</v>
      </c>
      <c r="R68" s="16">
        <f t="shared" si="60"/>
        <v>0.1431288892760304</v>
      </c>
      <c r="S68" s="16">
        <f t="shared" si="60"/>
        <v>7.7998483260744392E-2</v>
      </c>
      <c r="T68" s="172">
        <f t="shared" si="60"/>
        <v>0.32172210471705648</v>
      </c>
      <c r="U68" s="173">
        <f t="shared" si="60"/>
        <v>0.26828811194635904</v>
      </c>
      <c r="V68" s="172">
        <f t="shared" si="60"/>
        <v>0.18602471014722516</v>
      </c>
      <c r="W68" s="172">
        <f t="shared" si="60"/>
        <v>0.75576400988694836</v>
      </c>
      <c r="X68" s="173">
        <f t="shared" si="60"/>
        <v>0.13894815266348334</v>
      </c>
      <c r="Y68" s="192" t="s">
        <v>162</v>
      </c>
      <c r="Z68" s="192" t="s">
        <v>162</v>
      </c>
      <c r="AA68" s="1" t="s">
        <v>162</v>
      </c>
    </row>
    <row r="69" spans="1:28" ht="15.75" customHeight="1">
      <c r="A69"/>
      <c r="B69"/>
      <c r="C69"/>
      <c r="D69"/>
      <c r="E69"/>
      <c r="F69"/>
      <c r="G69"/>
      <c r="H69"/>
      <c r="I69"/>
      <c r="J69"/>
      <c r="T69" s="186">
        <f t="shared" ref="T69:Y69" si="61">1-F25</f>
        <v>0.66535074674968575</v>
      </c>
      <c r="U69" s="186">
        <f t="shared" si="61"/>
        <v>0.85054454011759772</v>
      </c>
      <c r="V69" s="186">
        <f t="shared" si="61"/>
        <v>0.69650092081031378</v>
      </c>
      <c r="W69" s="186">
        <f t="shared" si="61"/>
        <v>0.75260307649447733</v>
      </c>
      <c r="X69" s="186">
        <f t="shared" si="61"/>
        <v>0.7493571827836778</v>
      </c>
      <c r="Y69" s="186">
        <f t="shared" si="61"/>
        <v>0.72862092862092798</v>
      </c>
      <c r="Z69" s="186">
        <f t="shared" ref="Z69" si="62">1-L25</f>
        <v>0.73515718742500547</v>
      </c>
    </row>
    <row r="70" spans="1:28" ht="12.75" customHeight="1">
      <c r="A70"/>
      <c r="B70"/>
      <c r="C70"/>
      <c r="D70"/>
      <c r="E70"/>
      <c r="F70"/>
      <c r="G70"/>
      <c r="H70"/>
      <c r="I70"/>
      <c r="J70"/>
      <c r="O70" s="198"/>
      <c r="P70" s="199"/>
      <c r="Q70" s="199"/>
      <c r="R70" s="199"/>
      <c r="S70" s="199"/>
      <c r="T70" s="199"/>
      <c r="U70" s="199"/>
      <c r="V70" s="199"/>
      <c r="W70" s="199"/>
      <c r="X70" s="199"/>
      <c r="Y70" s="199"/>
      <c r="Z70" s="199"/>
      <c r="AA70" s="199"/>
      <c r="AB70" s="200"/>
    </row>
    <row r="71" spans="1:28" ht="12.75" customHeight="1">
      <c r="A71"/>
      <c r="B71"/>
      <c r="C71"/>
      <c r="D71"/>
      <c r="E71"/>
      <c r="F71"/>
      <c r="G71"/>
      <c r="H71"/>
      <c r="I71"/>
      <c r="J71"/>
      <c r="T71" s="187">
        <f>T69*T68</f>
        <v>0.21405804261937411</v>
      </c>
      <c r="U71" s="187">
        <f t="shared" ref="U71:X71" si="63">U69*U68</f>
        <v>0.22819098879443453</v>
      </c>
      <c r="V71" s="187">
        <f t="shared" si="63"/>
        <v>0.12956638191101405</v>
      </c>
      <c r="W71" s="187">
        <f t="shared" si="63"/>
        <v>0.56879031894471987</v>
      </c>
      <c r="X71" s="187">
        <f t="shared" si="63"/>
        <v>0.10412179623290425</v>
      </c>
      <c r="Y71" s="187" t="e">
        <f>Y69*Y68</f>
        <v>#VALUE!</v>
      </c>
      <c r="Z71" s="187"/>
    </row>
    <row r="72" spans="1:28" ht="12.75" customHeight="1">
      <c r="A72"/>
      <c r="B72"/>
      <c r="C72"/>
      <c r="D72"/>
      <c r="E72"/>
      <c r="F72"/>
      <c r="G72"/>
      <c r="H72"/>
      <c r="I72"/>
      <c r="J72"/>
    </row>
    <row r="73" spans="1:28" ht="12.75" customHeight="1">
      <c r="A73"/>
      <c r="B73"/>
      <c r="C73"/>
      <c r="D73"/>
      <c r="E73"/>
      <c r="F73"/>
      <c r="G73"/>
      <c r="H73"/>
      <c r="I73"/>
      <c r="J73"/>
    </row>
    <row r="74" spans="1:28" ht="12.75" customHeight="1">
      <c r="A74"/>
      <c r="B74"/>
      <c r="C74"/>
      <c r="D74"/>
      <c r="E74"/>
      <c r="F74"/>
      <c r="G74"/>
      <c r="H74"/>
      <c r="I74"/>
      <c r="J74"/>
    </row>
    <row r="75" spans="1:28" ht="12.75" customHeight="1">
      <c r="A75"/>
      <c r="B75"/>
      <c r="C75"/>
      <c r="D75"/>
      <c r="E75"/>
      <c r="F75"/>
      <c r="G75"/>
      <c r="H75"/>
      <c r="I75"/>
      <c r="J75"/>
    </row>
    <row r="76" spans="1:28" ht="12.75" customHeight="1">
      <c r="A76"/>
      <c r="B76"/>
      <c r="C76"/>
      <c r="D76"/>
      <c r="E76"/>
      <c r="F76"/>
      <c r="G76"/>
      <c r="H76"/>
      <c r="I76"/>
      <c r="J76"/>
    </row>
    <row r="77" spans="1:28" ht="12.75" customHeight="1">
      <c r="A77"/>
      <c r="B77"/>
      <c r="C77"/>
      <c r="D77"/>
      <c r="E77"/>
      <c r="F77"/>
      <c r="G77"/>
      <c r="H77"/>
      <c r="I77"/>
      <c r="J77"/>
    </row>
    <row r="78" spans="1:28" ht="12.75" customHeight="1">
      <c r="A78"/>
      <c r="B78"/>
      <c r="C78"/>
      <c r="D78"/>
      <c r="E78"/>
      <c r="F78"/>
      <c r="G78"/>
      <c r="H78"/>
      <c r="I78"/>
      <c r="J78"/>
    </row>
    <row r="79" spans="1:28" ht="12.75" customHeight="1">
      <c r="A79"/>
      <c r="B79"/>
      <c r="C79"/>
      <c r="D79"/>
      <c r="E79"/>
      <c r="F79"/>
      <c r="G79"/>
      <c r="H79"/>
      <c r="I79"/>
      <c r="J79"/>
    </row>
    <row r="80" spans="1:28" ht="12.75" customHeight="1">
      <c r="A80"/>
      <c r="B80"/>
      <c r="C80"/>
      <c r="D80"/>
      <c r="E80"/>
      <c r="F80"/>
      <c r="G80"/>
      <c r="H80"/>
      <c r="I80"/>
      <c r="J80"/>
      <c r="P80" s="1"/>
    </row>
    <row r="81" spans="1:16" ht="12.75" customHeight="1">
      <c r="A81"/>
      <c r="B81"/>
      <c r="C81"/>
      <c r="D81"/>
      <c r="E81"/>
      <c r="F81"/>
      <c r="G81"/>
      <c r="H81"/>
      <c r="I81"/>
      <c r="J81"/>
      <c r="P81" s="1"/>
    </row>
    <row r="82" spans="1:16" ht="12.75" customHeight="1">
      <c r="A82"/>
      <c r="B82"/>
      <c r="C82"/>
      <c r="D82"/>
      <c r="E82"/>
      <c r="F82"/>
      <c r="G82"/>
      <c r="H82"/>
      <c r="I82"/>
      <c r="J82"/>
      <c r="P82" s="1"/>
    </row>
    <row r="83" spans="1:16" ht="12.75" customHeight="1">
      <c r="A83"/>
      <c r="B83"/>
      <c r="C83"/>
      <c r="D83"/>
      <c r="E83"/>
      <c r="F83"/>
      <c r="G83"/>
      <c r="H83"/>
      <c r="I83"/>
      <c r="J83"/>
      <c r="P83" s="10"/>
    </row>
    <row r="84" spans="1:16" ht="12.75" customHeight="1">
      <c r="A84"/>
      <c r="B84"/>
      <c r="C84"/>
      <c r="D84"/>
      <c r="E84"/>
      <c r="F84"/>
      <c r="G84"/>
      <c r="H84"/>
      <c r="I84"/>
      <c r="J84"/>
    </row>
    <row r="85" spans="1:16" ht="12.75" customHeight="1">
      <c r="A85"/>
      <c r="B85"/>
      <c r="C85"/>
      <c r="D85"/>
      <c r="E85"/>
      <c r="F85"/>
      <c r="G85"/>
      <c r="H85"/>
      <c r="I85"/>
      <c r="J85"/>
    </row>
    <row r="86" spans="1:16" ht="12.75" customHeight="1">
      <c r="A86"/>
      <c r="B86"/>
      <c r="C86"/>
      <c r="D86"/>
      <c r="E86"/>
      <c r="F86"/>
      <c r="G86"/>
      <c r="H86"/>
      <c r="I86"/>
      <c r="J86"/>
    </row>
    <row r="87" spans="1:16" ht="12.75" customHeight="1">
      <c r="A87"/>
      <c r="B87"/>
      <c r="C87"/>
      <c r="D87"/>
      <c r="E87"/>
      <c r="F87"/>
      <c r="G87"/>
      <c r="H87"/>
      <c r="I87"/>
      <c r="J87"/>
    </row>
    <row r="88" spans="1:16" ht="12.75" customHeight="1">
      <c r="A88"/>
      <c r="B88"/>
      <c r="C88"/>
      <c r="D88"/>
      <c r="E88"/>
      <c r="F88"/>
      <c r="G88"/>
      <c r="H88"/>
      <c r="I88"/>
      <c r="J88"/>
    </row>
    <row r="89" spans="1:16" ht="12.75" customHeight="1">
      <c r="A89"/>
      <c r="B89"/>
      <c r="C89"/>
      <c r="D89"/>
      <c r="E89"/>
      <c r="F89"/>
      <c r="G89"/>
      <c r="H89"/>
      <c r="I89"/>
      <c r="J89"/>
    </row>
    <row r="90" spans="1:16" ht="12.75" customHeight="1">
      <c r="A90"/>
      <c r="B90"/>
      <c r="C90"/>
      <c r="D90"/>
      <c r="E90"/>
      <c r="F90"/>
      <c r="G90"/>
      <c r="H90"/>
      <c r="I90"/>
      <c r="J90"/>
    </row>
  </sheetData>
  <mergeCells count="4">
    <mergeCell ref="O70:AB70"/>
    <mergeCell ref="A2:L2"/>
    <mergeCell ref="A1:Z1"/>
    <mergeCell ref="O2:Z2"/>
  </mergeCells>
  <phoneticPr fontId="23" type="noConversion"/>
  <pageMargins left="0" right="0" top="0" bottom="0" header="0" footer="0"/>
  <pageSetup paperSize="9" scale="68" orientation="landscape" r:id="rId1"/>
  <ignoredErrors>
    <ignoredError sqref="U6 V19" formula="1"/>
    <ignoredError sqref="T63:X63 Y63:Z63 U65:Z65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zoomScale="90" zoomScaleNormal="90" workbookViewId="0">
      <selection activeCell="C23" sqref="C23"/>
    </sheetView>
  </sheetViews>
  <sheetFormatPr defaultColWidth="8.81640625" defaultRowHeight="14.5"/>
  <cols>
    <col min="1" max="1" width="51" bestFit="1" customWidth="1"/>
  </cols>
  <sheetData>
    <row r="1" spans="1:11">
      <c r="A1" s="146" t="s">
        <v>115</v>
      </c>
      <c r="B1" s="147" t="s">
        <v>25</v>
      </c>
      <c r="C1" s="147" t="s">
        <v>26</v>
      </c>
      <c r="D1" s="147" t="s">
        <v>27</v>
      </c>
      <c r="E1" s="147" t="s">
        <v>28</v>
      </c>
      <c r="F1" s="147" t="s">
        <v>89</v>
      </c>
      <c r="G1" s="147" t="s">
        <v>113</v>
      </c>
      <c r="H1" s="147" t="s">
        <v>139</v>
      </c>
      <c r="I1" s="147" t="s">
        <v>141</v>
      </c>
      <c r="J1" s="147" t="s">
        <v>153</v>
      </c>
      <c r="K1" s="147" t="s">
        <v>156</v>
      </c>
    </row>
    <row r="2" spans="1:11">
      <c r="A2" s="3" t="s">
        <v>0</v>
      </c>
      <c r="B2" s="35">
        <v>5738.2269999999999</v>
      </c>
      <c r="C2" s="35">
        <v>6373.915</v>
      </c>
      <c r="D2" s="35">
        <v>6768.9319999999998</v>
      </c>
      <c r="E2" s="35">
        <v>5278.1689999999999</v>
      </c>
      <c r="F2" s="35">
        <v>22217.11</v>
      </c>
      <c r="G2" s="35">
        <v>17592.79</v>
      </c>
      <c r="H2" s="35">
        <v>20801.96</v>
      </c>
      <c r="I2" s="35">
        <v>21386.319</v>
      </c>
      <c r="J2" s="178">
        <v>22313.4</v>
      </c>
      <c r="K2" s="39">
        <v>31421.8</v>
      </c>
    </row>
    <row r="3" spans="1:11">
      <c r="A3" s="5" t="s">
        <v>5</v>
      </c>
      <c r="B3" s="36">
        <v>38.959000000000003</v>
      </c>
      <c r="C3" s="37">
        <v>42.536999999999999</v>
      </c>
      <c r="D3" s="37">
        <v>61.258000000000003</v>
      </c>
      <c r="E3" s="37">
        <v>50.48</v>
      </c>
      <c r="F3" s="103">
        <v>206.55500000000001</v>
      </c>
      <c r="G3" s="103">
        <v>165.54</v>
      </c>
      <c r="H3" s="103">
        <v>307.89999999999998</v>
      </c>
      <c r="I3" s="103">
        <v>370.84800000000001</v>
      </c>
      <c r="J3" s="178">
        <v>390.3</v>
      </c>
      <c r="K3" s="39">
        <v>520.5</v>
      </c>
    </row>
    <row r="4" spans="1:11">
      <c r="A4" s="140" t="s">
        <v>145</v>
      </c>
      <c r="B4" s="141">
        <f t="shared" ref="B4:I4" si="0">B2+B3</f>
        <v>5777.1859999999997</v>
      </c>
      <c r="C4" s="141">
        <f t="shared" si="0"/>
        <v>6416.4520000000002</v>
      </c>
      <c r="D4" s="141">
        <f t="shared" si="0"/>
        <v>6830.19</v>
      </c>
      <c r="E4" s="141">
        <f t="shared" si="0"/>
        <v>5328.6489999999994</v>
      </c>
      <c r="F4" s="141">
        <f t="shared" si="0"/>
        <v>22423.665000000001</v>
      </c>
      <c r="G4" s="141">
        <f t="shared" si="0"/>
        <v>17758.330000000002</v>
      </c>
      <c r="H4" s="141">
        <f t="shared" si="0"/>
        <v>21109.86</v>
      </c>
      <c r="I4" s="141">
        <f t="shared" si="0"/>
        <v>21757.167000000001</v>
      </c>
      <c r="J4" s="141">
        <f>J2+J3</f>
        <v>22703.7</v>
      </c>
      <c r="K4" s="141">
        <f>K2+K3</f>
        <v>31942.3</v>
      </c>
    </row>
    <row r="5" spans="1:11">
      <c r="A5" s="140" t="s">
        <v>2</v>
      </c>
      <c r="B5" s="141">
        <f t="shared" ref="B5:K5" si="1">SUM(B6:B14)</f>
        <v>5517.3711594089946</v>
      </c>
      <c r="C5" s="141">
        <f t="shared" si="1"/>
        <v>6087.5508686403882</v>
      </c>
      <c r="D5" s="141">
        <f t="shared" si="1"/>
        <v>6402.9424629864789</v>
      </c>
      <c r="E5" s="141">
        <f t="shared" si="1"/>
        <v>5023.1676933228173</v>
      </c>
      <c r="F5" s="141">
        <f t="shared" si="1"/>
        <v>20435.931049340801</v>
      </c>
      <c r="G5" s="141">
        <f t="shared" si="1"/>
        <v>15914.05977078678</v>
      </c>
      <c r="H5" s="141">
        <f t="shared" si="1"/>
        <v>18937.70032710379</v>
      </c>
      <c r="I5" s="141">
        <f t="shared" si="1"/>
        <v>19581.219636854101</v>
      </c>
      <c r="J5" s="141">
        <f t="shared" si="1"/>
        <v>20944.721439135228</v>
      </c>
      <c r="K5" s="141">
        <f t="shared" si="1"/>
        <v>29010.886807248473</v>
      </c>
    </row>
    <row r="6" spans="1:11">
      <c r="A6" s="5" t="s">
        <v>87</v>
      </c>
      <c r="B6" s="38">
        <v>4886.2389999999996</v>
      </c>
      <c r="C6" s="38">
        <v>5026.9350000000004</v>
      </c>
      <c r="D6" s="38">
        <v>5373.6109999999999</v>
      </c>
      <c r="E6" s="38">
        <v>3854.4270000000001</v>
      </c>
      <c r="F6" s="35">
        <v>15198.129000000001</v>
      </c>
      <c r="G6" s="35">
        <v>11664.14</v>
      </c>
      <c r="H6" s="35">
        <v>13012.5</v>
      </c>
      <c r="I6" s="35">
        <v>15481.7</v>
      </c>
      <c r="J6" s="178">
        <v>14563.6</v>
      </c>
      <c r="K6" s="39">
        <v>24874.7</v>
      </c>
    </row>
    <row r="7" spans="1:11">
      <c r="A7" s="5"/>
      <c r="B7" s="185">
        <f t="shared" ref="B7:K7" si="2">B6/B2</f>
        <v>0.85152417288476034</v>
      </c>
      <c r="C7" s="185">
        <f t="shared" si="2"/>
        <v>0.78867305259012721</v>
      </c>
      <c r="D7" s="185">
        <f t="shared" si="2"/>
        <v>0.79386393599462957</v>
      </c>
      <c r="E7" s="185">
        <f t="shared" si="2"/>
        <v>0.73025835284925511</v>
      </c>
      <c r="F7" s="185">
        <f t="shared" si="2"/>
        <v>0.68407317603414663</v>
      </c>
      <c r="G7" s="185">
        <f t="shared" si="2"/>
        <v>0.66300683404963046</v>
      </c>
      <c r="H7" s="185">
        <f t="shared" si="2"/>
        <v>0.62554201623308581</v>
      </c>
      <c r="I7" s="185">
        <f t="shared" si="2"/>
        <v>0.72390671812199192</v>
      </c>
      <c r="J7" s="185">
        <f t="shared" si="2"/>
        <v>0.65268403739457004</v>
      </c>
      <c r="K7" s="185">
        <f t="shared" si="2"/>
        <v>0.79163828934052161</v>
      </c>
    </row>
    <row r="8" spans="1:11">
      <c r="A8" s="5" t="s">
        <v>142</v>
      </c>
      <c r="B8" s="38"/>
      <c r="C8" s="38"/>
      <c r="D8" s="38"/>
      <c r="E8" s="38"/>
      <c r="F8" s="35">
        <v>801.37900000000002</v>
      </c>
      <c r="G8" s="35">
        <v>1003.3</v>
      </c>
      <c r="H8" s="35">
        <v>1814.252</v>
      </c>
      <c r="I8" s="35">
        <v>628.40800000000002</v>
      </c>
      <c r="J8" s="178">
        <v>2332.8000000000002</v>
      </c>
      <c r="K8" s="39">
        <v>432.7</v>
      </c>
    </row>
    <row r="9" spans="1:11">
      <c r="A9" s="5"/>
      <c r="B9" s="185">
        <f>B8/B2</f>
        <v>0</v>
      </c>
      <c r="C9" s="185">
        <f t="shared" ref="C9:K9" si="3">C8/C2</f>
        <v>0</v>
      </c>
      <c r="D9" s="185">
        <f t="shared" si="3"/>
        <v>0</v>
      </c>
      <c r="E9" s="185">
        <f t="shared" si="3"/>
        <v>0</v>
      </c>
      <c r="F9" s="185">
        <f>F8/F2</f>
        <v>3.6070352984704131E-2</v>
      </c>
      <c r="G9" s="185">
        <f>G8/G2</f>
        <v>5.7029044284618864E-2</v>
      </c>
      <c r="H9" s="185">
        <f>H8/H2</f>
        <v>8.7215435468580849E-2</v>
      </c>
      <c r="I9" s="185">
        <f t="shared" si="3"/>
        <v>2.9383644749711255E-2</v>
      </c>
      <c r="J9" s="185">
        <f t="shared" si="3"/>
        <v>0.10454704348059911</v>
      </c>
      <c r="K9" s="185">
        <f t="shared" si="3"/>
        <v>1.3770694231393491E-2</v>
      </c>
    </row>
    <row r="10" spans="1:11">
      <c r="A10" s="5" t="s">
        <v>116</v>
      </c>
      <c r="B10" s="36">
        <v>-197.78100000000001</v>
      </c>
      <c r="C10" s="37">
        <v>-86.826999999999998</v>
      </c>
      <c r="D10" s="37">
        <v>-78.759</v>
      </c>
      <c r="E10" s="37">
        <v>-95.72</v>
      </c>
      <c r="F10" s="103">
        <v>970.53599999999994</v>
      </c>
      <c r="G10" s="103">
        <v>-36.082999999999998</v>
      </c>
      <c r="H10" s="103">
        <v>-599.44100000000003</v>
      </c>
      <c r="I10" s="103">
        <v>-277.2</v>
      </c>
      <c r="J10" s="178">
        <v>833.3</v>
      </c>
      <c r="K10" s="39">
        <v>-1272.5999999999999</v>
      </c>
    </row>
    <row r="11" spans="1:11">
      <c r="A11" s="5"/>
      <c r="B11" s="185">
        <f>B10/B2</f>
        <v>-3.4467266631313123E-2</v>
      </c>
      <c r="C11" s="185">
        <f t="shared" ref="C11:K11" si="4">C10/C2</f>
        <v>-1.3622240020458384E-2</v>
      </c>
      <c r="D11" s="185">
        <f t="shared" si="4"/>
        <v>-1.1635365815463946E-2</v>
      </c>
      <c r="E11" s="185">
        <f t="shared" si="4"/>
        <v>-1.813507676620434E-2</v>
      </c>
      <c r="F11" s="185">
        <f t="shared" si="4"/>
        <v>4.3684169543203408E-2</v>
      </c>
      <c r="G11" s="185">
        <f t="shared" si="4"/>
        <v>-2.0510106697118535E-3</v>
      </c>
      <c r="H11" s="185">
        <f t="shared" si="4"/>
        <v>-2.8816563439214384E-2</v>
      </c>
      <c r="I11" s="185">
        <f t="shared" si="4"/>
        <v>-1.296155733953094E-2</v>
      </c>
      <c r="J11" s="185">
        <f t="shared" si="4"/>
        <v>3.7345272347557967E-2</v>
      </c>
      <c r="K11" s="185">
        <f t="shared" si="4"/>
        <v>-4.050054420816121E-2</v>
      </c>
    </row>
    <row r="12" spans="1:11">
      <c r="A12" s="5" t="s">
        <v>60</v>
      </c>
      <c r="B12" s="36">
        <v>46.494</v>
      </c>
      <c r="C12" s="37">
        <v>62.578000000000003</v>
      </c>
      <c r="D12" s="37">
        <v>76.045000000000002</v>
      </c>
      <c r="E12" s="37">
        <v>71.625</v>
      </c>
      <c r="F12" s="103">
        <v>560.35199999999998</v>
      </c>
      <c r="G12" s="103">
        <v>559.20299999999997</v>
      </c>
      <c r="H12" s="103">
        <v>548.88499999999999</v>
      </c>
      <c r="I12" s="103">
        <v>541.24599999999998</v>
      </c>
      <c r="J12" s="178">
        <v>599.4</v>
      </c>
      <c r="K12" s="39">
        <v>688.1</v>
      </c>
    </row>
    <row r="13" spans="1:11">
      <c r="A13" s="5"/>
      <c r="B13" s="185">
        <f>B12/B2</f>
        <v>8.1025027417005284E-3</v>
      </c>
      <c r="C13" s="185">
        <f t="shared" ref="C13:K13" si="5">C12/C2</f>
        <v>9.8178278185385281E-3</v>
      </c>
      <c r="D13" s="185">
        <f t="shared" si="5"/>
        <v>1.123441630082855E-2</v>
      </c>
      <c r="E13" s="185">
        <f t="shared" si="5"/>
        <v>1.3570046734009465E-2</v>
      </c>
      <c r="F13" s="185">
        <f t="shared" si="5"/>
        <v>2.5221642238797033E-2</v>
      </c>
      <c r="G13" s="185">
        <f t="shared" si="5"/>
        <v>3.1785919118002312E-2</v>
      </c>
      <c r="H13" s="185">
        <f>H12/H2</f>
        <v>2.6386215529690473E-2</v>
      </c>
      <c r="I13" s="185">
        <f>I12/I2</f>
        <v>2.5308048570677356E-2</v>
      </c>
      <c r="J13" s="185">
        <f>J12/J2</f>
        <v>2.6862782005431712E-2</v>
      </c>
      <c r="K13" s="185">
        <f t="shared" si="5"/>
        <v>2.1898809107053066E-2</v>
      </c>
    </row>
    <row r="14" spans="1:11">
      <c r="A14" s="5" t="s">
        <v>63</v>
      </c>
      <c r="B14" s="36">
        <v>781.59400000000005</v>
      </c>
      <c r="C14" s="37">
        <v>1084.08</v>
      </c>
      <c r="D14" s="37">
        <v>1031.252</v>
      </c>
      <c r="E14" s="37">
        <v>1192.1099999999999</v>
      </c>
      <c r="F14" s="103">
        <v>2904.7460000000001</v>
      </c>
      <c r="G14" s="103">
        <v>2722.75</v>
      </c>
      <c r="H14" s="103">
        <v>4160.7939999999999</v>
      </c>
      <c r="I14" s="103">
        <v>3206.3</v>
      </c>
      <c r="J14" s="178">
        <v>2614.8000000000002</v>
      </c>
      <c r="K14" s="39">
        <v>4287.2</v>
      </c>
    </row>
    <row r="15" spans="1:11">
      <c r="A15" s="140" t="s">
        <v>3</v>
      </c>
      <c r="B15" s="141">
        <f t="shared" ref="B15:K15" si="6">(B4-B5)</f>
        <v>259.81484059100512</v>
      </c>
      <c r="C15" s="141">
        <f t="shared" si="6"/>
        <v>328.90113135961201</v>
      </c>
      <c r="D15" s="141">
        <f t="shared" si="6"/>
        <v>427.24753701352074</v>
      </c>
      <c r="E15" s="141">
        <f t="shared" si="6"/>
        <v>305.48130667718215</v>
      </c>
      <c r="F15" s="141">
        <f t="shared" si="6"/>
        <v>1987.7339506591998</v>
      </c>
      <c r="G15" s="141">
        <f t="shared" si="6"/>
        <v>1844.2702292132217</v>
      </c>
      <c r="H15" s="141">
        <f t="shared" si="6"/>
        <v>2172.1596728962104</v>
      </c>
      <c r="I15" s="141">
        <f t="shared" si="6"/>
        <v>2175.9473631459005</v>
      </c>
      <c r="J15" s="141">
        <f t="shared" si="6"/>
        <v>1758.9785608647726</v>
      </c>
      <c r="K15" s="141">
        <f t="shared" si="6"/>
        <v>2931.4131927515264</v>
      </c>
    </row>
    <row r="16" spans="1:11">
      <c r="A16" s="140" t="s">
        <v>4</v>
      </c>
      <c r="B16" s="141">
        <f>(B15/B4)</f>
        <v>4.497255940712401E-2</v>
      </c>
      <c r="C16" s="141">
        <f>(C15/C4)</f>
        <v>5.1259034020610141E-2</v>
      </c>
      <c r="D16" s="141">
        <f>(D15/D4)</f>
        <v>6.2552804096741202E-2</v>
      </c>
      <c r="E16" s="141">
        <f>(E15/E4)</f>
        <v>5.7328096986155812E-2</v>
      </c>
      <c r="F16" s="174">
        <f t="shared" ref="F16:K16" si="7">(F15/F2)</f>
        <v>8.9468610033402174E-2</v>
      </c>
      <c r="G16" s="174">
        <f t="shared" si="7"/>
        <v>0.104831026188184</v>
      </c>
      <c r="H16" s="174">
        <f t="shared" si="7"/>
        <v>0.10442091384159043</v>
      </c>
      <c r="I16" s="174">
        <f t="shared" si="7"/>
        <v>0.10174482869847309</v>
      </c>
      <c r="J16" s="174">
        <f t="shared" si="7"/>
        <v>7.8830593314545186E-2</v>
      </c>
      <c r="K16" s="174">
        <f t="shared" si="7"/>
        <v>9.3292338209508247E-2</v>
      </c>
    </row>
    <row r="17" spans="1:11">
      <c r="A17" s="5" t="s">
        <v>6</v>
      </c>
      <c r="B17" s="36">
        <v>74.507000000000005</v>
      </c>
      <c r="C17" s="37">
        <v>111.996</v>
      </c>
      <c r="D17" s="37">
        <v>82.792000000000002</v>
      </c>
      <c r="E17" s="37">
        <v>77.786000000000001</v>
      </c>
      <c r="F17" s="103">
        <v>459.28699999999998</v>
      </c>
      <c r="G17" s="103">
        <v>523.21</v>
      </c>
      <c r="H17" s="103">
        <v>463.81200000000001</v>
      </c>
      <c r="I17" s="103">
        <v>454.03</v>
      </c>
      <c r="J17" s="178">
        <v>455</v>
      </c>
      <c r="K17" s="39">
        <v>610.9</v>
      </c>
    </row>
    <row r="18" spans="1:11">
      <c r="A18" s="5"/>
      <c r="B18" s="185">
        <f>B17/B15</f>
        <v>0.28676960804285734</v>
      </c>
      <c r="C18" s="185">
        <f t="shared" ref="C18:K18" si="8">C17/C15</f>
        <v>0.34051570311427859</v>
      </c>
      <c r="D18" s="185">
        <f t="shared" si="8"/>
        <v>0.19377993511377445</v>
      </c>
      <c r="E18" s="185">
        <f t="shared" si="8"/>
        <v>0.25463423882169156</v>
      </c>
      <c r="F18" s="185">
        <f t="shared" si="8"/>
        <v>0.23106060036237994</v>
      </c>
      <c r="G18" s="185">
        <f t="shared" si="8"/>
        <v>0.28369486841589642</v>
      </c>
      <c r="H18" s="185">
        <f t="shared" si="8"/>
        <v>0.21352573928489546</v>
      </c>
      <c r="I18" s="185">
        <f t="shared" si="8"/>
        <v>0.20865854004095991</v>
      </c>
      <c r="J18" s="185">
        <f t="shared" si="8"/>
        <v>0.2586728514623321</v>
      </c>
      <c r="K18" s="185">
        <f t="shared" si="8"/>
        <v>0.20839777944322752</v>
      </c>
    </row>
    <row r="19" spans="1:11">
      <c r="A19" s="5" t="s">
        <v>7</v>
      </c>
      <c r="B19" s="36">
        <v>140.64599999999999</v>
      </c>
      <c r="C19" s="37">
        <v>141.47399999999999</v>
      </c>
      <c r="D19" s="37">
        <v>243.185</v>
      </c>
      <c r="E19" s="37">
        <v>140.08199999999999</v>
      </c>
      <c r="F19" s="103">
        <v>644.93700000000001</v>
      </c>
      <c r="G19" s="103">
        <v>644.20000000000005</v>
      </c>
      <c r="H19" s="103">
        <v>528.03300000000002</v>
      </c>
      <c r="I19" s="103">
        <v>373.03</v>
      </c>
      <c r="J19" s="178">
        <v>410.3</v>
      </c>
      <c r="K19" s="39">
        <v>878.3</v>
      </c>
    </row>
    <row r="20" spans="1:11">
      <c r="A20" s="5"/>
      <c r="B20" s="185">
        <f>B19/B15</f>
        <v>0.5413316640422472</v>
      </c>
      <c r="C20" s="185">
        <f t="shared" ref="C20:K20" si="9">C19/C15</f>
        <v>0.43014142096494029</v>
      </c>
      <c r="D20" s="185">
        <f t="shared" si="9"/>
        <v>0.56918994009859936</v>
      </c>
      <c r="E20" s="185">
        <f t="shared" si="9"/>
        <v>0.45856161060628126</v>
      </c>
      <c r="F20" s="185">
        <f t="shared" si="9"/>
        <v>0.32445841144189197</v>
      </c>
      <c r="G20" s="185">
        <f t="shared" si="9"/>
        <v>0.34929805285357785</v>
      </c>
      <c r="H20" s="185">
        <f t="shared" si="9"/>
        <v>0.24309124535764751</v>
      </c>
      <c r="I20" s="185">
        <f t="shared" si="9"/>
        <v>0.17143337486835511</v>
      </c>
      <c r="J20" s="185">
        <f t="shared" si="9"/>
        <v>0.23326037572526342</v>
      </c>
      <c r="K20" s="185">
        <f t="shared" si="9"/>
        <v>0.29961658157634102</v>
      </c>
    </row>
    <row r="21" spans="1:11">
      <c r="A21" s="5" t="s">
        <v>8</v>
      </c>
      <c r="B21" s="20"/>
      <c r="C21" s="20"/>
      <c r="D21" s="20"/>
      <c r="E21" s="20"/>
      <c r="F21" s="106">
        <v>0</v>
      </c>
      <c r="G21" s="58">
        <v>25.041</v>
      </c>
      <c r="H21" s="58">
        <v>0</v>
      </c>
      <c r="I21" s="58">
        <v>0</v>
      </c>
      <c r="J21" s="58">
        <v>0</v>
      </c>
      <c r="K21" s="58">
        <v>0</v>
      </c>
    </row>
    <row r="22" spans="1:11">
      <c r="A22" s="140" t="s">
        <v>9</v>
      </c>
      <c r="B22" s="141">
        <f t="shared" ref="B22:K22" si="10">(B15-B17-B19-B21)</f>
        <v>44.661840591005131</v>
      </c>
      <c r="C22" s="141">
        <f t="shared" si="10"/>
        <v>75.431131359612039</v>
      </c>
      <c r="D22" s="141">
        <f t="shared" si="10"/>
        <v>101.27053701352071</v>
      </c>
      <c r="E22" s="141">
        <f t="shared" si="10"/>
        <v>87.613306677182152</v>
      </c>
      <c r="F22" s="141">
        <f t="shared" si="10"/>
        <v>883.50995065919972</v>
      </c>
      <c r="G22" s="141">
        <f t="shared" si="10"/>
        <v>651.81922921322155</v>
      </c>
      <c r="H22" s="141">
        <f t="shared" si="10"/>
        <v>1180.3146728962106</v>
      </c>
      <c r="I22" s="141">
        <f t="shared" si="10"/>
        <v>1348.8873631459005</v>
      </c>
      <c r="J22" s="141">
        <f t="shared" si="10"/>
        <v>893.67856086477263</v>
      </c>
      <c r="K22" s="141">
        <f t="shared" si="10"/>
        <v>1442.2131927515263</v>
      </c>
    </row>
    <row r="23" spans="1:11">
      <c r="A23" s="5" t="s">
        <v>10</v>
      </c>
      <c r="B23" s="20">
        <v>7</v>
      </c>
      <c r="C23" s="20">
        <v>8.5</v>
      </c>
      <c r="D23" s="20">
        <v>25</v>
      </c>
      <c r="E23" s="20">
        <v>19</v>
      </c>
      <c r="F23" s="56">
        <f>265.58+30.35</f>
        <v>295.93</v>
      </c>
      <c r="G23" s="58">
        <v>97.53</v>
      </c>
      <c r="H23" s="58">
        <v>358.44</v>
      </c>
      <c r="I23" s="58">
        <v>333.9</v>
      </c>
      <c r="J23" s="29">
        <v>224.2</v>
      </c>
      <c r="K23" s="21">
        <v>391.6</v>
      </c>
    </row>
    <row r="24" spans="1:11">
      <c r="A24" s="142" t="s">
        <v>11</v>
      </c>
      <c r="B24" s="144">
        <f t="shared" ref="B24:H24" si="11">(B23/B22)</f>
        <v>0.1567333523959108</v>
      </c>
      <c r="C24" s="144">
        <f t="shared" si="11"/>
        <v>0.11268556956247829</v>
      </c>
      <c r="D24" s="144">
        <f t="shared" si="11"/>
        <v>0.24686350776102067</v>
      </c>
      <c r="E24" s="144">
        <f t="shared" si="11"/>
        <v>0.21686203523863032</v>
      </c>
      <c r="F24" s="144">
        <f t="shared" si="11"/>
        <v>0.33494812342430585</v>
      </c>
      <c r="G24" s="144">
        <f t="shared" si="11"/>
        <v>0.14962737462919526</v>
      </c>
      <c r="H24" s="144">
        <f t="shared" si="11"/>
        <v>0.3036817284669297</v>
      </c>
      <c r="I24" s="144">
        <f>(I23/I22)</f>
        <v>0.24753734753750833</v>
      </c>
      <c r="J24" s="144">
        <f>(J23/J22)</f>
        <v>0.2508731996245403</v>
      </c>
      <c r="K24" s="144">
        <f>(K23/K22)</f>
        <v>0.27152712370692295</v>
      </c>
    </row>
    <row r="25" spans="1:11">
      <c r="A25" s="140" t="s">
        <v>12</v>
      </c>
      <c r="B25" s="141">
        <f t="shared" ref="B25:I25" si="12">(B22-B23)</f>
        <v>37.661840591005131</v>
      </c>
      <c r="C25" s="141">
        <f t="shared" si="12"/>
        <v>66.931131359612039</v>
      </c>
      <c r="D25" s="141">
        <f>(D22-D23-8)</f>
        <v>68.270537013520709</v>
      </c>
      <c r="E25" s="141">
        <f>(E22-E23-4)</f>
        <v>64.613306677182152</v>
      </c>
      <c r="F25" s="141">
        <f>(F22-F23)</f>
        <v>587.57995065919977</v>
      </c>
      <c r="G25" s="141">
        <f t="shared" si="12"/>
        <v>554.28922921322157</v>
      </c>
      <c r="H25" s="141">
        <f t="shared" si="12"/>
        <v>821.87467289621054</v>
      </c>
      <c r="I25" s="141">
        <f t="shared" si="12"/>
        <v>1014.9873631459005</v>
      </c>
      <c r="J25" s="141">
        <f>(J22-J23)</f>
        <v>669.47856086477259</v>
      </c>
      <c r="K25" s="141">
        <f>(K22-K23)</f>
        <v>1050.6131927515262</v>
      </c>
    </row>
    <row r="26" spans="1:11">
      <c r="A26" s="5" t="s">
        <v>13</v>
      </c>
      <c r="B26" s="6"/>
      <c r="C26" s="6"/>
      <c r="D26" s="6"/>
      <c r="E26" s="6"/>
      <c r="F26" s="183">
        <v>0</v>
      </c>
      <c r="G26" s="176">
        <v>0</v>
      </c>
      <c r="H26" s="110">
        <v>0</v>
      </c>
      <c r="I26" s="110">
        <v>0</v>
      </c>
      <c r="J26" s="25">
        <v>0</v>
      </c>
      <c r="K26" s="29">
        <v>0</v>
      </c>
    </row>
    <row r="27" spans="1:11">
      <c r="A27" s="5" t="s">
        <v>64</v>
      </c>
      <c r="B27" s="6"/>
      <c r="C27" s="6"/>
      <c r="D27" s="6"/>
      <c r="E27" s="6"/>
      <c r="F27" s="107">
        <v>22.143999999999998</v>
      </c>
      <c r="G27" s="108">
        <v>67.382000000000005</v>
      </c>
      <c r="H27" s="108">
        <v>-26.18</v>
      </c>
      <c r="I27" s="108">
        <v>-43.99</v>
      </c>
      <c r="J27" s="21">
        <v>34.299999999999997</v>
      </c>
      <c r="K27" s="29">
        <v>12.7</v>
      </c>
    </row>
    <row r="28" spans="1:11">
      <c r="A28" s="140" t="s">
        <v>14</v>
      </c>
      <c r="B28" s="141">
        <f t="shared" ref="B28:K28" si="13">(B25-B26+B27)</f>
        <v>37.661840591005131</v>
      </c>
      <c r="C28" s="141">
        <f t="shared" si="13"/>
        <v>66.931131359612039</v>
      </c>
      <c r="D28" s="141">
        <f t="shared" si="13"/>
        <v>68.270537013520709</v>
      </c>
      <c r="E28" s="141">
        <f t="shared" si="13"/>
        <v>64.613306677182152</v>
      </c>
      <c r="F28" s="141">
        <f t="shared" si="13"/>
        <v>609.72395065919977</v>
      </c>
      <c r="G28" s="141">
        <f t="shared" si="13"/>
        <v>621.67122921322152</v>
      </c>
      <c r="H28" s="141">
        <f t="shared" si="13"/>
        <v>795.69467289621059</v>
      </c>
      <c r="I28" s="141">
        <f t="shared" si="13"/>
        <v>970.99736314590052</v>
      </c>
      <c r="J28" s="141">
        <f t="shared" si="13"/>
        <v>703.77856086477254</v>
      </c>
      <c r="K28" s="141">
        <f t="shared" si="13"/>
        <v>1063.3131927515262</v>
      </c>
    </row>
    <row r="29" spans="1:11">
      <c r="A29" s="3" t="s">
        <v>88</v>
      </c>
      <c r="B29" s="23">
        <v>5.75</v>
      </c>
      <c r="C29" s="23">
        <v>-3.69</v>
      </c>
      <c r="D29" s="23">
        <v>4.8899999999999997</v>
      </c>
      <c r="E29" s="23">
        <v>4.5599999999999996</v>
      </c>
      <c r="F29" s="109">
        <v>10.3</v>
      </c>
      <c r="G29" s="110">
        <v>9.7200000000000006</v>
      </c>
      <c r="H29" s="110">
        <v>16.78</v>
      </c>
      <c r="I29" s="110">
        <v>17.52</v>
      </c>
      <c r="J29" s="179">
        <v>11.17</v>
      </c>
      <c r="K29" s="23">
        <v>16.73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6"/>
  <sheetViews>
    <sheetView topLeftCell="A2" workbookViewId="0">
      <selection activeCell="D25" sqref="D25"/>
    </sheetView>
  </sheetViews>
  <sheetFormatPr defaultColWidth="9.1796875" defaultRowHeight="12.5"/>
  <cols>
    <col min="1" max="1" width="25.7265625" style="62" bestFit="1" customWidth="1"/>
    <col min="2" max="2" width="13.81640625" style="71" bestFit="1" customWidth="1"/>
    <col min="3" max="3" width="11.81640625" style="71" bestFit="1" customWidth="1"/>
    <col min="4" max="4" width="11" style="71" bestFit="1" customWidth="1"/>
    <col min="5" max="5" width="13.453125" style="71" bestFit="1" customWidth="1"/>
    <col min="6" max="6" width="10.26953125" style="71" bestFit="1" customWidth="1"/>
    <col min="7" max="7" width="9.1796875" style="62"/>
    <col min="8" max="8" width="22.81640625" style="62" bestFit="1" customWidth="1"/>
    <col min="9" max="10" width="12.1796875" style="62" bestFit="1" customWidth="1"/>
    <col min="11" max="11" width="13.26953125" style="62" bestFit="1" customWidth="1"/>
    <col min="12" max="12" width="13.453125" style="62" bestFit="1" customWidth="1"/>
    <col min="13" max="13" width="12.1796875" style="62" bestFit="1" customWidth="1"/>
    <col min="14" max="16384" width="9.1796875" style="62"/>
  </cols>
  <sheetData>
    <row r="1" spans="1:13" ht="13">
      <c r="A1" s="78" t="s">
        <v>130</v>
      </c>
      <c r="B1" s="71" t="s">
        <v>97</v>
      </c>
    </row>
    <row r="2" spans="1:13" ht="13">
      <c r="A2" s="79" t="s">
        <v>131</v>
      </c>
      <c r="B2" s="77" t="s">
        <v>98</v>
      </c>
      <c r="C2" s="77" t="s">
        <v>99</v>
      </c>
      <c r="D2" s="77" t="s">
        <v>94</v>
      </c>
      <c r="E2" s="77" t="s">
        <v>96</v>
      </c>
      <c r="F2" s="77" t="s">
        <v>95</v>
      </c>
      <c r="H2" s="80" t="s">
        <v>134</v>
      </c>
      <c r="I2" s="77" t="s">
        <v>98</v>
      </c>
      <c r="J2" s="77" t="s">
        <v>99</v>
      </c>
      <c r="K2" s="77" t="s">
        <v>94</v>
      </c>
      <c r="L2" s="77" t="s">
        <v>96</v>
      </c>
      <c r="M2" s="77" t="s">
        <v>95</v>
      </c>
    </row>
    <row r="3" spans="1:13">
      <c r="A3" s="63" t="s">
        <v>119</v>
      </c>
      <c r="B3" s="83">
        <v>9037</v>
      </c>
      <c r="C3" s="84">
        <v>131753.65599999999</v>
      </c>
      <c r="D3" s="84">
        <v>56003.921999999999</v>
      </c>
      <c r="E3" s="84">
        <v>12674.31</v>
      </c>
      <c r="F3" s="84">
        <v>19229.483</v>
      </c>
      <c r="H3" s="63" t="s">
        <v>100</v>
      </c>
      <c r="I3" s="63">
        <v>1828.6000000000001</v>
      </c>
      <c r="J3" s="63">
        <v>-50228.231</v>
      </c>
      <c r="K3" s="63">
        <v>3005.7640000000001</v>
      </c>
      <c r="L3" s="63">
        <v>3978.8</v>
      </c>
      <c r="M3" s="63">
        <v>3695.6</v>
      </c>
    </row>
    <row r="4" spans="1:13">
      <c r="A4" s="63" t="s">
        <v>120</v>
      </c>
      <c r="B4" s="85">
        <v>6645.5</v>
      </c>
      <c r="C4" s="85">
        <v>192804.9</v>
      </c>
      <c r="D4" s="85">
        <v>43037.923000000003</v>
      </c>
      <c r="E4" s="85">
        <v>7787</v>
      </c>
      <c r="F4" s="85">
        <v>8517</v>
      </c>
      <c r="H4" s="63" t="s">
        <v>33</v>
      </c>
      <c r="I4" s="63">
        <v>864.5</v>
      </c>
      <c r="J4" s="63">
        <v>160.69999999999999</v>
      </c>
      <c r="K4" s="63">
        <f>336.559+118.796</f>
        <v>455.35500000000002</v>
      </c>
      <c r="L4" s="63">
        <v>1695.367</v>
      </c>
      <c r="M4" s="63">
        <v>0</v>
      </c>
    </row>
    <row r="5" spans="1:13">
      <c r="A5" s="64" t="s">
        <v>101</v>
      </c>
      <c r="B5" s="73">
        <f>((B3/B4)^(1/3)-1)</f>
        <v>0.10789569116632025</v>
      </c>
      <c r="C5" s="73">
        <f>((C3/C4)^(1/3)-1)</f>
        <v>-0.11919142082181822</v>
      </c>
      <c r="D5" s="73">
        <f>((D3/D4)^(1/3)-1)</f>
        <v>9.1747935354330457E-2</v>
      </c>
      <c r="E5" s="73">
        <f>((E3/E4)^(1/3)-1)</f>
        <v>0.17629987318624263</v>
      </c>
      <c r="F5" s="73">
        <f>((F3/F4)^(1/3)-1)</f>
        <v>0.31187861781805903</v>
      </c>
      <c r="H5" s="63" t="s">
        <v>34</v>
      </c>
      <c r="I5" s="63">
        <v>1055.1000000000001</v>
      </c>
      <c r="J5" s="63">
        <v>82290.899999999994</v>
      </c>
      <c r="K5" s="63">
        <v>2073.9270000000001</v>
      </c>
      <c r="L5" s="63">
        <v>314.10000000000002</v>
      </c>
      <c r="M5" s="63">
        <v>21</v>
      </c>
    </row>
    <row r="6" spans="1:13">
      <c r="A6" s="63"/>
      <c r="B6" s="74"/>
      <c r="C6" s="72"/>
      <c r="D6" s="72"/>
      <c r="E6" s="72"/>
      <c r="F6" s="72"/>
      <c r="H6" s="64" t="s">
        <v>35</v>
      </c>
      <c r="I6" s="64">
        <f>I4+I5</f>
        <v>1919.6000000000001</v>
      </c>
      <c r="J6" s="64">
        <f>J4+J5</f>
        <v>82451.599999999991</v>
      </c>
      <c r="K6" s="64">
        <f>K4+K5</f>
        <v>2529.2820000000002</v>
      </c>
      <c r="L6" s="64">
        <f>L4+L5</f>
        <v>2009.4670000000001</v>
      </c>
      <c r="M6" s="64">
        <f>M4+M5</f>
        <v>21</v>
      </c>
    </row>
    <row r="7" spans="1:13">
      <c r="A7" s="63" t="s">
        <v>102</v>
      </c>
      <c r="B7" s="75">
        <v>7124</v>
      </c>
      <c r="C7" s="72">
        <v>113243</v>
      </c>
      <c r="D7" s="86">
        <f>34225.668+17846.294</f>
        <v>52071.962</v>
      </c>
      <c r="E7" s="72">
        <v>6020.4</v>
      </c>
      <c r="F7" s="72">
        <v>6854.8</v>
      </c>
      <c r="H7" s="64" t="s">
        <v>36</v>
      </c>
      <c r="I7" s="64">
        <f>(I8+I9-I15-I5)</f>
        <v>1768.3999999999999</v>
      </c>
      <c r="J7" s="64">
        <f>(J8+J9-J15-J5)</f>
        <v>-132135.29999999999</v>
      </c>
      <c r="K7" s="64">
        <f>(K8+K9-K15-K5)</f>
        <v>-61.156999999997879</v>
      </c>
      <c r="L7" s="64">
        <f>(L8+L9-L15-L5)</f>
        <v>5636.3</v>
      </c>
      <c r="M7" s="64">
        <f>(M8+M9-M15-M5)</f>
        <v>3851.2999999999993</v>
      </c>
    </row>
    <row r="8" spans="1:13">
      <c r="A8" s="63" t="s">
        <v>103</v>
      </c>
      <c r="B8" s="72">
        <v>-78.899999999999991</v>
      </c>
      <c r="C8" s="72">
        <v>778.19999999999993</v>
      </c>
      <c r="D8" s="86">
        <v>882.05499999999995</v>
      </c>
      <c r="E8" s="72">
        <v>-30</v>
      </c>
      <c r="F8" s="72">
        <v>70</v>
      </c>
      <c r="H8" s="63" t="s">
        <v>104</v>
      </c>
      <c r="I8" s="63">
        <v>1668.5</v>
      </c>
      <c r="J8" s="63">
        <v>54181.7</v>
      </c>
      <c r="K8" s="63">
        <v>2526.9929999999999</v>
      </c>
      <c r="L8" s="63">
        <v>6175.7000000000007</v>
      </c>
      <c r="M8" s="63">
        <v>1797.7</v>
      </c>
    </row>
    <row r="9" spans="1:13">
      <c r="A9" s="63"/>
      <c r="B9" s="72"/>
      <c r="C9" s="72"/>
      <c r="D9" s="72"/>
      <c r="E9" s="72"/>
      <c r="F9" s="72"/>
      <c r="H9" s="63" t="s">
        <v>105</v>
      </c>
      <c r="I9" s="63">
        <v>3934.1000000000004</v>
      </c>
      <c r="J9" s="63">
        <v>25458.899999999998</v>
      </c>
      <c r="K9" s="87">
        <v>10613.900000000001</v>
      </c>
      <c r="L9" s="63">
        <v>1516.2</v>
      </c>
      <c r="M9" s="63">
        <v>2813.8999999999996</v>
      </c>
    </row>
    <row r="10" spans="1:13">
      <c r="A10" s="64" t="s">
        <v>132</v>
      </c>
      <c r="B10" s="76">
        <f>(B20+B14+B15)</f>
        <v>632.1</v>
      </c>
      <c r="C10" s="76">
        <f>(C20+C14+C15)</f>
        <v>79061</v>
      </c>
      <c r="D10" s="76">
        <f>(D20+D14+D15)</f>
        <v>1328.6799999999998</v>
      </c>
      <c r="E10" s="76">
        <f>(E20+E14+E15)</f>
        <v>1284.7</v>
      </c>
      <c r="F10" s="76">
        <f>(F20+F14+F15)</f>
        <v>363.90000000000003</v>
      </c>
      <c r="H10" s="63" t="s">
        <v>135</v>
      </c>
      <c r="I10" s="63">
        <v>2662.3</v>
      </c>
      <c r="J10" s="63">
        <v>12618</v>
      </c>
      <c r="K10" s="63">
        <v>4685.78</v>
      </c>
      <c r="L10" s="63">
        <v>777.69999999999993</v>
      </c>
      <c r="M10" s="63">
        <v>653.40000000000009</v>
      </c>
    </row>
    <row r="11" spans="1:13">
      <c r="A11" s="64" t="s">
        <v>133</v>
      </c>
      <c r="B11" s="76">
        <f>(B21+B17+B18)</f>
        <v>411.6</v>
      </c>
      <c r="C11" s="76">
        <f>(C21+C17+C18)</f>
        <v>-6164.4</v>
      </c>
      <c r="D11" s="76">
        <f>(D21+D17+D18)</f>
        <v>912.505</v>
      </c>
      <c r="E11" s="76">
        <f>(E21+E17+E18)</f>
        <v>587</v>
      </c>
      <c r="F11" s="76">
        <f>(F21+F17+F18)</f>
        <v>630.19999999999993</v>
      </c>
      <c r="H11" s="63" t="s">
        <v>106</v>
      </c>
      <c r="I11" s="63">
        <v>2624.1000000000004</v>
      </c>
      <c r="J11" s="63">
        <v>11912.6</v>
      </c>
      <c r="K11" s="63">
        <v>4726.8249999999998</v>
      </c>
      <c r="L11" s="63">
        <v>603.80000000000007</v>
      </c>
      <c r="M11" s="63">
        <v>651.70000000000005</v>
      </c>
    </row>
    <row r="12" spans="1:13">
      <c r="A12" s="64" t="s">
        <v>101</v>
      </c>
      <c r="B12" s="73">
        <f>((B10/B11)^(1/3)-1)</f>
        <v>0.15372811165243716</v>
      </c>
      <c r="C12" s="73">
        <f>((C10/C11)^(1/3)-1)</f>
        <v>-3.3407614896933415</v>
      </c>
      <c r="D12" s="73">
        <f>((D10/D11)^(1/3)-1)</f>
        <v>0.13343089993643642</v>
      </c>
      <c r="E12" s="73">
        <f>((E10/E11)^(1/3)-1)</f>
        <v>0.29833831688532597</v>
      </c>
      <c r="F12" s="73">
        <f>((F10/F11)^(1/3)-1)</f>
        <v>-0.16727573684581831</v>
      </c>
      <c r="H12" s="63" t="s">
        <v>136</v>
      </c>
      <c r="I12" s="63">
        <v>616.1</v>
      </c>
      <c r="J12" s="63">
        <v>2641.1000000000004</v>
      </c>
      <c r="K12" s="63">
        <v>3793.0349999999999</v>
      </c>
      <c r="L12" s="63">
        <v>490.79999999999995</v>
      </c>
      <c r="M12" s="63">
        <v>585</v>
      </c>
    </row>
    <row r="13" spans="1:13">
      <c r="A13" s="63"/>
      <c r="B13" s="72"/>
      <c r="C13" s="72"/>
      <c r="D13" s="72"/>
      <c r="E13" s="72"/>
      <c r="F13" s="72"/>
      <c r="H13" s="63" t="s">
        <v>107</v>
      </c>
      <c r="I13" s="63">
        <v>420.90000000000003</v>
      </c>
      <c r="J13" s="63">
        <v>2831.5</v>
      </c>
      <c r="K13" s="63">
        <v>3382.864</v>
      </c>
      <c r="L13" s="63">
        <v>483.5</v>
      </c>
      <c r="M13" s="63">
        <v>629.20000000000005</v>
      </c>
    </row>
    <row r="14" spans="1:13">
      <c r="A14" s="63" t="s">
        <v>121</v>
      </c>
      <c r="B14" s="72">
        <v>135.1</v>
      </c>
      <c r="C14" s="72">
        <v>1357.7</v>
      </c>
      <c r="D14" s="72">
        <v>226.17</v>
      </c>
      <c r="E14" s="72">
        <v>380.2</v>
      </c>
      <c r="F14" s="72">
        <v>177.2</v>
      </c>
      <c r="H14" s="63" t="s">
        <v>39</v>
      </c>
      <c r="I14" s="63">
        <v>135</v>
      </c>
      <c r="J14" s="63">
        <v>1591.2</v>
      </c>
      <c r="K14" s="63">
        <v>431.00700000000001</v>
      </c>
      <c r="L14" s="63">
        <v>16</v>
      </c>
      <c r="M14" s="63">
        <v>448.29999999999995</v>
      </c>
    </row>
    <row r="15" spans="1:13">
      <c r="A15" s="63" t="s">
        <v>122</v>
      </c>
      <c r="B15" s="72">
        <v>148.1</v>
      </c>
      <c r="C15" s="72">
        <v>1123.0999999999999</v>
      </c>
      <c r="D15" s="72">
        <v>838.43700000000001</v>
      </c>
      <c r="E15" s="72">
        <v>235.5</v>
      </c>
      <c r="F15" s="72">
        <v>18.8</v>
      </c>
      <c r="H15" s="63" t="s">
        <v>108</v>
      </c>
      <c r="I15" s="63">
        <v>2779.1000000000004</v>
      </c>
      <c r="J15" s="63">
        <v>129485</v>
      </c>
      <c r="K15" s="87">
        <f>11049.704+537-(336.559+118.796)-3.226</f>
        <v>11128.123</v>
      </c>
      <c r="L15" s="63">
        <v>1741.5</v>
      </c>
      <c r="M15" s="63">
        <v>739.30000000000007</v>
      </c>
    </row>
    <row r="16" spans="1:13">
      <c r="A16" s="63"/>
      <c r="B16" s="72"/>
      <c r="C16" s="72"/>
      <c r="D16" s="72"/>
      <c r="E16" s="72"/>
      <c r="F16" s="72"/>
      <c r="H16" s="63" t="s">
        <v>137</v>
      </c>
      <c r="I16" s="63">
        <v>1520.1</v>
      </c>
      <c r="J16" s="63">
        <v>18690</v>
      </c>
      <c r="K16" s="63">
        <v>8380.5750000000007</v>
      </c>
      <c r="L16" s="63">
        <v>946.5</v>
      </c>
      <c r="M16" s="63">
        <v>368.5</v>
      </c>
    </row>
    <row r="17" spans="1:13">
      <c r="A17" s="63" t="s">
        <v>123</v>
      </c>
      <c r="B17" s="72">
        <v>85.1</v>
      </c>
      <c r="C17" s="72">
        <v>1588.7</v>
      </c>
      <c r="D17" s="72">
        <v>207.03800000000001</v>
      </c>
      <c r="E17" s="72">
        <v>268.7</v>
      </c>
      <c r="F17" s="72">
        <v>203.3</v>
      </c>
      <c r="H17" s="63" t="s">
        <v>109</v>
      </c>
      <c r="I17" s="63">
        <v>1011.1</v>
      </c>
      <c r="J17" s="63">
        <v>25440</v>
      </c>
      <c r="K17" s="63">
        <v>7281.6059999999998</v>
      </c>
      <c r="L17" s="63">
        <v>964.7</v>
      </c>
      <c r="M17" s="63">
        <v>388.2</v>
      </c>
    </row>
    <row r="18" spans="1:13">
      <c r="A18" s="63" t="s">
        <v>124</v>
      </c>
      <c r="B18" s="72">
        <v>213.6</v>
      </c>
      <c r="C18" s="72">
        <v>9605.9</v>
      </c>
      <c r="D18" s="72">
        <v>390.971</v>
      </c>
      <c r="E18" s="72">
        <v>175.2</v>
      </c>
      <c r="F18" s="72">
        <v>15.4</v>
      </c>
      <c r="H18" s="64" t="s">
        <v>41</v>
      </c>
      <c r="I18" s="64">
        <f>I9-I15</f>
        <v>1155</v>
      </c>
      <c r="J18" s="64">
        <f>J9-J15</f>
        <v>-104026.1</v>
      </c>
      <c r="K18" s="64">
        <f>K9-K15</f>
        <v>-514.22299999999814</v>
      </c>
      <c r="L18" s="64">
        <f>L9-L15</f>
        <v>-225.29999999999995</v>
      </c>
      <c r="M18" s="64">
        <f>M9-M15</f>
        <v>2074.5999999999995</v>
      </c>
    </row>
    <row r="19" spans="1:13">
      <c r="A19" s="63"/>
      <c r="B19" s="72"/>
      <c r="C19" s="72"/>
      <c r="D19" s="72"/>
      <c r="E19" s="72"/>
      <c r="F19" s="72"/>
    </row>
    <row r="20" spans="1:13">
      <c r="A20" s="63" t="s">
        <v>125</v>
      </c>
      <c r="B20" s="72">
        <v>348.9</v>
      </c>
      <c r="C20" s="72">
        <v>76580.2</v>
      </c>
      <c r="D20" s="72">
        <v>264.07299999999998</v>
      </c>
      <c r="E20" s="72">
        <v>669</v>
      </c>
      <c r="F20" s="72">
        <v>167.9</v>
      </c>
    </row>
    <row r="21" spans="1:13" ht="13">
      <c r="A21" s="63" t="s">
        <v>126</v>
      </c>
      <c r="B21" s="72">
        <v>112.9</v>
      </c>
      <c r="C21" s="72">
        <v>-17359</v>
      </c>
      <c r="D21" s="72">
        <v>314.49599999999998</v>
      </c>
      <c r="E21" s="72">
        <v>143.1</v>
      </c>
      <c r="F21" s="72">
        <v>411.5</v>
      </c>
      <c r="H21" s="79" t="s">
        <v>43</v>
      </c>
      <c r="I21" s="77" t="s">
        <v>98</v>
      </c>
      <c r="J21" s="77" t="s">
        <v>99</v>
      </c>
      <c r="K21" s="77" t="s">
        <v>94</v>
      </c>
      <c r="L21" s="77" t="s">
        <v>96</v>
      </c>
      <c r="M21" s="77" t="s">
        <v>95</v>
      </c>
    </row>
    <row r="22" spans="1:13">
      <c r="A22" s="63"/>
      <c r="B22" s="72"/>
      <c r="C22" s="72"/>
      <c r="D22" s="72"/>
      <c r="E22" s="72"/>
      <c r="F22" s="72"/>
      <c r="H22" s="63" t="s">
        <v>68</v>
      </c>
      <c r="I22" s="81">
        <v>17433000</v>
      </c>
      <c r="J22" s="81">
        <v>334100722</v>
      </c>
      <c r="K22" s="82">
        <v>131895000</v>
      </c>
      <c r="L22" s="81">
        <v>28799268</v>
      </c>
      <c r="M22" s="81">
        <v>9367111</v>
      </c>
    </row>
    <row r="23" spans="1:13">
      <c r="A23" s="63" t="s">
        <v>127</v>
      </c>
      <c r="B23" s="72">
        <v>258.5</v>
      </c>
      <c r="C23" s="72">
        <v>76720</v>
      </c>
      <c r="D23" s="72">
        <v>191.93600000000001</v>
      </c>
      <c r="E23" s="72">
        <v>497</v>
      </c>
      <c r="F23" s="72">
        <v>222.1</v>
      </c>
      <c r="H23" s="63" t="s">
        <v>69</v>
      </c>
      <c r="I23" s="64">
        <f>I22*I27/1000000</f>
        <v>1725.867</v>
      </c>
      <c r="J23" s="64">
        <f>J22*J27/1000000</f>
        <v>2261.8618879400001</v>
      </c>
      <c r="K23" s="64">
        <f>K22*K27/1000000</f>
        <v>1503.6030000000001</v>
      </c>
      <c r="L23" s="64">
        <f>L22*L27/1000000</f>
        <v>4031.89752</v>
      </c>
      <c r="M23" s="64">
        <f>M22*M27/1000000</f>
        <v>4599.2515009999997</v>
      </c>
    </row>
    <row r="24" spans="1:13">
      <c r="A24" s="63" t="s">
        <v>128</v>
      </c>
      <c r="B24" s="72">
        <v>97.6</v>
      </c>
      <c r="C24" s="72">
        <v>-13617.8</v>
      </c>
      <c r="D24" s="72">
        <v>107.702</v>
      </c>
      <c r="E24" s="72">
        <v>144.80000000000001</v>
      </c>
      <c r="F24" s="72">
        <v>326.8</v>
      </c>
      <c r="H24" s="63" t="s">
        <v>72</v>
      </c>
      <c r="I24" s="64">
        <f>I6</f>
        <v>1919.6000000000001</v>
      </c>
      <c r="J24" s="64">
        <f>J6</f>
        <v>82451.599999999991</v>
      </c>
      <c r="K24" s="64">
        <f>K6</f>
        <v>2529.2820000000002</v>
      </c>
      <c r="L24" s="64">
        <f>L6</f>
        <v>2009.4670000000001</v>
      </c>
      <c r="M24" s="64">
        <f>M6</f>
        <v>21</v>
      </c>
    </row>
    <row r="25" spans="1:13">
      <c r="A25" s="64" t="s">
        <v>101</v>
      </c>
      <c r="B25" s="73">
        <f>((B23/B24)^(1/3)-1)</f>
        <v>0.38357777323800768</v>
      </c>
      <c r="C25" s="73">
        <f>((C23/C24)^(1/3)-1)</f>
        <v>-2.779373892586249</v>
      </c>
      <c r="D25" s="73">
        <f>((D23/D24)^(1/3)-1)</f>
        <v>0.21239524353375594</v>
      </c>
      <c r="E25" s="73">
        <f>((E23/E24)^(1/3)-1)</f>
        <v>0.50844429076307396</v>
      </c>
      <c r="F25" s="73">
        <f>((F23/F24)^(1/3)-1)</f>
        <v>-0.12079765675517373</v>
      </c>
      <c r="H25" s="63" t="s">
        <v>70</v>
      </c>
      <c r="I25" s="64">
        <f>I14</f>
        <v>135</v>
      </c>
      <c r="J25" s="64">
        <f>J14</f>
        <v>1591.2</v>
      </c>
      <c r="K25" s="64">
        <f>K14</f>
        <v>431.00700000000001</v>
      </c>
      <c r="L25" s="64">
        <f>L14</f>
        <v>16</v>
      </c>
      <c r="M25" s="64">
        <f>M14</f>
        <v>448.29999999999995</v>
      </c>
    </row>
    <row r="26" spans="1:13" ht="13">
      <c r="A26" s="63"/>
      <c r="B26" s="72"/>
      <c r="C26" s="72"/>
      <c r="D26" s="72"/>
      <c r="E26" s="72"/>
      <c r="F26" s="72"/>
      <c r="H26" s="63" t="s">
        <v>71</v>
      </c>
      <c r="I26" s="66">
        <f>I23+I24-I25</f>
        <v>3510.4670000000001</v>
      </c>
      <c r="J26" s="66">
        <f>J23+J24-J25</f>
        <v>83122.261887939996</v>
      </c>
      <c r="K26" s="66">
        <f>K23+K24-K25</f>
        <v>3601.8780000000002</v>
      </c>
      <c r="L26" s="66">
        <f>L23+L24-L25</f>
        <v>6025.3645200000001</v>
      </c>
      <c r="M26" s="66">
        <f>M23+M24-M25</f>
        <v>4171.9515009999996</v>
      </c>
    </row>
    <row r="27" spans="1:13">
      <c r="A27" s="63" t="s">
        <v>129</v>
      </c>
      <c r="B27" s="72">
        <v>24.55</v>
      </c>
      <c r="C27" s="72">
        <v>-0.32</v>
      </c>
      <c r="D27" s="72">
        <v>1.46</v>
      </c>
      <c r="E27" s="72">
        <v>8.26</v>
      </c>
      <c r="F27" s="72">
        <v>33.479999999999997</v>
      </c>
      <c r="H27" s="63" t="s">
        <v>44</v>
      </c>
      <c r="I27" s="63">
        <v>99</v>
      </c>
      <c r="J27" s="63">
        <v>6.77</v>
      </c>
      <c r="K27" s="63">
        <v>11.4</v>
      </c>
      <c r="L27" s="63">
        <v>140</v>
      </c>
      <c r="M27" s="63">
        <v>491</v>
      </c>
    </row>
    <row r="28" spans="1:13">
      <c r="H28" s="63" t="s">
        <v>45</v>
      </c>
      <c r="I28" s="64">
        <f>B27</f>
        <v>24.55</v>
      </c>
      <c r="J28" s="64">
        <f>C27</f>
        <v>-0.32</v>
      </c>
      <c r="K28" s="64">
        <f>D27</f>
        <v>1.46</v>
      </c>
      <c r="L28" s="64">
        <f>E27</f>
        <v>8.26</v>
      </c>
      <c r="M28" s="64">
        <f>F27</f>
        <v>33.479999999999997</v>
      </c>
    </row>
    <row r="29" spans="1:13">
      <c r="H29" s="63" t="s">
        <v>46</v>
      </c>
      <c r="I29" s="67">
        <f>I27*1000000/I22</f>
        <v>5.678884873515746</v>
      </c>
      <c r="J29" s="67">
        <f>J27*1000000/J22</f>
        <v>2.026335040365462E-2</v>
      </c>
      <c r="K29" s="67">
        <f>K27*1000000/K22</f>
        <v>8.6432389400659615E-2</v>
      </c>
      <c r="L29" s="67">
        <f>L27*1000000/L22</f>
        <v>4.8612346674922433</v>
      </c>
      <c r="M29" s="67">
        <f>M27*1000000/M22</f>
        <v>52.41744226154681</v>
      </c>
    </row>
    <row r="30" spans="1:13">
      <c r="H30" s="63" t="s">
        <v>48</v>
      </c>
      <c r="I30" s="67">
        <f>I27/I28</f>
        <v>4.0325865580448061</v>
      </c>
      <c r="J30" s="67">
        <f>J27/J28</f>
        <v>-21.15625</v>
      </c>
      <c r="K30" s="67">
        <f>K27/K28</f>
        <v>7.8082191780821919</v>
      </c>
      <c r="L30" s="67">
        <f>L27/L28</f>
        <v>16.949152542372882</v>
      </c>
      <c r="M30" s="67">
        <f>M27/M28</f>
        <v>14.66547192353644</v>
      </c>
    </row>
    <row r="31" spans="1:13">
      <c r="H31" s="63" t="s">
        <v>49</v>
      </c>
      <c r="I31" s="68">
        <f>I27/I29</f>
        <v>17.433</v>
      </c>
      <c r="J31" s="68">
        <f>J27/J29</f>
        <v>334.10072199999996</v>
      </c>
      <c r="K31" s="68">
        <f>K27/K29</f>
        <v>131.89500000000001</v>
      </c>
      <c r="L31" s="68">
        <f>L27/L29</f>
        <v>28.799267999999998</v>
      </c>
      <c r="M31" s="68">
        <f>M27/M29</f>
        <v>9.3671109999999995</v>
      </c>
    </row>
    <row r="32" spans="1:13">
      <c r="H32" s="63" t="s">
        <v>50</v>
      </c>
      <c r="I32" s="67">
        <f>I26/B10</f>
        <v>5.553657649106154</v>
      </c>
      <c r="J32" s="67">
        <f>J26/C10</f>
        <v>1.0513687138783976</v>
      </c>
      <c r="K32" s="67">
        <f>K26/D10</f>
        <v>2.7108694343257973</v>
      </c>
      <c r="L32" s="67">
        <f>L26/E10</f>
        <v>4.6900945901766953</v>
      </c>
      <c r="M32" s="67">
        <f>M26/F10</f>
        <v>11.464554825501509</v>
      </c>
    </row>
    <row r="33" spans="8:13">
      <c r="H33" s="63" t="s">
        <v>51</v>
      </c>
      <c r="I33" s="69">
        <f>B23/I3</f>
        <v>0.14136497867220824</v>
      </c>
      <c r="J33" s="69">
        <f>C23/J3</f>
        <v>-1.5274278721860621</v>
      </c>
      <c r="K33" s="69">
        <f>D23/K3</f>
        <v>6.3855978047511378E-2</v>
      </c>
      <c r="L33" s="69">
        <f>E23/L3</f>
        <v>0.12491203377902885</v>
      </c>
      <c r="M33" s="69">
        <f>F23/M3</f>
        <v>6.0098495508171881E-2</v>
      </c>
    </row>
    <row r="34" spans="8:13">
      <c r="H34" s="63" t="s">
        <v>52</v>
      </c>
      <c r="I34" s="69">
        <f>(B20+B18)/I7</f>
        <v>0.31808414385885547</v>
      </c>
      <c r="J34" s="69">
        <f>(C20+C18)/J7</f>
        <v>-0.65225643715191928</v>
      </c>
      <c r="K34" s="69">
        <f>(D20+D15)/K7</f>
        <v>-18.027535686839418</v>
      </c>
      <c r="L34" s="69">
        <f>(E20+E18)/L7</f>
        <v>0.14977911040931108</v>
      </c>
      <c r="M34" s="69">
        <f>(F20+F18)/M7</f>
        <v>4.7594318801443679E-2</v>
      </c>
    </row>
    <row r="35" spans="8:13">
      <c r="H35" s="63" t="s">
        <v>53</v>
      </c>
      <c r="I35" s="67">
        <f>I6/I3</f>
        <v>1.0497648474242589</v>
      </c>
      <c r="J35" s="67">
        <f>J6/J3</f>
        <v>-1.6415389982577724</v>
      </c>
      <c r="K35" s="67">
        <f>K6/K3</f>
        <v>0.84147724172623006</v>
      </c>
      <c r="L35" s="67">
        <f>L6/L3</f>
        <v>0.50504348044636571</v>
      </c>
      <c r="M35" s="67">
        <f>M6/M3</f>
        <v>5.6824331637623125E-3</v>
      </c>
    </row>
    <row r="36" spans="8:13">
      <c r="H36" s="63" t="s">
        <v>54</v>
      </c>
      <c r="I36" s="67">
        <f>(I6-I14)/I3</f>
        <v>0.97593787597068793</v>
      </c>
      <c r="J36" s="67">
        <f>(J6-J14)/J3</f>
        <v>-1.6098596026605037</v>
      </c>
      <c r="K36" s="67">
        <f>(K6-K14)/K3</f>
        <v>0.69808374842469334</v>
      </c>
      <c r="L36" s="67">
        <f>(L6-L14)/L3</f>
        <v>0.50102216748768469</v>
      </c>
      <c r="M36" s="67">
        <f>(M6-M14)/M3</f>
        <v>-0.11562398527979217</v>
      </c>
    </row>
    <row r="37" spans="8:13">
      <c r="H37" s="63" t="s">
        <v>110</v>
      </c>
      <c r="I37" s="63">
        <v>1.2</v>
      </c>
      <c r="J37" s="63">
        <v>0</v>
      </c>
      <c r="K37" s="63">
        <v>0</v>
      </c>
      <c r="L37" s="63">
        <v>0</v>
      </c>
      <c r="M37" s="63">
        <v>0</v>
      </c>
    </row>
    <row r="38" spans="8:13">
      <c r="H38" s="63" t="s">
        <v>55</v>
      </c>
      <c r="I38" s="64">
        <f>I37/I27</f>
        <v>1.2121212121212121E-2</v>
      </c>
      <c r="J38" s="64">
        <f>J37/J27</f>
        <v>0</v>
      </c>
      <c r="K38" s="64">
        <f>K37/K27</f>
        <v>0</v>
      </c>
      <c r="L38" s="64">
        <f>L37/L27</f>
        <v>0</v>
      </c>
      <c r="M38" s="64">
        <f>M37/M27</f>
        <v>0</v>
      </c>
    </row>
    <row r="39" spans="8:13">
      <c r="H39" s="63" t="s">
        <v>56</v>
      </c>
      <c r="I39" s="70">
        <f>AVERAGE(I12:I13)/B3*365</f>
        <v>20.941960827708311</v>
      </c>
      <c r="J39" s="70">
        <f>AVERAGE(J12:J13)/C3*365</f>
        <v>7.5804310128593331</v>
      </c>
      <c r="K39" s="70">
        <f>AVERAGE(K12:K13)/D3*365</f>
        <v>23.384104554320317</v>
      </c>
      <c r="L39" s="70">
        <f>AVERAGE(L12:L13)/E3*365</f>
        <v>14.029146359841286</v>
      </c>
      <c r="M39" s="70">
        <f>AVERAGE(M12:M13)/F3*365</f>
        <v>11.523528739696227</v>
      </c>
    </row>
    <row r="40" spans="8:13">
      <c r="H40" s="63" t="s">
        <v>57</v>
      </c>
      <c r="I40" s="70">
        <f>AVERAGE(I16:I17)/B7*365</f>
        <v>64.843346434587303</v>
      </c>
      <c r="J40" s="70">
        <f>AVERAGE(J16:J17)/C7*365</f>
        <v>71.118965410665552</v>
      </c>
      <c r="K40" s="70">
        <f>AVERAGE(K16:K17)/D7*365</f>
        <v>54.892266830660226</v>
      </c>
      <c r="L40" s="70">
        <f>AVERAGE(L16:L17)/E7*365</f>
        <v>57.935353132682216</v>
      </c>
      <c r="M40" s="70">
        <f>AVERAGE(M16:M17)/F7*365</f>
        <v>20.146138472311375</v>
      </c>
    </row>
    <row r="41" spans="8:13">
      <c r="H41" s="63" t="s">
        <v>58</v>
      </c>
      <c r="I41" s="70">
        <f>AVERAGE(I10:I11)/(B7+B8)*365</f>
        <v>136.94170416317723</v>
      </c>
      <c r="J41" s="70">
        <f>AVERAGE(J10:J11)/(C7+C8)*365</f>
        <v>39.263176497002313</v>
      </c>
      <c r="K41" s="70">
        <f>AVERAGE(K10:K11)/(D7+D8)*365</f>
        <v>32.439473147051338</v>
      </c>
      <c r="L41" s="70">
        <f>AVERAGE(L10:L11)/(E7+E8)*365</f>
        <v>42.087965745192307</v>
      </c>
      <c r="M41" s="70">
        <f>AVERAGE(M10:M11)/(F7+F8)*365</f>
        <v>34.395325496765253</v>
      </c>
    </row>
    <row r="42" spans="8:13">
      <c r="H42" s="63" t="s">
        <v>76</v>
      </c>
      <c r="I42" s="70">
        <f>I39+I41-I40</f>
        <v>93.040318556298232</v>
      </c>
      <c r="J42" s="70">
        <f>J39+J41-J40</f>
        <v>-24.275357900803904</v>
      </c>
      <c r="K42" s="70">
        <f>K39+K41-K40</f>
        <v>0.93131087071142815</v>
      </c>
      <c r="L42" s="70">
        <f>L39+L41-L40</f>
        <v>-1.8182410276486252</v>
      </c>
      <c r="M42" s="70">
        <f>M39+M41-M40</f>
        <v>25.772715764150103</v>
      </c>
    </row>
    <row r="43" spans="8:13">
      <c r="H43" s="63" t="s">
        <v>59</v>
      </c>
      <c r="I43" s="70">
        <f>I18/B3*365</f>
        <v>46.649883810999228</v>
      </c>
      <c r="J43" s="70">
        <f>J18/C3*365</f>
        <v>-288.18575250769516</v>
      </c>
      <c r="K43" s="70">
        <f>K18/D3*365</f>
        <v>-3.3513973360651299</v>
      </c>
      <c r="L43" s="70">
        <f>L18/E3*365</f>
        <v>-6.4882822023447417</v>
      </c>
      <c r="M43" s="70">
        <f>M18/F3*365</f>
        <v>39.378541794389363</v>
      </c>
    </row>
    <row r="44" spans="8:13">
      <c r="H44" s="63" t="s">
        <v>79</v>
      </c>
      <c r="I44" s="65">
        <f>B15/I6</f>
        <v>7.7151489893727845E-2</v>
      </c>
      <c r="J44" s="65">
        <f>C15/J6</f>
        <v>1.3621324510379423E-2</v>
      </c>
      <c r="K44" s="65">
        <f>D15/K6</f>
        <v>0.33149209933886375</v>
      </c>
      <c r="L44" s="65">
        <f>E15/L6</f>
        <v>0.11719525625451922</v>
      </c>
      <c r="M44" s="65">
        <f>F15/M6</f>
        <v>0.89523809523809528</v>
      </c>
    </row>
    <row r="45" spans="8:13">
      <c r="H45" s="63" t="s">
        <v>111</v>
      </c>
      <c r="I45" s="67">
        <f>I8/B3</f>
        <v>0.18462985504038951</v>
      </c>
      <c r="J45" s="67">
        <f>J8/C3</f>
        <v>0.41123488823718107</v>
      </c>
      <c r="K45" s="67">
        <f>K8/D3</f>
        <v>4.5121714868469387E-2</v>
      </c>
      <c r="L45" s="67">
        <f>L8/E3</f>
        <v>0.48726123946786853</v>
      </c>
      <c r="M45" s="67">
        <f>M8/F3</f>
        <v>9.348665276128329E-2</v>
      </c>
    </row>
    <row r="46" spans="8:13">
      <c r="H46" s="63" t="s">
        <v>112</v>
      </c>
      <c r="I46" s="67">
        <f>(B20+B15)/B15</f>
        <v>3.3558406482106684</v>
      </c>
      <c r="J46" s="67">
        <f>(C20+C15)/C15</f>
        <v>69.186448223666645</v>
      </c>
      <c r="K46" s="67">
        <f>(D20+D15)/D15</f>
        <v>1.3149586671389741</v>
      </c>
      <c r="L46" s="67">
        <f>(E20+E15)/E15</f>
        <v>3.8407643312101909</v>
      </c>
      <c r="M46" s="67">
        <f>(F20+F15)/F15</f>
        <v>9.9308510638297882</v>
      </c>
    </row>
  </sheetData>
  <pageMargins left="0.70866141732283472" right="0.70866141732283472" top="0.74803149606299213" bottom="0.74803149606299213" header="0.31496062992125984" footer="0.31496062992125984"/>
  <pageSetup paperSize="9" scale="45"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Including Other Income</vt:lpstr>
      <vt:lpstr>Sheet1</vt:lpstr>
      <vt:lpstr>Working</vt:lpstr>
      <vt:lpstr>'Including Other Income'!Print_Area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Voleram3</dc:creator>
  <cp:lastModifiedBy>Dell</cp:lastModifiedBy>
  <cp:lastPrinted>2023-03-15T11:15:29Z</cp:lastPrinted>
  <dcterms:created xsi:type="dcterms:W3CDTF">2017-09-19T08:05:47Z</dcterms:created>
  <dcterms:modified xsi:type="dcterms:W3CDTF">2025-08-22T09:13:31Z</dcterms:modified>
</cp:coreProperties>
</file>