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rshit\Work\Valorem\Dtd. 22-11-25\Summary Sheet\"/>
    </mc:Choice>
  </mc:AlternateContent>
  <xr:revisionPtr revIDLastSave="0" documentId="13_ncr:1_{B21FB837-5466-458E-AF37-F82F6273DBC7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ummary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1" l="1"/>
  <c r="P73" i="1"/>
  <c r="P70" i="1"/>
  <c r="P69" i="1"/>
  <c r="P65" i="1"/>
  <c r="O63" i="1"/>
  <c r="O64" i="1"/>
  <c r="O65" i="1"/>
  <c r="O61" i="1"/>
  <c r="O58" i="1"/>
  <c r="P58" i="1"/>
  <c r="O46" i="1"/>
  <c r="O14" i="1" s="1"/>
  <c r="P46" i="1"/>
  <c r="P14" i="1" s="1"/>
  <c r="O37" i="1"/>
  <c r="P37" i="1"/>
  <c r="O26" i="1"/>
  <c r="P26" i="1"/>
  <c r="O12" i="1"/>
  <c r="P12" i="1"/>
  <c r="O7" i="1"/>
  <c r="P7" i="1"/>
  <c r="O8" i="1"/>
  <c r="P8" i="1"/>
  <c r="G62" i="1"/>
  <c r="H62" i="1"/>
  <c r="G63" i="1"/>
  <c r="G65" i="1" s="1"/>
  <c r="H63" i="1"/>
  <c r="G64" i="1"/>
  <c r="H64" i="1"/>
  <c r="H60" i="1"/>
  <c r="H55" i="1"/>
  <c r="H52" i="1"/>
  <c r="H51" i="1"/>
  <c r="D27" i="1"/>
  <c r="E27" i="1"/>
  <c r="F27" i="1"/>
  <c r="C27" i="1"/>
  <c r="D26" i="1"/>
  <c r="E26" i="1"/>
  <c r="F26" i="1"/>
  <c r="G26" i="1"/>
  <c r="H26" i="1"/>
  <c r="C26" i="1"/>
  <c r="D24" i="1"/>
  <c r="E24" i="1"/>
  <c r="F24" i="1"/>
  <c r="G24" i="1"/>
  <c r="G27" i="1" s="1"/>
  <c r="H24" i="1"/>
  <c r="H27" i="1" s="1"/>
  <c r="C24" i="1"/>
  <c r="G51" i="1"/>
  <c r="H15" i="1"/>
  <c r="H16" i="1" s="1"/>
  <c r="G6" i="1"/>
  <c r="G7" i="1"/>
  <c r="O84" i="1"/>
  <c r="O83" i="1"/>
  <c r="O82" i="1"/>
  <c r="O78" i="1"/>
  <c r="O70" i="1"/>
  <c r="O73" i="1" s="1"/>
  <c r="O69" i="1"/>
  <c r="O72" i="1" s="1"/>
  <c r="G55" i="1"/>
  <c r="G57" i="1" s="1"/>
  <c r="G42" i="1"/>
  <c r="G43" i="1" s="1"/>
  <c r="G15" i="1"/>
  <c r="G22" i="1" s="1"/>
  <c r="L7" i="1"/>
  <c r="M7" i="1"/>
  <c r="K7" i="1"/>
  <c r="K69" i="1"/>
  <c r="K26" i="1"/>
  <c r="K46" i="1"/>
  <c r="K37" i="1"/>
  <c r="N46" i="1"/>
  <c r="M46" i="1"/>
  <c r="L46" i="1"/>
  <c r="F44" i="1"/>
  <c r="P61" i="1" l="1"/>
  <c r="P64" i="1"/>
  <c r="H65" i="1"/>
  <c r="P63" i="1"/>
  <c r="O79" i="1"/>
  <c r="O86" i="1"/>
  <c r="O81" i="1"/>
  <c r="O77" i="1"/>
  <c r="G44" i="1"/>
  <c r="G31" i="1"/>
  <c r="O76" i="1" s="1"/>
  <c r="O15" i="1"/>
  <c r="O85" i="1"/>
  <c r="G16" i="1"/>
  <c r="F55" i="1"/>
  <c r="F62" i="1"/>
  <c r="E62" i="1"/>
  <c r="D15" i="1"/>
  <c r="C55" i="1"/>
  <c r="C15" i="1"/>
  <c r="D16" i="1" l="1"/>
  <c r="G18" i="1"/>
  <c r="G37" i="1"/>
  <c r="G32" i="1"/>
  <c r="F7" i="1"/>
  <c r="H22" i="1"/>
  <c r="H42" i="1"/>
  <c r="P79" i="1" l="1"/>
  <c r="P78" i="1"/>
  <c r="H57" i="1"/>
  <c r="P15" i="1"/>
  <c r="P81" i="1" l="1"/>
  <c r="D22" i="1"/>
  <c r="F15" i="1"/>
  <c r="E15" i="1"/>
  <c r="E22" i="1" s="1"/>
  <c r="L12" i="1"/>
  <c r="D64" i="1"/>
  <c r="L8" i="1"/>
  <c r="M12" i="1"/>
  <c r="E63" i="1" s="1"/>
  <c r="E64" i="1"/>
  <c r="M8" i="1"/>
  <c r="N12" i="1"/>
  <c r="F64" i="1"/>
  <c r="N8" i="1"/>
  <c r="K12" i="1"/>
  <c r="C63" i="1" s="1"/>
  <c r="C64" i="1"/>
  <c r="K8" i="1"/>
  <c r="K70" i="1" s="1"/>
  <c r="L58" i="1"/>
  <c r="L26" i="1"/>
  <c r="L37" i="1"/>
  <c r="M26" i="1"/>
  <c r="M37" i="1"/>
  <c r="M49" i="1"/>
  <c r="M58" i="1" s="1"/>
  <c r="N37" i="1"/>
  <c r="N26" i="1"/>
  <c r="N58" i="1"/>
  <c r="K58" i="1"/>
  <c r="F43" i="1"/>
  <c r="M84" i="1"/>
  <c r="N84" i="1"/>
  <c r="L84" i="1"/>
  <c r="K84" i="1"/>
  <c r="N83" i="1"/>
  <c r="M83" i="1"/>
  <c r="L83" i="1"/>
  <c r="K83" i="1"/>
  <c r="N7" i="1"/>
  <c r="M82" i="1"/>
  <c r="N82" i="1"/>
  <c r="L82" i="1"/>
  <c r="K82" i="1"/>
  <c r="N69" i="1"/>
  <c r="C62" i="1"/>
  <c r="F57" i="1"/>
  <c r="E55" i="1"/>
  <c r="E57" i="1" s="1"/>
  <c r="D55" i="1"/>
  <c r="D57" i="1" s="1"/>
  <c r="C57" i="1"/>
  <c r="F51" i="1"/>
  <c r="C51" i="1"/>
  <c r="C52" i="1" s="1"/>
  <c r="D47" i="1" s="1"/>
  <c r="D51" i="1"/>
  <c r="E51" i="1"/>
  <c r="D62" i="1"/>
  <c r="D6" i="1"/>
  <c r="E6" i="1"/>
  <c r="F16" i="1"/>
  <c r="F6" i="1"/>
  <c r="K72" i="1"/>
  <c r="L69" i="1"/>
  <c r="L72" i="1" s="1"/>
  <c r="M69" i="1"/>
  <c r="M72" i="1" s="1"/>
  <c r="D43" i="1"/>
  <c r="E43" i="1"/>
  <c r="F22" i="1" l="1"/>
  <c r="F31" i="1" s="1"/>
  <c r="G33" i="1" s="1"/>
  <c r="G17" i="1"/>
  <c r="F63" i="1"/>
  <c r="O74" i="1"/>
  <c r="K14" i="1"/>
  <c r="L61" i="1"/>
  <c r="L85" i="1"/>
  <c r="L63" i="1"/>
  <c r="L15" i="1" s="1"/>
  <c r="L81" i="1"/>
  <c r="D17" i="1"/>
  <c r="K64" i="1"/>
  <c r="K65" i="1" s="1"/>
  <c r="K75" i="1" s="1"/>
  <c r="E16" i="1"/>
  <c r="E17" i="1"/>
  <c r="N72" i="1"/>
  <c r="L64" i="1"/>
  <c r="L65" i="1" s="1"/>
  <c r="N78" i="1"/>
  <c r="H31" i="1"/>
  <c r="C16" i="1"/>
  <c r="N64" i="1"/>
  <c r="N61" i="1"/>
  <c r="N85" i="1"/>
  <c r="L14" i="1"/>
  <c r="L77" i="1" s="1"/>
  <c r="C22" i="1"/>
  <c r="M78" i="1"/>
  <c r="K78" i="1"/>
  <c r="N79" i="1"/>
  <c r="M85" i="1"/>
  <c r="K85" i="1"/>
  <c r="M63" i="1"/>
  <c r="M15" i="1" s="1"/>
  <c r="M14" i="1"/>
  <c r="M77" i="1" s="1"/>
  <c r="F17" i="1"/>
  <c r="N65" i="1"/>
  <c r="N63" i="1"/>
  <c r="N15" i="1" s="1"/>
  <c r="M79" i="1"/>
  <c r="M64" i="1"/>
  <c r="M65" i="1" s="1"/>
  <c r="K79" i="1"/>
  <c r="D52" i="1"/>
  <c r="E47" i="1" s="1"/>
  <c r="E52" i="1" s="1"/>
  <c r="N14" i="1"/>
  <c r="L79" i="1"/>
  <c r="K63" i="1"/>
  <c r="K15" i="1" s="1"/>
  <c r="E31" i="1"/>
  <c r="M81" i="1"/>
  <c r="K73" i="1"/>
  <c r="L70" i="1"/>
  <c r="L73" i="1" s="1"/>
  <c r="M70" i="1"/>
  <c r="M73" i="1" s="1"/>
  <c r="F18" i="1"/>
  <c r="M61" i="1"/>
  <c r="M86" i="1"/>
  <c r="D63" i="1"/>
  <c r="L78" i="1"/>
  <c r="L86" i="1"/>
  <c r="N86" i="1"/>
  <c r="N70" i="1"/>
  <c r="N73" i="1" s="1"/>
  <c r="K86" i="1"/>
  <c r="K61" i="1"/>
  <c r="O75" i="1" l="1"/>
  <c r="N81" i="1"/>
  <c r="N77" i="1"/>
  <c r="H37" i="1"/>
  <c r="H32" i="1"/>
  <c r="E37" i="1"/>
  <c r="F47" i="1"/>
  <c r="F52" i="1" s="1"/>
  <c r="N75" i="1"/>
  <c r="F37" i="1"/>
  <c r="G38" i="1" s="1"/>
  <c r="C31" i="1"/>
  <c r="K77" i="1"/>
  <c r="D31" i="1"/>
  <c r="L75" i="1"/>
  <c r="K81" i="1"/>
  <c r="M75" i="1"/>
  <c r="M76" i="1"/>
  <c r="E32" i="1"/>
  <c r="F32" i="1"/>
  <c r="N76" i="1"/>
  <c r="F33" i="1"/>
  <c r="D37" i="1" l="1"/>
  <c r="G34" i="1"/>
  <c r="G47" i="1"/>
  <c r="G52" i="1" s="1"/>
  <c r="H47" i="1" s="1"/>
  <c r="C37" i="1"/>
  <c r="F34" i="1"/>
  <c r="E33" i="1"/>
  <c r="L76" i="1"/>
  <c r="D32" i="1"/>
  <c r="D33" i="1"/>
  <c r="K76" i="1"/>
  <c r="C32" i="1"/>
  <c r="F39" i="1"/>
  <c r="F38" i="1"/>
  <c r="E38" i="1" l="1"/>
  <c r="G39" i="1"/>
  <c r="D38" i="1"/>
</calcChain>
</file>

<file path=xl/sharedStrings.xml><?xml version="1.0" encoding="utf-8"?>
<sst xmlns="http://schemas.openxmlformats.org/spreadsheetml/2006/main" count="184" uniqueCount="134">
  <si>
    <t>March Year Ended (INR Mn)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</si>
  <si>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</si>
  <si>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</si>
  <si>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</si>
  <si>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</si>
  <si>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</si>
  <si>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</si>
  <si>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</si>
  <si>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</si>
  <si>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</si>
  <si>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</si>
  <si>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</si>
  <si>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</si>
  <si>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</si>
  <si>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g) Financial Assets:</t>
  </si>
  <si>
    <t xml:space="preserve">i)   Investments </t>
  </si>
  <si>
    <t>Total Non Current Assets</t>
  </si>
  <si>
    <t>Current Assets:</t>
  </si>
  <si>
    <t>Non-Current Assets:</t>
  </si>
  <si>
    <t xml:space="preserve">a) Inventories </t>
  </si>
  <si>
    <t>b)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</si>
  <si>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</si>
  <si>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</si>
  <si>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</si>
  <si>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</si>
  <si>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</si>
  <si>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</si>
  <si>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Total Non-current Liabilities </t>
  </si>
  <si>
    <t>Current Liabilities: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</si>
  <si>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</si>
  <si>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</si>
  <si>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</si>
  <si>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</si>
  <si>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</si>
  <si>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</si>
  <si>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</si>
  <si>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</si>
  <si>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</si>
  <si>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</si>
  <si>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</si>
  <si>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</si>
  <si>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</si>
  <si>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</si>
  <si>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</si>
  <si>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</si>
  <si>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</si>
  <si>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</si>
  <si>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</si>
  <si>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</si>
  <si>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</si>
  <si>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</si>
  <si>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</si>
  <si>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</si>
  <si>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</si>
  <si>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Effective tax rate (%)</t>
  </si>
  <si>
    <t>Net Profit for the Year</t>
  </si>
  <si>
    <t>PAT margin (%)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</si>
  <si>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</si>
  <si>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</si>
  <si>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</si>
  <si>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</si>
  <si>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</si>
  <si>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</si>
  <si>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</si>
  <si>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</si>
  <si>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</si>
  <si>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</si>
  <si>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</si>
  <si>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</si>
  <si>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</si>
  <si>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</si>
  <si>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</si>
  <si>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</si>
  <si>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</si>
  <si>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</si>
  <si>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</si>
  <si>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</si>
  <si>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</si>
  <si>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</si>
  <si>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</si>
  <si>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</si>
  <si>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</si>
  <si>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</si>
  <si>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</si>
  <si>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</si>
  <si>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</si>
  <si>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</si>
  <si>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</si>
  <si>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</si>
  <si>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</si>
  <si>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</si>
  <si>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</si>
  <si>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N.A</t>
  </si>
  <si>
    <t>BVPS (₹)</t>
  </si>
  <si>
    <t>DPS (₹)</t>
  </si>
  <si>
    <t>Asset Tunover</t>
  </si>
  <si>
    <t>Ratios</t>
  </si>
  <si>
    <t xml:space="preserve">PAT </t>
  </si>
  <si>
    <t xml:space="preserve">Construction Expense </t>
  </si>
  <si>
    <t>d) Other Current Assets</t>
  </si>
  <si>
    <t>c) Current Tax Assets</t>
  </si>
  <si>
    <t>FY24</t>
  </si>
  <si>
    <t>FY 24</t>
  </si>
  <si>
    <t>Net Change in Cash and Cash Equivalent</t>
  </si>
  <si>
    <t>ii)Other Financial Assets</t>
  </si>
  <si>
    <t>v)Other Financial Assets</t>
  </si>
  <si>
    <t>EPS (₹)</t>
  </si>
  <si>
    <t>d) Current Tax Liabilities (Net)</t>
  </si>
  <si>
    <t xml:space="preserve">Other Comprehensive Income </t>
  </si>
  <si>
    <t xml:space="preserve">K2 Infragen Limited </t>
  </si>
  <si>
    <t>Purchase of Stock in Trade</t>
  </si>
  <si>
    <t xml:space="preserve">Changes in Inventories </t>
  </si>
  <si>
    <t>FY25</t>
  </si>
  <si>
    <t>Net Gain/Loss on fair value changes</t>
  </si>
  <si>
    <t>b) Goodwill on consolidtaion</t>
  </si>
  <si>
    <t>c) Right of use Assets</t>
  </si>
  <si>
    <t>d) Intangible Assets</t>
  </si>
  <si>
    <t>j) Deferred Tax Assets</t>
  </si>
  <si>
    <t>i) Investments</t>
  </si>
  <si>
    <t>ii) Trade Recievables</t>
  </si>
  <si>
    <t xml:space="preserve">iii)Cash &amp; Cash Equivalents </t>
  </si>
  <si>
    <t xml:space="preserve">iv)Bank Balances other than (iii) above </t>
  </si>
  <si>
    <t>iii) Trade Payables</t>
  </si>
  <si>
    <t>i) Borrowing</t>
  </si>
  <si>
    <t>ii) Lease Liabilities</t>
  </si>
  <si>
    <t>iii) Other Financial liabilities</t>
  </si>
  <si>
    <t>ii) Lease liabilities</t>
  </si>
  <si>
    <t>iv)Other Financial Liabilities</t>
  </si>
  <si>
    <t>e) Intangible assets under development</t>
  </si>
  <si>
    <t>H1-FY26</t>
  </si>
  <si>
    <t>NA</t>
  </si>
  <si>
    <t>Profit before share of associate and tax</t>
  </si>
  <si>
    <t>Share of profit/loss of an associate</t>
  </si>
  <si>
    <t>CMP (As per Stock Price at NSE) (₹)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</si>
</sst>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b/>
      <i/>
      <sz val="11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164" fontId="0" fillId="0" borderId="0" xfId="0" applyNumberFormat="1"/>
    <xf numFmtId="0" fontId="2" fillId="2" borderId="1" xfId="0" applyFont="1" applyFill="1" applyBorder="1"/>
    <xf numFmtId="43" fontId="0" fillId="2" borderId="1" xfId="1" applyFont="1" applyFill="1" applyBorder="1"/>
    <xf numFmtId="0" fontId="2" fillId="3" borderId="1" xfId="0" applyFont="1" applyFill="1" applyBorder="1"/>
    <xf numFmtId="0" fontId="0" fillId="4" borderId="1" xfId="0" applyFill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5" fontId="0" fillId="0" borderId="0" xfId="0" applyNumberFormat="1"/>
    <xf numFmtId="0" fontId="0" fillId="5" borderId="0" xfId="0" applyFill="1"/>
    <xf numFmtId="0" fontId="4" fillId="5" borderId="1" xfId="0" applyFont="1" applyFill="1" applyBorder="1"/>
    <xf numFmtId="0" fontId="6" fillId="5" borderId="1" xfId="0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Fill="1" applyBorder="1"/>
    <xf numFmtId="10" fontId="5" fillId="5" borderId="1" xfId="0" applyNumberFormat="1" applyFont="1" applyFill="1" applyBorder="1" applyAlignment="1">
      <alignment horizontal="right"/>
    </xf>
    <xf numFmtId="10" fontId="5" fillId="5" borderId="1" xfId="0" applyNumberFormat="1" applyFont="1" applyFill="1" applyBorder="1"/>
    <xf numFmtId="0" fontId="0" fillId="4" borderId="1" xfId="0" applyFill="1" applyBorder="1" applyAlignment="1">
      <alignment horizontal="left"/>
    </xf>
    <xf numFmtId="168" fontId="0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Fill="1" applyBorder="1" applyAlignment="1">
      <alignment horizontal="center"/>
    </xf>
    <xf numFmtId="0" fontId="7" fillId="5" borderId="1" xfId="0" applyFont="1" applyFill="1" applyBorder="1"/>
    <xf numFmtId="10" fontId="0" fillId="5" borderId="1" xfId="0" applyNumberFormat="1" applyFill="1" applyBorder="1"/>
    <xf numFmtId="164" fontId="0" fillId="0" borderId="1" xfId="0" applyNumberFormat="1" applyBorder="1"/>
    <xf numFmtId="43" fontId="0" fillId="0" borderId="1" xfId="1" applyFont="1" applyFill="1" applyBorder="1" applyAlignment="1">
      <alignment horizontal="right"/>
    </xf>
    <xf numFmtId="168" fontId="0" fillId="0" borderId="2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0" fillId="0" borderId="1" xfId="0" applyBorder="1" applyAlignment="1">
      <alignment horizontal="left" indent="1"/>
    </xf>
    <xf numFmtId="168" fontId="8" fillId="5" borderId="1" xfId="1" applyNumberFormat="1" applyFont="1" applyFill="1" applyBorder="1"/>
    <xf numFmtId="168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/>
    </xf>
    <xf numFmtId="43" fontId="0" fillId="0" borderId="1" xfId="1" applyFont="1" applyFill="1" applyBorder="1"/>
    <xf numFmtId="43" fontId="9" fillId="0" borderId="1" xfId="1" applyFont="1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0" fontId="0" fillId="2" borderId="1" xfId="2" applyNumberFormat="1" applyFont="1" applyFill="1" applyBorder="1"/>
    <xf numFmtId="43" fontId="5" fillId="5" borderId="1" xfId="1" applyFont="1" applyFill="1" applyBorder="1" applyAlignment="1">
      <alignment horizontal="right"/>
    </xf>
    <xf numFmtId="43" fontId="5" fillId="5" borderId="1" xfId="1" applyFont="1" applyFill="1" applyBorder="1"/>
    <xf numFmtId="0" fontId="2" fillId="3" borderId="1" xfId="0" applyFont="1" applyFill="1" applyBorder="1" applyAlignment="1">
      <alignment horizontal="center"/>
    </xf>
    <xf numFmtId="9" fontId="2" fillId="3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5" borderId="0" xfId="0" applyFont="1" applyFill="1" applyAlignment="1">
      <alignment horizontal="center"/>
    </xf>
    <xf numFmtId="43" fontId="0" fillId="0" borderId="0" xfId="0" applyNumberFormat="1"/>
    <xf numFmtId="0" fontId="0" fillId="0" borderId="0" xfId="0" applyFill="1"/>
    <xf numFmtId="0" fontId="0" fillId="0" borderId="1" xfId="0" applyFont="1" applyFill="1" applyBorder="1"/>
    <xf numFmtId="168" fontId="1" fillId="0" borderId="1" xfId="1" applyNumberFormat="1" applyFont="1" applyFill="1" applyBorder="1"/>
    <xf numFmtId="43" fontId="0" fillId="2" borderId="1" xfId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8"/>
  <sheetViews>
    <sheetView tabSelected="1" zoomScale="85" zoomScaleNormal="85" workbookViewId="0">
      <selection activeCell="P97" sqref="P97"/>
    </sheetView>
  </sheetViews>
  <sheetFormatPr defaultRowHeight="14.4" x14ac:dyDescent="0.3"/>
  <cols>
    <col min="2" max="2" width="69.44140625" customWidth="1"/>
    <col min="3" max="7" width="10.6640625" customWidth="1"/>
    <col min="8" max="8" width="9.6640625" bestFit="1" customWidth="1"/>
    <col min="9" max="9" width="7.44140625" customWidth="1"/>
    <col min="10" max="10" width="48.109375" bestFit="1" customWidth="1"/>
    <col min="11" max="13" width="10.6640625" customWidth="1"/>
  </cols>
  <sheetData>
    <row r="1" spans="2:16" x14ac:dyDescent="0.3">
      <c r="F1" s="4"/>
      <c r="G1" s="4"/>
      <c r="H1" s="14"/>
    </row>
    <row r="2" spans="2:16" ht="21" x14ac:dyDescent="0.4">
      <c r="B2" s="46" t="s">
        <v>109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 x14ac:dyDescent="0.3">
      <c r="B3" s="45" t="s">
        <v>39</v>
      </c>
      <c r="C3" s="45"/>
      <c r="D3" s="45"/>
      <c r="E3" s="45"/>
      <c r="F3" s="45"/>
      <c r="G3" s="45"/>
      <c r="H3" s="45"/>
      <c r="J3" s="45" t="s">
        <v>38</v>
      </c>
      <c r="K3" s="45"/>
      <c r="L3" s="45"/>
      <c r="M3" s="45"/>
      <c r="N3" s="45"/>
      <c r="O3" s="45"/>
      <c r="P3" s="45"/>
    </row>
    <row r="4" spans="2:16" x14ac:dyDescent="0.3">
      <c r="B4" s="7" t="s">
        <v>0</v>
      </c>
      <c r="C4" s="43" t="s">
        <v>1</v>
      </c>
      <c r="D4" s="43" t="s">
        <v>2</v>
      </c>
      <c r="E4" s="43" t="s">
        <v>3</v>
      </c>
      <c r="F4" s="43" t="s">
        <v>101</v>
      </c>
      <c r="G4" s="43" t="s">
        <v>112</v>
      </c>
      <c r="H4" s="43" t="s">
        <v>129</v>
      </c>
      <c r="J4" s="7" t="s">
        <v>0</v>
      </c>
      <c r="K4" s="43" t="s">
        <v>1</v>
      </c>
      <c r="L4" s="43" t="s">
        <v>2</v>
      </c>
      <c r="M4" s="43" t="s">
        <v>3</v>
      </c>
      <c r="N4" s="43" t="s">
        <v>101</v>
      </c>
      <c r="O4" s="43" t="s">
        <v>112</v>
      </c>
      <c r="P4" s="43" t="s">
        <v>129</v>
      </c>
    </row>
    <row r="5" spans="2:16" x14ac:dyDescent="0.3">
      <c r="B5" s="5" t="s">
        <v>40</v>
      </c>
      <c r="C5" s="18">
        <v>354.71</v>
      </c>
      <c r="D5" s="18">
        <v>365.69099999999997</v>
      </c>
      <c r="E5" s="18">
        <v>747.9</v>
      </c>
      <c r="F5" s="18">
        <v>1087.182</v>
      </c>
      <c r="G5" s="18">
        <v>1468.0830000000001</v>
      </c>
      <c r="H5" s="18">
        <v>908.50400000000002</v>
      </c>
      <c r="J5" s="1" t="s">
        <v>4</v>
      </c>
      <c r="K5" s="19">
        <v>15.813000000000001</v>
      </c>
      <c r="L5" s="19">
        <v>21.266999999999999</v>
      </c>
      <c r="M5" s="19">
        <v>22.443000000000001</v>
      </c>
      <c r="N5" s="19">
        <v>92.116</v>
      </c>
      <c r="O5" s="19">
        <v>126.184</v>
      </c>
      <c r="P5" s="19">
        <v>126.184</v>
      </c>
    </row>
    <row r="6" spans="2:16" x14ac:dyDescent="0.3">
      <c r="B6" s="16" t="s">
        <v>41</v>
      </c>
      <c r="C6" s="20"/>
      <c r="D6" s="20">
        <f>IF(D5/C5-1&gt;100%,"N.A.",IF(D5/C5-1&lt;-100%,"N.A.",(D5/C5-1)))</f>
        <v>3.095768374164809E-2</v>
      </c>
      <c r="E6" s="20" t="str">
        <f>IF(E5/D5-1&gt;100%,"N.A.",IF(E5/D5-1&lt;-100%,"N.A.",(E5/D5-1)))</f>
        <v>N.A.</v>
      </c>
      <c r="F6" s="20">
        <f>IF(F5/E5-1&gt;100%,"N.A.",IF(F5/E5-1&lt;-100%,"N.A.",(F5/E5-1)))</f>
        <v>0.45364620938628164</v>
      </c>
      <c r="G6" s="20">
        <f>IF(G5/F5-1&gt;100%,"N.A.",IF(G5/F5-1&lt;-100%,"N.A.",(G5/F5-1)))</f>
        <v>0.35035624210113858</v>
      </c>
      <c r="H6" s="20"/>
      <c r="J6" s="1" t="s">
        <v>8</v>
      </c>
      <c r="K6" s="19">
        <v>-4.6656000000000004</v>
      </c>
      <c r="L6" s="19">
        <v>-9.3339999999999996</v>
      </c>
      <c r="M6" s="19">
        <v>116.80200000000001</v>
      </c>
      <c r="N6" s="19">
        <v>357.33199999999999</v>
      </c>
      <c r="O6" s="19">
        <v>636.45000000000005</v>
      </c>
      <c r="P6" s="19">
        <v>709.57</v>
      </c>
    </row>
    <row r="7" spans="2:16" x14ac:dyDescent="0.3">
      <c r="B7" s="16" t="s">
        <v>42</v>
      </c>
      <c r="C7" s="21"/>
      <c r="D7" s="21"/>
      <c r="E7" s="21"/>
      <c r="F7" s="21">
        <f>IF((F5/C5)^(1/3)-1&gt;100%,"N.A.",IF((F5/C5)^(1/3)-1&lt;-100%,"N.A.",((F5/C5)^(1/3)-1)))</f>
        <v>0.45258963312979139</v>
      </c>
      <c r="G7" s="21">
        <f>IF((G5/D5)^(1/3)-1&gt;100%,"N.A.",IF((G5/D5)^(1/3)-1&lt;-100%,"N.A.",((G5/D5)^(1/3)-1)))</f>
        <v>0.58932279570933166</v>
      </c>
      <c r="H7" s="21"/>
      <c r="J7" s="5" t="s">
        <v>9</v>
      </c>
      <c r="K7" s="18">
        <f t="shared" ref="K7:M7" si="0">SUM(K5:K6)+K9</f>
        <v>11.539400000000001</v>
      </c>
      <c r="L7" s="18">
        <f>SUM(L5:L6)+L9</f>
        <v>13.384</v>
      </c>
      <c r="M7" s="18">
        <f t="shared" si="0"/>
        <v>139.245</v>
      </c>
      <c r="N7" s="18">
        <f>SUM(N5:N6)+N9</f>
        <v>449.44799999999998</v>
      </c>
      <c r="O7" s="18">
        <f t="shared" ref="O7:P7" si="1">SUM(O5:O6)+O9</f>
        <v>763.35699999999997</v>
      </c>
      <c r="P7" s="18">
        <f t="shared" si="1"/>
        <v>836.51800000000003</v>
      </c>
    </row>
    <row r="8" spans="2:16" x14ac:dyDescent="0.3">
      <c r="B8" s="22" t="s">
        <v>110</v>
      </c>
      <c r="C8" s="19">
        <v>206.49100000000001</v>
      </c>
      <c r="D8" s="19">
        <v>243.803</v>
      </c>
      <c r="E8" s="19">
        <v>109.465</v>
      </c>
      <c r="F8" s="19">
        <v>0</v>
      </c>
      <c r="G8" s="19">
        <v>0.41399999999999998</v>
      </c>
      <c r="H8" s="19">
        <v>0.10100000000000001</v>
      </c>
      <c r="J8" s="5" t="s">
        <v>10</v>
      </c>
      <c r="K8" s="18">
        <f>SUM(K5:K6)</f>
        <v>11.147400000000001</v>
      </c>
      <c r="L8" s="18">
        <f>SUM(L5:L6)</f>
        <v>11.933</v>
      </c>
      <c r="M8" s="18">
        <f>SUM(M5:M6)</f>
        <v>139.245</v>
      </c>
      <c r="N8" s="18">
        <f>SUM(N5:N6)</f>
        <v>449.44799999999998</v>
      </c>
      <c r="O8" s="18">
        <f t="shared" ref="O8:P8" si="2">SUM(O5:O6)</f>
        <v>762.63400000000001</v>
      </c>
      <c r="P8" s="18">
        <f t="shared" si="2"/>
        <v>835.75400000000002</v>
      </c>
    </row>
    <row r="9" spans="2:16" x14ac:dyDescent="0.3">
      <c r="B9" s="22" t="s">
        <v>98</v>
      </c>
      <c r="C9" s="19">
        <v>104.804</v>
      </c>
      <c r="D9" s="19">
        <v>89.212000000000003</v>
      </c>
      <c r="E9" s="19">
        <v>324.90100000000001</v>
      </c>
      <c r="F9" s="19">
        <v>742.55399999999997</v>
      </c>
      <c r="G9" s="19">
        <v>1080.174</v>
      </c>
      <c r="H9" s="19">
        <v>701.52599999999995</v>
      </c>
      <c r="J9" s="1" t="s">
        <v>11</v>
      </c>
      <c r="K9" s="23">
        <v>0.39200000000000002</v>
      </c>
      <c r="L9" s="23">
        <v>1.4510000000000001</v>
      </c>
      <c r="M9" s="23">
        <v>0</v>
      </c>
      <c r="N9" s="23">
        <v>0</v>
      </c>
      <c r="O9" s="23">
        <v>0.72299999999999998</v>
      </c>
      <c r="P9" s="23">
        <v>0.76400000000000001</v>
      </c>
    </row>
    <row r="10" spans="2:16" x14ac:dyDescent="0.3">
      <c r="B10" s="22" t="s">
        <v>111</v>
      </c>
      <c r="C10" s="19">
        <v>-5.016</v>
      </c>
      <c r="D10" s="19">
        <v>-1.679</v>
      </c>
      <c r="E10" s="19">
        <v>10.707000000000001</v>
      </c>
      <c r="F10" s="19">
        <v>0</v>
      </c>
      <c r="G10" s="19">
        <v>0</v>
      </c>
      <c r="H10" s="19">
        <v>0</v>
      </c>
      <c r="J10" s="1" t="s">
        <v>5</v>
      </c>
      <c r="K10" s="19">
        <v>107.943</v>
      </c>
      <c r="L10" s="19">
        <v>93.921000000000006</v>
      </c>
      <c r="M10" s="19">
        <v>33.896000000000001</v>
      </c>
      <c r="N10" s="19">
        <v>30.102</v>
      </c>
      <c r="O10" s="19">
        <v>32.363</v>
      </c>
      <c r="P10" s="19">
        <v>46.284999999999997</v>
      </c>
    </row>
    <row r="11" spans="2:16" x14ac:dyDescent="0.3">
      <c r="B11" s="22" t="s">
        <v>113</v>
      </c>
      <c r="C11" s="19">
        <v>0</v>
      </c>
      <c r="D11" s="19">
        <v>0</v>
      </c>
      <c r="E11" s="19">
        <v>0</v>
      </c>
      <c r="F11" s="19">
        <v>-8.3000000000000004E-2</v>
      </c>
      <c r="G11" s="19">
        <v>-0.13900000000000001</v>
      </c>
      <c r="H11" s="19">
        <v>-3.5999999999999997E-2</v>
      </c>
      <c r="J11" s="1" t="s">
        <v>6</v>
      </c>
      <c r="K11" s="19">
        <v>75.283000000000001</v>
      </c>
      <c r="L11" s="19">
        <v>112.16500000000001</v>
      </c>
      <c r="M11" s="19">
        <v>204.67099999999999</v>
      </c>
      <c r="N11" s="19">
        <v>222.797</v>
      </c>
      <c r="O11" s="19">
        <v>520.94200000000001</v>
      </c>
      <c r="P11" s="19">
        <v>631.91999999999996</v>
      </c>
    </row>
    <row r="12" spans="2:16" x14ac:dyDescent="0.3">
      <c r="B12" s="22" t="s">
        <v>43</v>
      </c>
      <c r="C12" s="19">
        <v>16.774999999999999</v>
      </c>
      <c r="D12" s="19">
        <v>17.885000000000002</v>
      </c>
      <c r="E12" s="19">
        <v>29.337</v>
      </c>
      <c r="F12" s="19">
        <v>46.040999999999997</v>
      </c>
      <c r="G12" s="19">
        <v>65.004999999999995</v>
      </c>
      <c r="H12" s="19">
        <v>35.502000000000002</v>
      </c>
      <c r="J12" s="5" t="s">
        <v>12</v>
      </c>
      <c r="K12" s="18">
        <f>SUM(K10:K11)</f>
        <v>183.226</v>
      </c>
      <c r="L12" s="18">
        <f t="shared" ref="L12:P12" si="3">SUM(L10:L11)</f>
        <v>206.08600000000001</v>
      </c>
      <c r="M12" s="18">
        <f t="shared" si="3"/>
        <v>238.56700000000001</v>
      </c>
      <c r="N12" s="18">
        <f t="shared" si="3"/>
        <v>252.899</v>
      </c>
      <c r="O12" s="18">
        <f t="shared" si="3"/>
        <v>553.30500000000006</v>
      </c>
      <c r="P12" s="18">
        <f t="shared" si="3"/>
        <v>678.20499999999993</v>
      </c>
    </row>
    <row r="13" spans="2:16" x14ac:dyDescent="0.3">
      <c r="B13" s="8" t="s">
        <v>45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J13" s="1"/>
      <c r="K13" s="19"/>
      <c r="L13" s="19"/>
      <c r="M13" s="19"/>
      <c r="N13" s="19"/>
      <c r="O13" s="19"/>
      <c r="P13" s="19"/>
    </row>
    <row r="14" spans="2:16" x14ac:dyDescent="0.3">
      <c r="B14" s="22" t="s">
        <v>44</v>
      </c>
      <c r="C14" s="19">
        <v>7.5049999999999999</v>
      </c>
      <c r="D14" s="19">
        <v>14.176</v>
      </c>
      <c r="E14" s="19">
        <v>81.947000000000003</v>
      </c>
      <c r="F14" s="19">
        <v>89.718000000000004</v>
      </c>
      <c r="G14" s="19">
        <v>138.715</v>
      </c>
      <c r="H14" s="19">
        <v>35.921999999999997</v>
      </c>
      <c r="J14" s="5" t="s">
        <v>7</v>
      </c>
      <c r="K14" s="18">
        <f>K8+K46+K9</f>
        <v>121.03440000000001</v>
      </c>
      <c r="L14" s="18">
        <f>L8+L46+L9</f>
        <v>112.898</v>
      </c>
      <c r="M14" s="18">
        <f>M8+M46+M9</f>
        <v>173.97</v>
      </c>
      <c r="N14" s="18">
        <f>N8+N46+N9</f>
        <v>480.30899999999997</v>
      </c>
      <c r="O14" s="18">
        <f t="shared" ref="O14:P14" si="4">O8+O46+O9</f>
        <v>808.46499999999992</v>
      </c>
      <c r="P14" s="18">
        <f t="shared" si="4"/>
        <v>892.91500000000008</v>
      </c>
    </row>
    <row r="15" spans="2:16" x14ac:dyDescent="0.3">
      <c r="B15" s="5" t="s">
        <v>46</v>
      </c>
      <c r="C15" s="18">
        <f>C5-SUM(C8:C14)</f>
        <v>24.15100000000001</v>
      </c>
      <c r="D15" s="18">
        <f>D5-SUM(D8:D14)</f>
        <v>2.2939999999999827</v>
      </c>
      <c r="E15" s="18">
        <f>E5-SUM(E8:E14)</f>
        <v>191.54300000000001</v>
      </c>
      <c r="F15" s="18">
        <f>F5-SUM(F8:F14)</f>
        <v>208.95200000000011</v>
      </c>
      <c r="G15" s="18">
        <f>G5-SUM(G8:G14)</f>
        <v>183.91399999999999</v>
      </c>
      <c r="H15" s="18">
        <f>H5-SUM(H8:H14)</f>
        <v>135.48900000000003</v>
      </c>
      <c r="J15" s="5" t="s">
        <v>7</v>
      </c>
      <c r="K15" s="18">
        <f>K63-K58</f>
        <v>121.02969999999999</v>
      </c>
      <c r="L15" s="18">
        <f>L63-L58</f>
        <v>112.89800000000005</v>
      </c>
      <c r="M15" s="18">
        <f>M63-M58</f>
        <v>173.97099999999995</v>
      </c>
      <c r="N15" s="18">
        <f>N63-N58</f>
        <v>480.30899999999986</v>
      </c>
      <c r="O15" s="18">
        <f t="shared" ref="O15:P15" si="5">O63-O58</f>
        <v>808.46499999999992</v>
      </c>
      <c r="P15" s="18">
        <f t="shared" si="5"/>
        <v>892.90700000000015</v>
      </c>
    </row>
    <row r="16" spans="2:16" x14ac:dyDescent="0.3">
      <c r="B16" s="25" t="s">
        <v>47</v>
      </c>
      <c r="C16" s="26">
        <f>IF(C15/C5&gt;100%,"N.A",IF(C15/C5&lt;-100%,"N.A.",(C15/C5)))</f>
        <v>6.808660595979818E-2</v>
      </c>
      <c r="D16" s="26">
        <f>IF(D15/D5&gt;100%,"N.A",IF(D15/D5&lt;-100%,"N.A.",(D15/D5)))</f>
        <v>6.2730556672162645E-3</v>
      </c>
      <c r="E16" s="26">
        <f>IF(E15/E5&gt;100%,"N.A",IF(E15/E5&lt;-100%,"N.A.",(E15/E5)))</f>
        <v>0.25610776841823774</v>
      </c>
      <c r="F16" s="26">
        <f>IF(F15/F5&gt;100%,"N.A",IF(F15/F5&lt;-100%,"N.A.",(F15/F5)))</f>
        <v>0.1921959708678033</v>
      </c>
      <c r="G16" s="26">
        <f>IF(G15/G5&gt;100%,"N.A",IF(G15/G5&lt;-100%,"N.A.",(G15/G5)))</f>
        <v>0.12527493336548409</v>
      </c>
      <c r="H16" s="26">
        <f>IF(H15/H5&gt;100%,"N.A",IF(H15/H5&lt;-100%,"N.A.",(H15/H5)))</f>
        <v>0.14913418102727125</v>
      </c>
      <c r="J16" s="3" t="s">
        <v>18</v>
      </c>
      <c r="K16" s="19"/>
      <c r="L16" s="19"/>
      <c r="M16" s="19"/>
      <c r="N16" s="19"/>
      <c r="O16" s="19"/>
      <c r="P16" s="19"/>
    </row>
    <row r="17" spans="1:16" x14ac:dyDescent="0.3">
      <c r="B17" s="25" t="s">
        <v>41</v>
      </c>
      <c r="C17" s="21"/>
      <c r="D17" s="21">
        <f>IF(D15/C15-1&gt;100%,("N.A."),IF(D15/C15-1&lt;-100%,("N.A."),(D15/C15-1)))</f>
        <v>-0.90501428512277005</v>
      </c>
      <c r="E17" s="21" t="str">
        <f>IF(E15/D15-1&gt;100%,("N.A."),IF(E15/D15-1&lt;-100%,("N.A."),(E15/D15-1)))</f>
        <v>N.A.</v>
      </c>
      <c r="F17" s="21">
        <f>IF(F15/E15-1&gt;100%,("N.A."),IF(F15/E15-1&lt;-100%,("N.A."),(F15/E15-1)))</f>
        <v>9.0888207869773918E-2</v>
      </c>
      <c r="G17" s="21">
        <f>IF(G15/F15-1&gt;100%,("N.A."),IF(G15/F15-1&lt;-100%,("N.A."),(G15/F15-1)))</f>
        <v>-0.11982656303840167</v>
      </c>
      <c r="H17" s="42"/>
      <c r="J17" s="1" t="s">
        <v>13</v>
      </c>
      <c r="K17" s="19">
        <v>95.406999999999996</v>
      </c>
      <c r="L17" s="19">
        <v>89.942999999999998</v>
      </c>
      <c r="M17" s="19">
        <v>80.837999999999994</v>
      </c>
      <c r="N17" s="19">
        <v>90.194999999999993</v>
      </c>
      <c r="O17" s="19">
        <v>84.613</v>
      </c>
      <c r="P17" s="19">
        <v>109.072</v>
      </c>
    </row>
    <row r="18" spans="1:16" x14ac:dyDescent="0.3">
      <c r="B18" s="25" t="s">
        <v>48</v>
      </c>
      <c r="C18" s="20"/>
      <c r="D18" s="20"/>
      <c r="E18" s="20"/>
      <c r="F18" s="20" t="str">
        <f>IF((F15/C15)^(1/3)-1&lt;-100%,"N.A.",IF((F15/C15)^(1/3)-1&gt;100%,"N.A.",((F15/C15)^(1/3)-1)))</f>
        <v>N.A.</v>
      </c>
      <c r="G18" s="20" t="str">
        <f>IF((G15/D15)^(1/3)-1&lt;-100%,"N.A.",IF((G15/D15)^(1/3)-1&gt;100%,"N.A.",((G15/D15)^(1/3)-1)))</f>
        <v>N.A.</v>
      </c>
      <c r="H18" s="41"/>
      <c r="J18" s="8" t="s">
        <v>114</v>
      </c>
      <c r="K18" s="19">
        <v>0.2</v>
      </c>
      <c r="L18" s="19">
        <v>0</v>
      </c>
      <c r="M18" s="19">
        <v>0</v>
      </c>
      <c r="N18" s="19">
        <v>0</v>
      </c>
      <c r="O18" s="19">
        <v>1.9179999999999999</v>
      </c>
      <c r="P18" s="19">
        <v>1.9179999999999999</v>
      </c>
    </row>
    <row r="19" spans="1:16" x14ac:dyDescent="0.3">
      <c r="B19" s="8" t="s">
        <v>49</v>
      </c>
      <c r="C19" s="19">
        <v>2.0640000000000001</v>
      </c>
      <c r="D19" s="19">
        <v>2.8290000000000002</v>
      </c>
      <c r="E19" s="19">
        <v>1.1000000000000001</v>
      </c>
      <c r="F19" s="19">
        <v>5.3079999999999998</v>
      </c>
      <c r="G19" s="19">
        <v>19.163</v>
      </c>
      <c r="H19" s="19">
        <v>11.744</v>
      </c>
      <c r="J19" s="1" t="s">
        <v>115</v>
      </c>
      <c r="K19" s="19">
        <v>0</v>
      </c>
      <c r="L19" s="19">
        <v>6.6879999999999997</v>
      </c>
      <c r="M19" s="19">
        <v>3.3439999999999999</v>
      </c>
      <c r="N19" s="19">
        <v>0</v>
      </c>
      <c r="O19" s="19">
        <v>15.484</v>
      </c>
      <c r="P19" s="19">
        <v>12.669</v>
      </c>
    </row>
    <row r="20" spans="1:16" x14ac:dyDescent="0.3">
      <c r="B20" s="8" t="s">
        <v>50</v>
      </c>
      <c r="C20" s="19">
        <v>9.8740000000000006</v>
      </c>
      <c r="D20" s="19">
        <v>16.052</v>
      </c>
      <c r="E20" s="19">
        <v>18.027000000000001</v>
      </c>
      <c r="F20" s="19">
        <v>19.66</v>
      </c>
      <c r="G20" s="19">
        <v>21.353000000000002</v>
      </c>
      <c r="H20" s="19">
        <v>14.196</v>
      </c>
      <c r="J20" s="1" t="s">
        <v>116</v>
      </c>
      <c r="K20" s="19">
        <v>3.0000000000000001E-3</v>
      </c>
      <c r="L20" s="19">
        <v>1E-3</v>
      </c>
      <c r="M20" s="19">
        <v>1E-3</v>
      </c>
      <c r="N20" s="19">
        <v>1E-3</v>
      </c>
      <c r="O20" s="19">
        <v>2.0459999999999998</v>
      </c>
      <c r="P20" s="19">
        <v>1.8720000000000001</v>
      </c>
    </row>
    <row r="21" spans="1:16" x14ac:dyDescent="0.3">
      <c r="B21" s="8" t="s">
        <v>51</v>
      </c>
      <c r="C21" s="19">
        <v>11.272</v>
      </c>
      <c r="D21" s="19">
        <v>19.334</v>
      </c>
      <c r="E21" s="19">
        <v>22.227</v>
      </c>
      <c r="F21" s="19">
        <v>26.969000000000001</v>
      </c>
      <c r="G21" s="19">
        <v>31.942</v>
      </c>
      <c r="H21" s="19">
        <v>37.744</v>
      </c>
      <c r="J21" s="1" t="s">
        <v>128</v>
      </c>
      <c r="K21" s="1">
        <v>0</v>
      </c>
      <c r="L21" s="1">
        <v>0</v>
      </c>
      <c r="M21" s="1">
        <v>0</v>
      </c>
      <c r="N21" s="19">
        <v>1.7709999999999999</v>
      </c>
      <c r="O21" s="1">
        <v>0</v>
      </c>
      <c r="P21" s="1">
        <v>0</v>
      </c>
    </row>
    <row r="22" spans="1:16" x14ac:dyDescent="0.3">
      <c r="B22" s="5" t="s">
        <v>131</v>
      </c>
      <c r="C22" s="18">
        <f>C15+C19-SUM(C20:C21)</f>
        <v>5.0690000000000097</v>
      </c>
      <c r="D22" s="18">
        <f>D15+D19-SUM(D20:D21)</f>
        <v>-30.263000000000012</v>
      </c>
      <c r="E22" s="18">
        <f>E15+E19-SUM(E20:E21)</f>
        <v>152.38900000000001</v>
      </c>
      <c r="F22" s="18">
        <f>F15+F19-SUM(F20:F21)</f>
        <v>167.63100000000009</v>
      </c>
      <c r="G22" s="18">
        <f>G15+G19-SUM(G20:G21)</f>
        <v>149.78199999999998</v>
      </c>
      <c r="H22" s="18">
        <f>H15+H19-SUM(H20:H21)</f>
        <v>95.293000000000035</v>
      </c>
      <c r="J22" s="1" t="s">
        <v>14</v>
      </c>
      <c r="K22" s="19"/>
      <c r="L22" s="19"/>
      <c r="M22" s="19"/>
      <c r="N22" s="19"/>
      <c r="O22" s="19"/>
      <c r="P22" s="19"/>
    </row>
    <row r="23" spans="1:16" x14ac:dyDescent="0.3">
      <c r="A23" s="48"/>
      <c r="B23" s="49" t="s">
        <v>132</v>
      </c>
      <c r="C23" s="50">
        <v>0</v>
      </c>
      <c r="D23" s="50">
        <v>0</v>
      </c>
      <c r="E23" s="50">
        <v>0</v>
      </c>
      <c r="F23" s="50">
        <v>0</v>
      </c>
      <c r="G23" s="50">
        <v>-1.0720000000000001</v>
      </c>
      <c r="H23" s="50">
        <v>0.73799999999999999</v>
      </c>
      <c r="I23" s="48"/>
      <c r="J23" s="1" t="s">
        <v>15</v>
      </c>
      <c r="K23" s="19">
        <v>0</v>
      </c>
      <c r="L23" s="19">
        <v>0.158</v>
      </c>
      <c r="M23" s="19">
        <v>6.8849999999999998</v>
      </c>
      <c r="N23" s="19">
        <v>6.6970000000000001</v>
      </c>
      <c r="O23" s="19">
        <v>5.5259999999999998</v>
      </c>
      <c r="P23" s="19">
        <v>6.2640000000000002</v>
      </c>
    </row>
    <row r="24" spans="1:16" x14ac:dyDescent="0.3">
      <c r="B24" s="5" t="s">
        <v>52</v>
      </c>
      <c r="C24" s="18">
        <f>C22+C23</f>
        <v>5.0690000000000097</v>
      </c>
      <c r="D24" s="18">
        <f t="shared" ref="D24:H24" si="6">D22+D23</f>
        <v>-30.263000000000012</v>
      </c>
      <c r="E24" s="18">
        <f t="shared" si="6"/>
        <v>152.38900000000001</v>
      </c>
      <c r="F24" s="18">
        <f t="shared" si="6"/>
        <v>167.63100000000009</v>
      </c>
      <c r="G24" s="18">
        <f t="shared" si="6"/>
        <v>148.70999999999998</v>
      </c>
      <c r="H24" s="18">
        <f t="shared" si="6"/>
        <v>96.031000000000034</v>
      </c>
      <c r="J24" s="1" t="s">
        <v>104</v>
      </c>
      <c r="K24" s="19">
        <v>2.423</v>
      </c>
      <c r="L24" s="19">
        <v>2.6339999999999999</v>
      </c>
      <c r="M24" s="19">
        <v>32.371000000000002</v>
      </c>
      <c r="N24" s="19">
        <v>7.5839999999999996</v>
      </c>
      <c r="O24" s="19">
        <v>76.408000000000001</v>
      </c>
      <c r="P24" s="19">
        <v>82.061999999999998</v>
      </c>
    </row>
    <row r="25" spans="1:16" x14ac:dyDescent="0.3">
      <c r="B25" s="8" t="s">
        <v>53</v>
      </c>
      <c r="C25" s="19">
        <v>2.774</v>
      </c>
      <c r="D25" s="19">
        <v>0.56000000000000005</v>
      </c>
      <c r="E25" s="19">
        <v>40.023000000000003</v>
      </c>
      <c r="F25" s="19">
        <v>42.610999999999997</v>
      </c>
      <c r="G25" s="19">
        <v>33.279000000000003</v>
      </c>
      <c r="H25" s="19">
        <v>22.824999999999999</v>
      </c>
      <c r="J25" s="1" t="s">
        <v>117</v>
      </c>
      <c r="K25" s="19">
        <v>7.0000000000000001E-3</v>
      </c>
      <c r="L25" s="19">
        <v>0</v>
      </c>
      <c r="M25" s="19">
        <v>5.5910000000000002</v>
      </c>
      <c r="N25" s="19">
        <v>16.831</v>
      </c>
      <c r="O25" s="19">
        <v>20.268000000000001</v>
      </c>
      <c r="P25" s="19">
        <v>21.390999999999998</v>
      </c>
    </row>
    <row r="26" spans="1:16" x14ac:dyDescent="0.3">
      <c r="B26" s="25" t="s">
        <v>54</v>
      </c>
      <c r="C26" s="21">
        <f>C25/C24</f>
        <v>0.5472479779049112</v>
      </c>
      <c r="D26" s="21">
        <f t="shared" ref="D26:H26" si="7">D25/D24</f>
        <v>-1.8504444371014103E-2</v>
      </c>
      <c r="E26" s="21">
        <f t="shared" si="7"/>
        <v>0.26263706697990014</v>
      </c>
      <c r="F26" s="21">
        <f t="shared" si="7"/>
        <v>0.25419522641993414</v>
      </c>
      <c r="G26" s="21">
        <f t="shared" si="7"/>
        <v>0.22378454710510395</v>
      </c>
      <c r="H26" s="21">
        <f t="shared" si="7"/>
        <v>0.23768366464995669</v>
      </c>
      <c r="J26" s="5" t="s">
        <v>16</v>
      </c>
      <c r="K26" s="18">
        <f>SUM(K17:K25)</f>
        <v>98.04</v>
      </c>
      <c r="L26" s="18">
        <f>SUM(L17:L25)</f>
        <v>99.424000000000007</v>
      </c>
      <c r="M26" s="18">
        <f>SUM(M17:M25)</f>
        <v>129.03</v>
      </c>
      <c r="N26" s="18">
        <f>SUM(N17:N25)</f>
        <v>123.07900000000001</v>
      </c>
      <c r="O26" s="18">
        <f t="shared" ref="O26:P26" si="8">SUM(O17:O25)</f>
        <v>206.26300000000001</v>
      </c>
      <c r="P26" s="18">
        <f t="shared" si="8"/>
        <v>235.24800000000002</v>
      </c>
    </row>
    <row r="27" spans="1:16" x14ac:dyDescent="0.3">
      <c r="B27" s="5" t="s">
        <v>97</v>
      </c>
      <c r="C27" s="18">
        <f>C24-C25</f>
        <v>2.2950000000000097</v>
      </c>
      <c r="D27" s="18">
        <f t="shared" ref="D27:H27" si="9">D24-D25</f>
        <v>-30.823000000000011</v>
      </c>
      <c r="E27" s="18">
        <f t="shared" si="9"/>
        <v>112.36600000000001</v>
      </c>
      <c r="F27" s="18">
        <f t="shared" si="9"/>
        <v>125.0200000000001</v>
      </c>
      <c r="G27" s="18">
        <f t="shared" si="9"/>
        <v>115.43099999999998</v>
      </c>
      <c r="H27" s="18">
        <f t="shared" si="9"/>
        <v>73.206000000000031</v>
      </c>
      <c r="J27" s="3" t="s">
        <v>17</v>
      </c>
      <c r="K27" s="19"/>
      <c r="L27" s="19"/>
      <c r="M27" s="19"/>
      <c r="N27" s="19"/>
      <c r="O27" s="19"/>
      <c r="P27" s="19"/>
    </row>
    <row r="28" spans="1:16" x14ac:dyDescent="0.3">
      <c r="B28" s="3"/>
      <c r="C28" s="28"/>
      <c r="D28" s="28"/>
      <c r="E28" s="28"/>
      <c r="F28" s="28"/>
      <c r="G28" s="28"/>
      <c r="H28" s="28"/>
      <c r="J28" s="1" t="s">
        <v>19</v>
      </c>
      <c r="K28" s="19">
        <v>9.1440000000000001</v>
      </c>
      <c r="L28" s="19">
        <v>10.823</v>
      </c>
      <c r="M28" s="19">
        <v>0</v>
      </c>
      <c r="N28" s="19">
        <v>0</v>
      </c>
      <c r="O28" s="19">
        <v>0</v>
      </c>
      <c r="P28" s="19">
        <v>0</v>
      </c>
    </row>
    <row r="29" spans="1:16" x14ac:dyDescent="0.3">
      <c r="B29" s="1"/>
      <c r="C29" s="28"/>
      <c r="D29" s="28"/>
      <c r="E29" s="28"/>
      <c r="F29" s="28"/>
      <c r="G29" s="28"/>
      <c r="H29" s="28"/>
      <c r="J29" s="1" t="s">
        <v>20</v>
      </c>
      <c r="K29" s="19"/>
      <c r="L29" s="19"/>
      <c r="M29" s="19"/>
      <c r="N29" s="19"/>
      <c r="O29" s="19"/>
      <c r="P29" s="19"/>
    </row>
    <row r="30" spans="1:16" x14ac:dyDescent="0.3">
      <c r="B30" s="5"/>
      <c r="C30" s="6"/>
      <c r="D30" s="6"/>
      <c r="E30" s="6"/>
      <c r="F30" s="6"/>
      <c r="G30" s="6"/>
      <c r="H30" s="6"/>
      <c r="J30" s="1" t="s">
        <v>118</v>
      </c>
      <c r="K30" s="19">
        <v>0</v>
      </c>
      <c r="L30" s="19">
        <v>0</v>
      </c>
      <c r="M30" s="19">
        <v>0</v>
      </c>
      <c r="N30" s="19">
        <v>0.55000000000000004</v>
      </c>
      <c r="O30" s="19">
        <v>0.8</v>
      </c>
      <c r="P30" s="19">
        <v>0.83599999999999997</v>
      </c>
    </row>
    <row r="31" spans="1:16" x14ac:dyDescent="0.3">
      <c r="B31" s="5" t="s">
        <v>55</v>
      </c>
      <c r="C31" s="18">
        <f>C27+C30</f>
        <v>2.2950000000000097</v>
      </c>
      <c r="D31" s="18">
        <f>D27+D30</f>
        <v>-30.823000000000011</v>
      </c>
      <c r="E31" s="18">
        <f>E27+E30</f>
        <v>112.36600000000001</v>
      </c>
      <c r="F31" s="18">
        <f>F27+F30</f>
        <v>125.0200000000001</v>
      </c>
      <c r="G31" s="18">
        <f>G27+G30</f>
        <v>115.43099999999998</v>
      </c>
      <c r="H31" s="18">
        <f>H27+H30</f>
        <v>73.206000000000031</v>
      </c>
      <c r="J31" s="1" t="s">
        <v>119</v>
      </c>
      <c r="K31" s="19">
        <v>79.825000000000003</v>
      </c>
      <c r="L31" s="19">
        <v>100.124</v>
      </c>
      <c r="M31" s="19">
        <v>365.29700000000003</v>
      </c>
      <c r="N31" s="19">
        <v>607.452</v>
      </c>
      <c r="O31" s="19">
        <v>1297.394</v>
      </c>
      <c r="P31" s="19">
        <v>1090.7139999999999</v>
      </c>
    </row>
    <row r="32" spans="1:16" x14ac:dyDescent="0.3">
      <c r="B32" s="25" t="s">
        <v>56</v>
      </c>
      <c r="C32" s="21">
        <f>IF(C31/C5&gt;100%,"N.A.",IF(C31/C5&lt;-100%,"N.A.",(C31/C5)))</f>
        <v>6.4700741450762871E-3</v>
      </c>
      <c r="D32" s="21">
        <f>IF(D31/D5&gt;100%,"N.A.",IF(D31/D5&lt;-100%,"N.A.",(D31/D5)))</f>
        <v>-8.4287007336795311E-2</v>
      </c>
      <c r="E32" s="21">
        <f>IF(E31/E5&gt;100%,"N.A.",IF(E31/E5&lt;-100%,"N.A.",(E31/E5)))</f>
        <v>0.15024201096403264</v>
      </c>
      <c r="F32" s="21">
        <f>IF(F31/F5&gt;100%,"N.A.",IF(F31/F5&lt;-100%,"N.A.",(F31/F5)))</f>
        <v>0.11499454553147503</v>
      </c>
      <c r="G32" s="21">
        <f>IF(G31/G5&gt;100%,"N.A.",IF(G31/G5&lt;-100%,"N.A.",(G31/G5)))</f>
        <v>7.8627025856167515E-2</v>
      </c>
      <c r="H32" s="21">
        <f>IF(H31/H5&gt;100%,"N.A.",IF(H31/H5&lt;-100%,"N.A.",(H31/H5)))</f>
        <v>8.0578621558077934E-2</v>
      </c>
      <c r="J32" s="1" t="s">
        <v>120</v>
      </c>
      <c r="K32" s="19">
        <v>1.925</v>
      </c>
      <c r="L32" s="19">
        <v>10.238</v>
      </c>
      <c r="M32" s="19">
        <v>4.4359999999999999</v>
      </c>
      <c r="N32" s="19">
        <v>4.09</v>
      </c>
      <c r="O32" s="19">
        <v>21.989000000000001</v>
      </c>
      <c r="P32" s="19">
        <v>166.52500000000001</v>
      </c>
    </row>
    <row r="33" spans="2:16" x14ac:dyDescent="0.3">
      <c r="B33" s="25" t="s">
        <v>41</v>
      </c>
      <c r="C33" s="20"/>
      <c r="D33" s="20" t="str">
        <f t="shared" ref="D33" si="10">IF(D31/C31-1&gt;100%,"N.A.",IF(D31/C31-1&lt;-100%,"N.A.",D31/C31-1))</f>
        <v>N.A.</v>
      </c>
      <c r="E33" s="20" t="str">
        <f>IF(E31/D31-1&gt;100%,"N.A.",IF(E31/D31-1&lt;-100%,"N.A.",E31/D31-1))</f>
        <v>N.A.</v>
      </c>
      <c r="F33" s="20">
        <f>IF(F31/E31-1&gt;100%,"N.A.",IF(F31/E31-1&lt;-100%,"N.A.",F31/E31-1))</f>
        <v>0.11261413594859726</v>
      </c>
      <c r="G33" s="20">
        <f>IF(G31/F31-1&gt;100%,"N.A.",IF(G31/F31-1&lt;-100%,"N.A.",G31/F31-1))</f>
        <v>-7.6699728043513882E-2</v>
      </c>
      <c r="H33" s="20"/>
      <c r="J33" s="1" t="s">
        <v>121</v>
      </c>
      <c r="K33" s="19">
        <v>8.6170000000000009</v>
      </c>
      <c r="L33" s="19">
        <v>14.285</v>
      </c>
      <c r="M33" s="19">
        <v>18.751999999999999</v>
      </c>
      <c r="N33" s="19">
        <v>213.42099999999999</v>
      </c>
      <c r="O33" s="19">
        <v>232.90199999999999</v>
      </c>
      <c r="P33" s="19">
        <v>22.7</v>
      </c>
    </row>
    <row r="34" spans="2:16" x14ac:dyDescent="0.3">
      <c r="B34" s="25" t="s">
        <v>48</v>
      </c>
      <c r="C34" s="20"/>
      <c r="D34" s="20"/>
      <c r="E34" s="20"/>
      <c r="F34" s="20" t="str">
        <f>IF((F31/C31)^(1/3)-1&lt;-100%,"N.A.",IF((F31/C31)^(1/3)-1&gt;100%,"N.A.",((F31/C31)^(1/3)-1)))</f>
        <v>N.A.</v>
      </c>
      <c r="G34" s="20" t="str">
        <f>IF((G31/D31)^(1/3)-1&lt;-100%,"N.A.",IF((G31/D31)^(1/3)-1&gt;100%,"N.A.",((G31/D31)^(1/3)-1)))</f>
        <v>N.A.</v>
      </c>
      <c r="H34" s="20"/>
      <c r="J34" s="1" t="s">
        <v>105</v>
      </c>
      <c r="K34" s="19">
        <v>4.3410000000000002</v>
      </c>
      <c r="L34" s="19">
        <v>2.2069999999999999</v>
      </c>
      <c r="M34" s="19">
        <v>16.055</v>
      </c>
      <c r="N34" s="19">
        <v>10.314</v>
      </c>
      <c r="O34" s="19">
        <v>24.148</v>
      </c>
      <c r="P34" s="19">
        <v>266.44799999999998</v>
      </c>
    </row>
    <row r="35" spans="2:16" x14ac:dyDescent="0.3">
      <c r="B35" s="1" t="s">
        <v>108</v>
      </c>
      <c r="C35" s="19">
        <v>0</v>
      </c>
      <c r="D35" s="19">
        <v>0.438</v>
      </c>
      <c r="E35" s="19">
        <v>-0.11700000000000001</v>
      </c>
      <c r="F35" s="19">
        <v>2.1999999999999999E-2</v>
      </c>
      <c r="G35" s="19">
        <v>-7.8E-2</v>
      </c>
      <c r="H35" s="19">
        <v>-4.4999999999999998E-2</v>
      </c>
      <c r="J35" s="1" t="s">
        <v>100</v>
      </c>
      <c r="K35" s="19">
        <v>1.3759999999999999</v>
      </c>
      <c r="L35" s="19">
        <v>1.508</v>
      </c>
      <c r="M35" s="19">
        <v>0</v>
      </c>
      <c r="N35" s="19">
        <v>0</v>
      </c>
      <c r="O35" s="19">
        <v>0.17599999999999999</v>
      </c>
      <c r="P35" s="19">
        <v>0.191</v>
      </c>
    </row>
    <row r="36" spans="2:16" x14ac:dyDescent="0.3">
      <c r="B36" s="1"/>
      <c r="C36" s="1"/>
      <c r="D36" s="1"/>
      <c r="E36" s="1"/>
      <c r="F36" s="1"/>
      <c r="G36" s="1"/>
      <c r="H36" s="1"/>
      <c r="J36" s="1" t="s">
        <v>99</v>
      </c>
      <c r="K36" s="19">
        <v>18.785</v>
      </c>
      <c r="L36" s="19">
        <v>20.504999999999999</v>
      </c>
      <c r="M36" s="19">
        <v>35.47</v>
      </c>
      <c r="N36" s="19">
        <v>53.206000000000003</v>
      </c>
      <c r="O36" s="19">
        <v>57.006999999999998</v>
      </c>
      <c r="P36" s="19">
        <v>108.316</v>
      </c>
    </row>
    <row r="37" spans="2:16" x14ac:dyDescent="0.3">
      <c r="B37" s="5" t="s">
        <v>57</v>
      </c>
      <c r="C37" s="31">
        <f>C31+C35</f>
        <v>2.2950000000000097</v>
      </c>
      <c r="D37" s="31">
        <f>D31+D35</f>
        <v>-30.385000000000012</v>
      </c>
      <c r="E37" s="31">
        <f>E31+E35</f>
        <v>112.24900000000001</v>
      </c>
      <c r="F37" s="31">
        <f>F31+F35</f>
        <v>125.0420000000001</v>
      </c>
      <c r="G37" s="31">
        <f t="shared" ref="G37:H37" si="11">G31+G35</f>
        <v>115.35299999999998</v>
      </c>
      <c r="H37" s="31">
        <f t="shared" si="11"/>
        <v>73.16100000000003</v>
      </c>
      <c r="J37" s="5" t="s">
        <v>21</v>
      </c>
      <c r="K37" s="18">
        <f>SUM(K28:K36)</f>
        <v>124.01300000000001</v>
      </c>
      <c r="L37" s="18">
        <f>SUM(L28:L36)</f>
        <v>159.69</v>
      </c>
      <c r="M37" s="18">
        <f>SUM(M28:M36)</f>
        <v>440.01</v>
      </c>
      <c r="N37" s="18">
        <f>SUM(N28:N36)</f>
        <v>889.0329999999999</v>
      </c>
      <c r="O37" s="18">
        <f t="shared" ref="O37:P37" si="12">SUM(O28:O36)</f>
        <v>1634.4159999999999</v>
      </c>
      <c r="P37" s="18">
        <f t="shared" si="12"/>
        <v>1655.73</v>
      </c>
    </row>
    <row r="38" spans="2:16" x14ac:dyDescent="0.3">
      <c r="B38" s="25" t="s">
        <v>41</v>
      </c>
      <c r="C38" s="21"/>
      <c r="D38" s="20" t="str">
        <f>IF(D37/C37-1&gt;100%,"N.A.",IF(D37/C37-1&lt;-100%,"N.A.",(D37/C37-1)))</f>
        <v>N.A.</v>
      </c>
      <c r="E38" s="20" t="str">
        <f>IF(E37/D37-1&gt;100%,"N.A.",IF(E37/D37-1&lt;-100%,"N.A.",(E37/D37-1)))</f>
        <v>N.A.</v>
      </c>
      <c r="F38" s="21">
        <f>IF(F37/E37-1&gt;100%,"N.A.",IF(F37/E37-1&lt;-100%,"N.A.",(F37/E37-1)))</f>
        <v>0.11396983492057911</v>
      </c>
      <c r="G38" s="21">
        <f>IF(G37/F37-1&gt;100%,"N.A.",IF(G37/F37-1&lt;-100%,"N.A.",(G37/F37-1)))</f>
        <v>-7.7485964715856337E-2</v>
      </c>
      <c r="H38" s="21"/>
    </row>
    <row r="39" spans="2:16" x14ac:dyDescent="0.3">
      <c r="B39" s="25" t="s">
        <v>48</v>
      </c>
      <c r="C39" s="21"/>
      <c r="D39" s="21"/>
      <c r="E39" s="21"/>
      <c r="F39" s="20" t="str">
        <f>IF((F37/C37)^(1/3)-1&lt;-100%,"N.A.",IF((F37/C37)^(1/3)-1&gt;100%,"N.A.",((F37/C37)^(1/3)-1)))</f>
        <v>N.A.</v>
      </c>
      <c r="G39" s="20" t="str">
        <f>IF((G37/D37)^(1/3)-1&lt;-100%,"N.A.",IF((G37/D37)^(1/3)-1&gt;100%,"N.A.",((G37/D37)^(1/3)-1)))</f>
        <v>N.A.</v>
      </c>
      <c r="H39" s="20"/>
      <c r="J39" s="3" t="s">
        <v>22</v>
      </c>
      <c r="K39" s="34"/>
      <c r="L39" s="34"/>
      <c r="M39" s="34"/>
      <c r="N39" s="34"/>
      <c r="O39" s="34"/>
      <c r="P39" s="34"/>
    </row>
    <row r="40" spans="2:16" x14ac:dyDescent="0.3">
      <c r="B40" s="1" t="s">
        <v>60</v>
      </c>
      <c r="C40" s="27"/>
      <c r="D40" s="27"/>
      <c r="E40" s="27"/>
      <c r="F40" s="27"/>
      <c r="G40" s="27"/>
      <c r="H40" s="27"/>
      <c r="J40" s="1" t="s">
        <v>23</v>
      </c>
      <c r="L40" s="34"/>
      <c r="M40" s="34"/>
      <c r="N40" s="34"/>
      <c r="O40" s="34"/>
      <c r="P40" s="34"/>
    </row>
    <row r="41" spans="2:16" x14ac:dyDescent="0.3">
      <c r="B41" s="32" t="s">
        <v>58</v>
      </c>
      <c r="C41" s="19">
        <v>0.69</v>
      </c>
      <c r="D41" s="19">
        <v>-5.95</v>
      </c>
      <c r="E41" s="19">
        <v>10.41</v>
      </c>
      <c r="F41" s="19">
        <v>13.76</v>
      </c>
      <c r="G41" s="19">
        <v>9.16</v>
      </c>
      <c r="H41" s="19">
        <v>5.79</v>
      </c>
      <c r="J41" s="1" t="s">
        <v>123</v>
      </c>
      <c r="K41" s="34">
        <v>107.943</v>
      </c>
      <c r="L41" s="34">
        <v>93.921000000000006</v>
      </c>
      <c r="M41" s="34">
        <v>33.896000000000001</v>
      </c>
      <c r="N41" s="34">
        <v>30.102</v>
      </c>
      <c r="O41" s="34">
        <v>32.363</v>
      </c>
      <c r="P41" s="34">
        <v>46.284999999999997</v>
      </c>
    </row>
    <row r="42" spans="2:16" ht="13.5" customHeight="1" x14ac:dyDescent="0.3">
      <c r="B42" s="32" t="s">
        <v>59</v>
      </c>
      <c r="C42" s="19">
        <v>0.69</v>
      </c>
      <c r="D42" s="19">
        <v>-5.95</v>
      </c>
      <c r="E42" s="19">
        <v>10.41</v>
      </c>
      <c r="F42" s="19">
        <v>13.76</v>
      </c>
      <c r="G42" s="19">
        <f>G41</f>
        <v>9.16</v>
      </c>
      <c r="H42" s="19">
        <f>H41</f>
        <v>5.79</v>
      </c>
      <c r="J42" s="1" t="s">
        <v>124</v>
      </c>
      <c r="K42" s="34">
        <v>0</v>
      </c>
      <c r="L42" s="34">
        <v>3.5670000000000002</v>
      </c>
      <c r="M42" s="34">
        <v>0</v>
      </c>
      <c r="N42" s="34">
        <v>0</v>
      </c>
      <c r="O42" s="34">
        <v>11.372</v>
      </c>
      <c r="P42" s="34">
        <v>8.3930000000000007</v>
      </c>
    </row>
    <row r="43" spans="2:16" x14ac:dyDescent="0.3">
      <c r="B43" s="25" t="s">
        <v>41</v>
      </c>
      <c r="C43" s="20"/>
      <c r="D43" s="20" t="str">
        <f>IF(D42/C42-1&gt;100%,"N.A.",IF(D42/C42-1&lt;-100%,"N.A.",(D42/C42-1)))</f>
        <v>N.A.</v>
      </c>
      <c r="E43" s="20" t="str">
        <f>IF(E42/D42-1&gt;100%,"N.A.",IF(E42/D42-1&lt;-100%,"N.A.",(E42/D42-1)))</f>
        <v>N.A.</v>
      </c>
      <c r="F43" s="20">
        <f>IF(F42/E42-1&gt;100%,"N.A.",IF(F42/E42-1&lt;-100%,"N.A.",(F42/E42-1)))</f>
        <v>0.32180595581171945</v>
      </c>
      <c r="G43" s="20">
        <f>IF(G42/F42-1&gt;100%,"N.A.",IF(G42/F42-1&lt;-100%,"N.A.",(G42/F42-1)))</f>
        <v>-0.33430232558139528</v>
      </c>
      <c r="H43" s="20"/>
      <c r="J43" s="1" t="s">
        <v>125</v>
      </c>
      <c r="K43" s="19">
        <v>0</v>
      </c>
      <c r="L43" s="19">
        <v>1</v>
      </c>
      <c r="M43" s="19">
        <v>0</v>
      </c>
      <c r="N43" s="19">
        <v>0</v>
      </c>
      <c r="O43" s="19">
        <v>0</v>
      </c>
      <c r="P43" s="19">
        <v>0</v>
      </c>
    </row>
    <row r="44" spans="2:16" x14ac:dyDescent="0.3">
      <c r="B44" s="25" t="s">
        <v>48</v>
      </c>
      <c r="C44" s="21"/>
      <c r="D44" s="20"/>
      <c r="E44" s="21"/>
      <c r="F44" s="20" t="str">
        <f>IF((F42/C42)^(1/3)-1&lt;-100%,"N.A.",IF((F42/C42)^(1/3)-1&gt;100%,"N.A.",((F42/C42)^(1/3)-1)))</f>
        <v>N.A.</v>
      </c>
      <c r="G44" s="20" t="str">
        <f>IF((G42/D42)^(1/3)-1&lt;-100%,"N.A.",IF((G42/D42)^(1/3)-1&gt;100%,"N.A.",((G42/D42)^(1/3)-1)))</f>
        <v>N.A.</v>
      </c>
      <c r="H44" s="20"/>
      <c r="J44" s="1" t="s">
        <v>25</v>
      </c>
      <c r="K44" s="19">
        <v>0.40799999999999997</v>
      </c>
      <c r="L44" s="19">
        <v>0.37</v>
      </c>
      <c r="M44" s="19">
        <v>0.82899999999999996</v>
      </c>
      <c r="N44" s="19">
        <v>0.75900000000000001</v>
      </c>
      <c r="O44" s="19">
        <v>1.373</v>
      </c>
      <c r="P44" s="19">
        <v>1.7190000000000001</v>
      </c>
    </row>
    <row r="45" spans="2:16" x14ac:dyDescent="0.3">
      <c r="F45" s="4"/>
      <c r="J45" s="1" t="s">
        <v>26</v>
      </c>
      <c r="K45" s="30">
        <v>1.1439999999999999</v>
      </c>
      <c r="L45" s="19">
        <v>0.65600000000000003</v>
      </c>
      <c r="M45" s="19">
        <v>0</v>
      </c>
      <c r="N45" s="19">
        <v>0</v>
      </c>
      <c r="O45" s="19">
        <v>0</v>
      </c>
      <c r="P45" s="19">
        <v>0</v>
      </c>
    </row>
    <row r="46" spans="2:16" x14ac:dyDescent="0.3">
      <c r="B46" s="7" t="s">
        <v>70</v>
      </c>
      <c r="C46" s="43" t="s">
        <v>1</v>
      </c>
      <c r="D46" s="43" t="s">
        <v>2</v>
      </c>
      <c r="E46" s="43" t="s">
        <v>3</v>
      </c>
      <c r="F46" s="43" t="s">
        <v>102</v>
      </c>
      <c r="G46" s="43" t="s">
        <v>112</v>
      </c>
      <c r="H46" s="43" t="s">
        <v>129</v>
      </c>
      <c r="J46" s="5" t="s">
        <v>27</v>
      </c>
      <c r="K46" s="18">
        <f>SUM(K41:K45)</f>
        <v>109.495</v>
      </c>
      <c r="L46" s="18">
        <f>SUM(L41:L45)</f>
        <v>99.51400000000001</v>
      </c>
      <c r="M46" s="18">
        <f>SUM(M41:M45)</f>
        <v>34.725000000000001</v>
      </c>
      <c r="N46" s="18">
        <f>SUM(N41:N45)</f>
        <v>30.861000000000001</v>
      </c>
      <c r="O46" s="18">
        <f t="shared" ref="O46:P46" si="13">SUM(O41:O45)</f>
        <v>45.107999999999997</v>
      </c>
      <c r="P46" s="18">
        <f t="shared" si="13"/>
        <v>56.396999999999998</v>
      </c>
    </row>
    <row r="47" spans="2:16" x14ac:dyDescent="0.3">
      <c r="B47" s="3" t="s">
        <v>65</v>
      </c>
      <c r="C47" s="19">
        <v>2.0950000000000002</v>
      </c>
      <c r="D47" s="19">
        <f>C52</f>
        <v>1.9249999999999985</v>
      </c>
      <c r="E47" s="19">
        <f t="shared" ref="E47:F47" si="14">D52</f>
        <v>10.237999999999994</v>
      </c>
      <c r="F47" s="19">
        <f t="shared" si="14"/>
        <v>4.4359999999999946</v>
      </c>
      <c r="G47" s="19">
        <f>F52</f>
        <v>4.089999999999991</v>
      </c>
      <c r="H47" s="19">
        <f>G52</f>
        <v>21.98899999999999</v>
      </c>
      <c r="J47" s="3" t="s">
        <v>28</v>
      </c>
      <c r="K47" s="19"/>
      <c r="L47" s="19"/>
      <c r="M47" s="19"/>
      <c r="N47" s="19"/>
      <c r="O47" s="19"/>
      <c r="P47" s="19"/>
    </row>
    <row r="48" spans="2:16" x14ac:dyDescent="0.3">
      <c r="B48" s="32" t="s">
        <v>61</v>
      </c>
      <c r="C48" s="19">
        <v>-30.66</v>
      </c>
      <c r="D48" s="19">
        <v>-12.135</v>
      </c>
      <c r="E48" s="19">
        <v>-10.346</v>
      </c>
      <c r="F48" s="19">
        <v>51.841000000000001</v>
      </c>
      <c r="G48" s="19">
        <v>-433.53800000000001</v>
      </c>
      <c r="H48" s="19">
        <v>-126.294</v>
      </c>
      <c r="J48" s="1" t="s">
        <v>23</v>
      </c>
      <c r="K48" s="19"/>
      <c r="L48" s="19"/>
      <c r="M48" s="19"/>
      <c r="N48" s="19"/>
      <c r="O48" s="19"/>
      <c r="P48" s="19"/>
    </row>
    <row r="49" spans="2:18" x14ac:dyDescent="0.3">
      <c r="B49" s="32" t="s">
        <v>62</v>
      </c>
      <c r="C49" s="19">
        <v>-54.923999999999999</v>
      </c>
      <c r="D49" s="19">
        <v>-13.413</v>
      </c>
      <c r="E49" s="19">
        <v>-15.227</v>
      </c>
      <c r="F49" s="19">
        <v>-219.982</v>
      </c>
      <c r="G49" s="19">
        <v>-9.3610000000000007</v>
      </c>
      <c r="H49" s="19">
        <v>185.917</v>
      </c>
      <c r="J49" s="1" t="s">
        <v>24</v>
      </c>
      <c r="K49" s="19">
        <v>75.298299999999998</v>
      </c>
      <c r="L49" s="19">
        <v>112.16500000000001</v>
      </c>
      <c r="M49" s="19">
        <f>M11</f>
        <v>204.67099999999999</v>
      </c>
      <c r="N49" s="19">
        <v>222.797</v>
      </c>
      <c r="O49" s="19">
        <v>520.94200000000001</v>
      </c>
      <c r="P49" s="19">
        <v>631.91999999999996</v>
      </c>
    </row>
    <row r="50" spans="2:18" x14ac:dyDescent="0.3">
      <c r="B50" s="32" t="s">
        <v>63</v>
      </c>
      <c r="C50" s="19">
        <v>85.414000000000001</v>
      </c>
      <c r="D50" s="19">
        <v>33.860999999999997</v>
      </c>
      <c r="E50" s="19">
        <v>19.771000000000001</v>
      </c>
      <c r="F50" s="19">
        <v>167.79499999999999</v>
      </c>
      <c r="G50" s="19">
        <v>460.798</v>
      </c>
      <c r="H50" s="19">
        <v>84.912999999999997</v>
      </c>
      <c r="J50" s="1" t="s">
        <v>126</v>
      </c>
      <c r="K50" s="19">
        <v>0</v>
      </c>
      <c r="L50" s="19">
        <v>3.2290000000000001</v>
      </c>
      <c r="M50" s="19">
        <v>3.5670000000000002</v>
      </c>
      <c r="N50" s="19">
        <v>0</v>
      </c>
      <c r="O50" s="19">
        <v>4.415</v>
      </c>
      <c r="P50" s="19">
        <v>5.2460000000000004</v>
      </c>
    </row>
    <row r="51" spans="2:18" x14ac:dyDescent="0.3">
      <c r="B51" s="17" t="s">
        <v>103</v>
      </c>
      <c r="C51" s="33">
        <f>SUM(C48:C50)</f>
        <v>-0.17000000000000171</v>
      </c>
      <c r="D51" s="33">
        <f t="shared" ref="D51:F51" si="15">SUM(D48:D50)</f>
        <v>8.3129999999999953</v>
      </c>
      <c r="E51" s="33">
        <f t="shared" si="15"/>
        <v>-5.8019999999999996</v>
      </c>
      <c r="F51" s="33">
        <f t="shared" si="15"/>
        <v>-0.34600000000000364</v>
      </c>
      <c r="G51" s="33">
        <f t="shared" ref="G51" si="16">SUM(G48:G50)</f>
        <v>17.899000000000001</v>
      </c>
      <c r="H51" s="33">
        <f>SUM(H48:H50)</f>
        <v>144.536</v>
      </c>
      <c r="J51" s="1" t="s">
        <v>122</v>
      </c>
      <c r="K51" s="19"/>
      <c r="L51" s="19"/>
      <c r="M51" s="19"/>
      <c r="N51" s="19"/>
      <c r="O51" s="19"/>
      <c r="P51" s="19"/>
    </row>
    <row r="52" spans="2:18" x14ac:dyDescent="0.3">
      <c r="B52" s="35" t="s">
        <v>64</v>
      </c>
      <c r="C52" s="18">
        <f>C47+C51</f>
        <v>1.9249999999999985</v>
      </c>
      <c r="D52" s="18">
        <f t="shared" ref="D52:E52" si="17">D47+D51</f>
        <v>10.237999999999994</v>
      </c>
      <c r="E52" s="18">
        <f t="shared" si="17"/>
        <v>4.4359999999999946</v>
      </c>
      <c r="F52" s="18">
        <f>F47+F51</f>
        <v>4.089999999999991</v>
      </c>
      <c r="G52" s="18">
        <f>G47+G51</f>
        <v>21.98899999999999</v>
      </c>
      <c r="H52" s="18">
        <f>H47+H51</f>
        <v>166.52499999999998</v>
      </c>
      <c r="J52" s="1" t="s">
        <v>29</v>
      </c>
      <c r="K52" s="19">
        <v>0</v>
      </c>
      <c r="L52" s="30">
        <v>4.4999999999999998E-2</v>
      </c>
      <c r="M52" s="19">
        <v>4</v>
      </c>
      <c r="N52" s="19">
        <v>1.8380000000000001</v>
      </c>
      <c r="O52" s="19">
        <v>12.804</v>
      </c>
      <c r="P52" s="19">
        <v>75.378</v>
      </c>
    </row>
    <row r="53" spans="2:18" ht="28.8" x14ac:dyDescent="0.3">
      <c r="J53" s="2" t="s">
        <v>30</v>
      </c>
      <c r="K53" s="19">
        <v>21.184000000000001</v>
      </c>
      <c r="L53" s="19">
        <v>24.99</v>
      </c>
      <c r="M53" s="19">
        <v>121</v>
      </c>
      <c r="N53" s="19">
        <v>199.70699999999999</v>
      </c>
      <c r="O53" s="19">
        <v>464.19</v>
      </c>
      <c r="P53" s="19">
        <v>247.749</v>
      </c>
    </row>
    <row r="54" spans="2:18" x14ac:dyDescent="0.3">
      <c r="B54" s="7" t="s">
        <v>69</v>
      </c>
      <c r="C54" s="43" t="s">
        <v>1</v>
      </c>
      <c r="D54" s="44" t="s">
        <v>2</v>
      </c>
      <c r="E54" s="43" t="s">
        <v>3</v>
      </c>
      <c r="F54" s="43" t="s">
        <v>102</v>
      </c>
      <c r="G54" s="43" t="s">
        <v>112</v>
      </c>
      <c r="H54" s="43" t="s">
        <v>129</v>
      </c>
      <c r="J54" s="1" t="s">
        <v>127</v>
      </c>
      <c r="K54" s="19">
        <v>4.0209999999999999</v>
      </c>
      <c r="L54" s="19">
        <v>4.4379999999999997</v>
      </c>
      <c r="M54" s="19">
        <v>21.827000000000002</v>
      </c>
      <c r="N54" s="19">
        <v>20.634</v>
      </c>
      <c r="O54" s="19">
        <v>11.439</v>
      </c>
      <c r="P54" s="19">
        <v>10.986000000000001</v>
      </c>
    </row>
    <row r="55" spans="2:18" x14ac:dyDescent="0.3">
      <c r="B55" s="1" t="s">
        <v>66</v>
      </c>
      <c r="C55" s="19">
        <f>C48</f>
        <v>-30.66</v>
      </c>
      <c r="D55" s="19">
        <f>D48</f>
        <v>-12.135</v>
      </c>
      <c r="E55" s="19">
        <f t="shared" ref="E55" si="18">E48</f>
        <v>-10.346</v>
      </c>
      <c r="F55" s="19">
        <f>F48</f>
        <v>51.841000000000001</v>
      </c>
      <c r="G55" s="19">
        <f>G48</f>
        <v>-433.53800000000001</v>
      </c>
      <c r="H55" s="19">
        <f>H48</f>
        <v>-126.294</v>
      </c>
      <c r="J55" s="1" t="s">
        <v>31</v>
      </c>
      <c r="K55" s="19">
        <v>0.51</v>
      </c>
      <c r="L55" s="19">
        <v>1.339</v>
      </c>
      <c r="M55" s="29">
        <v>36.554000000000002</v>
      </c>
      <c r="N55" s="19">
        <v>50.213000000000001</v>
      </c>
      <c r="O55" s="19">
        <v>6.9409999999999998</v>
      </c>
      <c r="P55" s="19">
        <v>3.2090000000000001</v>
      </c>
    </row>
    <row r="56" spans="2:18" x14ac:dyDescent="0.3">
      <c r="B56" s="1" t="s">
        <v>67</v>
      </c>
      <c r="C56" s="19">
        <v>-46.85</v>
      </c>
      <c r="D56" s="19">
        <v>-7.7990000000000004</v>
      </c>
      <c r="E56" s="19">
        <v>-5.9039999999999999</v>
      </c>
      <c r="F56" s="29">
        <v>-27.279</v>
      </c>
      <c r="G56" s="29">
        <v>-21.495999999999999</v>
      </c>
      <c r="H56" s="29">
        <v>-35.665999999999997</v>
      </c>
      <c r="J56" s="1" t="s">
        <v>32</v>
      </c>
      <c r="K56" s="19">
        <v>0.01</v>
      </c>
      <c r="L56" s="19">
        <v>0.01</v>
      </c>
      <c r="M56" s="19">
        <v>4.2000000000000003E-2</v>
      </c>
      <c r="N56" s="19">
        <v>0.14099999999999999</v>
      </c>
      <c r="O56" s="19">
        <v>0.23799999999999999</v>
      </c>
      <c r="P56" s="19">
        <v>0.34599999999999997</v>
      </c>
    </row>
    <row r="57" spans="2:18" x14ac:dyDescent="0.3">
      <c r="B57" s="5" t="s">
        <v>68</v>
      </c>
      <c r="C57" s="18">
        <f>C55+C56</f>
        <v>-77.510000000000005</v>
      </c>
      <c r="D57" s="18">
        <f>D55+D56</f>
        <v>-19.934000000000001</v>
      </c>
      <c r="E57" s="18">
        <f>E55+E56</f>
        <v>-16.25</v>
      </c>
      <c r="F57" s="18">
        <f>F55+F56</f>
        <v>24.562000000000001</v>
      </c>
      <c r="G57" s="18">
        <f>G55+G56</f>
        <v>-455.03399999999999</v>
      </c>
      <c r="H57" s="18">
        <f>H55+H56</f>
        <v>-161.95999999999998</v>
      </c>
      <c r="J57" s="1" t="s">
        <v>107</v>
      </c>
      <c r="K57" s="30">
        <v>0</v>
      </c>
      <c r="L57" s="19">
        <v>0</v>
      </c>
      <c r="M57" s="30">
        <v>3.4079999999999999</v>
      </c>
      <c r="N57" s="30">
        <v>36.472999999999999</v>
      </c>
      <c r="O57" s="30">
        <v>11.244999999999999</v>
      </c>
      <c r="P57" s="30">
        <v>23.236999999999998</v>
      </c>
    </row>
    <row r="58" spans="2:18" x14ac:dyDescent="0.3">
      <c r="J58" s="5" t="s">
        <v>33</v>
      </c>
      <c r="K58" s="18">
        <f>SUM(K49:K57)</f>
        <v>101.02330000000001</v>
      </c>
      <c r="L58" s="18">
        <f>SUM(L49:L57)</f>
        <v>146.21599999999998</v>
      </c>
      <c r="M58" s="18">
        <f>SUM(M49:M57)</f>
        <v>395.06900000000002</v>
      </c>
      <c r="N58" s="18">
        <f>SUM(N49:N57)</f>
        <v>531.803</v>
      </c>
      <c r="O58" s="18">
        <f t="shared" ref="O58:P58" si="19">SUM(O49:O57)</f>
        <v>1032.2139999999999</v>
      </c>
      <c r="P58" s="18">
        <f t="shared" si="19"/>
        <v>998.07099999999991</v>
      </c>
    </row>
    <row r="59" spans="2:18" x14ac:dyDescent="0.3">
      <c r="B59" s="7" t="s">
        <v>88</v>
      </c>
      <c r="C59" s="43" t="s">
        <v>1</v>
      </c>
      <c r="D59" s="43" t="s">
        <v>2</v>
      </c>
      <c r="E59" s="43" t="s">
        <v>3</v>
      </c>
      <c r="F59" s="43" t="s">
        <v>102</v>
      </c>
      <c r="G59" s="43" t="s">
        <v>112</v>
      </c>
      <c r="H59" s="43" t="s">
        <v>129</v>
      </c>
      <c r="Q59" s="4"/>
    </row>
    <row r="60" spans="2:18" x14ac:dyDescent="0.3">
      <c r="B60" s="1" t="s">
        <v>91</v>
      </c>
      <c r="C60" s="19">
        <v>0</v>
      </c>
      <c r="D60" s="19">
        <v>0</v>
      </c>
      <c r="E60" s="19">
        <v>0</v>
      </c>
      <c r="F60" s="19">
        <v>0</v>
      </c>
      <c r="G60" s="19">
        <v>12.6</v>
      </c>
      <c r="H60" s="19">
        <f>12618394/1000000</f>
        <v>12.618394</v>
      </c>
      <c r="R60" s="4"/>
    </row>
    <row r="61" spans="2:18" x14ac:dyDescent="0.3">
      <c r="B61" s="1" t="s">
        <v>90</v>
      </c>
      <c r="C61" s="19">
        <v>10</v>
      </c>
      <c r="D61" s="19">
        <v>10</v>
      </c>
      <c r="E61" s="19">
        <v>10</v>
      </c>
      <c r="F61" s="19">
        <v>10</v>
      </c>
      <c r="G61" s="19">
        <v>10</v>
      </c>
      <c r="H61" s="19">
        <v>10</v>
      </c>
      <c r="J61" s="5" t="s">
        <v>34</v>
      </c>
      <c r="K61" s="31">
        <f>K37-K58</f>
        <v>22.989699999999999</v>
      </c>
      <c r="L61" s="31">
        <f>L37-L58</f>
        <v>13.474000000000018</v>
      </c>
      <c r="M61" s="31">
        <f>M37-M58</f>
        <v>44.940999999999974</v>
      </c>
      <c r="N61" s="31">
        <f>N37-N58</f>
        <v>357.2299999999999</v>
      </c>
      <c r="O61" s="31">
        <f t="shared" ref="O61:P61" si="20">O37-O58</f>
        <v>602.202</v>
      </c>
      <c r="P61" s="31">
        <f t="shared" si="20"/>
        <v>657.65900000000011</v>
      </c>
    </row>
    <row r="62" spans="2:18" x14ac:dyDescent="0.3">
      <c r="B62" s="1" t="s">
        <v>89</v>
      </c>
      <c r="C62" s="19">
        <f>K68*C60</f>
        <v>0</v>
      </c>
      <c r="D62" s="19">
        <f>L68*D60</f>
        <v>0</v>
      </c>
      <c r="E62" s="19">
        <f>M68*E60</f>
        <v>0</v>
      </c>
      <c r="F62" s="19">
        <f>N68*F60</f>
        <v>0</v>
      </c>
      <c r="G62" s="19">
        <f t="shared" ref="G62:H62" si="21">O68*G60</f>
        <v>958.8599999999999</v>
      </c>
      <c r="H62" s="19">
        <f t="shared" si="21"/>
        <v>808.83905539999989</v>
      </c>
      <c r="J62" s="1"/>
      <c r="K62" s="27"/>
      <c r="L62" s="27"/>
      <c r="M62" s="27"/>
      <c r="N62" s="27"/>
      <c r="O62" s="27"/>
      <c r="P62" s="27"/>
    </row>
    <row r="63" spans="2:18" x14ac:dyDescent="0.3">
      <c r="B63" s="1" t="s">
        <v>71</v>
      </c>
      <c r="C63" s="19">
        <f>K12</f>
        <v>183.226</v>
      </c>
      <c r="D63" s="19">
        <f>L12</f>
        <v>206.08600000000001</v>
      </c>
      <c r="E63" s="19">
        <f>M12</f>
        <v>238.56700000000001</v>
      </c>
      <c r="F63" s="19">
        <f>N12</f>
        <v>252.899</v>
      </c>
      <c r="G63" s="19">
        <f t="shared" ref="G63:H63" si="22">O12</f>
        <v>553.30500000000006</v>
      </c>
      <c r="H63" s="19">
        <f t="shared" si="22"/>
        <v>678.20499999999993</v>
      </c>
      <c r="J63" s="5" t="s">
        <v>35</v>
      </c>
      <c r="K63" s="31">
        <f>K37+K26</f>
        <v>222.053</v>
      </c>
      <c r="L63" s="31">
        <f>L37+L26</f>
        <v>259.11400000000003</v>
      </c>
      <c r="M63" s="31">
        <f>M37+M26</f>
        <v>569.04</v>
      </c>
      <c r="N63" s="31">
        <f>N37+N26</f>
        <v>1012.1119999999999</v>
      </c>
      <c r="O63" s="31">
        <f t="shared" ref="O63:P63" si="23">O37+O26</f>
        <v>1840.6789999999999</v>
      </c>
      <c r="P63" s="31">
        <f t="shared" si="23"/>
        <v>1890.9780000000001</v>
      </c>
    </row>
    <row r="64" spans="2:18" x14ac:dyDescent="0.3">
      <c r="B64" s="8" t="s">
        <v>72</v>
      </c>
      <c r="C64" s="19">
        <f>K32+K33</f>
        <v>10.542000000000002</v>
      </c>
      <c r="D64" s="19">
        <f>L32+L33</f>
        <v>24.523</v>
      </c>
      <c r="E64" s="19">
        <f>M32+M33</f>
        <v>23.187999999999999</v>
      </c>
      <c r="F64" s="19">
        <f>N32+N33</f>
        <v>217.511</v>
      </c>
      <c r="G64" s="19">
        <f t="shared" ref="G64:H64" si="24">O32+O33</f>
        <v>254.89099999999999</v>
      </c>
      <c r="H64" s="19">
        <f t="shared" si="24"/>
        <v>189.22499999999999</v>
      </c>
      <c r="J64" s="5" t="s">
        <v>36</v>
      </c>
      <c r="K64" s="31">
        <f>K46+K58-K51</f>
        <v>210.51830000000001</v>
      </c>
      <c r="L64" s="31">
        <f>L46+L58-L51</f>
        <v>245.73</v>
      </c>
      <c r="M64" s="31">
        <f>M46+M58-M51</f>
        <v>429.79400000000004</v>
      </c>
      <c r="N64" s="31">
        <f>N46+N58-N51</f>
        <v>562.66399999999999</v>
      </c>
      <c r="O64" s="31">
        <f t="shared" ref="O64:P64" si="25">O46+O58-O51</f>
        <v>1077.3219999999999</v>
      </c>
      <c r="P64" s="31">
        <f t="shared" si="25"/>
        <v>1054.4679999999998</v>
      </c>
    </row>
    <row r="65" spans="2:18" x14ac:dyDescent="0.3">
      <c r="B65" s="5" t="s">
        <v>73</v>
      </c>
      <c r="C65" s="39" t="s">
        <v>92</v>
      </c>
      <c r="D65" s="39" t="s">
        <v>92</v>
      </c>
      <c r="E65" s="39" t="s">
        <v>92</v>
      </c>
      <c r="F65" s="39" t="s">
        <v>92</v>
      </c>
      <c r="G65" s="18">
        <f>SUM(G62:G63)-G64</f>
        <v>1257.2739999999999</v>
      </c>
      <c r="H65" s="18">
        <f>SUM(H62:H63)-H64</f>
        <v>1297.8190553999998</v>
      </c>
      <c r="J65" s="5" t="s">
        <v>37</v>
      </c>
      <c r="K65" s="31">
        <f>K64+K7+K9</f>
        <v>222.44970000000001</v>
      </c>
      <c r="L65" s="31">
        <f>L64+L7+L9</f>
        <v>260.565</v>
      </c>
      <c r="M65" s="31">
        <f>M64+M7+M9</f>
        <v>569.03899999999999</v>
      </c>
      <c r="N65" s="31">
        <f>N58+N7+N46</f>
        <v>1012.112</v>
      </c>
      <c r="O65" s="31">
        <f t="shared" ref="O65:P65" si="26">O58+O7+O46</f>
        <v>1840.6789999999999</v>
      </c>
      <c r="P65" s="31">
        <f>P58+P7+P46</f>
        <v>1890.9859999999999</v>
      </c>
      <c r="R65" s="4"/>
    </row>
    <row r="66" spans="2:18" x14ac:dyDescent="0.3">
      <c r="K66" s="4"/>
      <c r="L66" s="4"/>
      <c r="M66" s="4"/>
      <c r="N66" s="4"/>
      <c r="O66" s="4"/>
    </row>
    <row r="67" spans="2:18" x14ac:dyDescent="0.3">
      <c r="J67" s="7" t="s">
        <v>96</v>
      </c>
      <c r="K67" s="43" t="s">
        <v>1</v>
      </c>
      <c r="L67" s="43" t="s">
        <v>2</v>
      </c>
      <c r="M67" s="43" t="s">
        <v>3</v>
      </c>
      <c r="N67" s="43" t="s">
        <v>102</v>
      </c>
      <c r="O67" s="43" t="s">
        <v>112</v>
      </c>
      <c r="P67" s="43" t="s">
        <v>129</v>
      </c>
    </row>
    <row r="68" spans="2:18" x14ac:dyDescent="0.3">
      <c r="J68" s="1" t="s">
        <v>133</v>
      </c>
      <c r="K68" s="36">
        <v>0</v>
      </c>
      <c r="L68" s="36">
        <v>0</v>
      </c>
      <c r="M68" s="36">
        <v>0</v>
      </c>
      <c r="N68" s="37">
        <v>0</v>
      </c>
      <c r="O68" s="37">
        <v>76.099999999999994</v>
      </c>
      <c r="P68" s="37">
        <v>64.099999999999994</v>
      </c>
      <c r="R68" s="47"/>
    </row>
    <row r="69" spans="2:18" x14ac:dyDescent="0.3">
      <c r="J69" s="38" t="s">
        <v>106</v>
      </c>
      <c r="K69" s="6">
        <f>C42</f>
        <v>0.69</v>
      </c>
      <c r="L69" s="6">
        <f>D42</f>
        <v>-5.95</v>
      </c>
      <c r="M69" s="6">
        <f>E42</f>
        <v>10.41</v>
      </c>
      <c r="N69" s="6">
        <f>F42</f>
        <v>13.76</v>
      </c>
      <c r="O69" s="6">
        <f>G42</f>
        <v>9.16</v>
      </c>
      <c r="P69" s="6">
        <f>G42+H42-3.45</f>
        <v>11.5</v>
      </c>
      <c r="R69" s="47"/>
    </row>
    <row r="70" spans="2:18" x14ac:dyDescent="0.3">
      <c r="J70" s="38" t="s">
        <v>93</v>
      </c>
      <c r="K70" s="6" t="e">
        <f>K8/C60</f>
        <v>#DIV/0!</v>
      </c>
      <c r="L70" s="6" t="e">
        <f>L8/D60</f>
        <v>#DIV/0!</v>
      </c>
      <c r="M70" s="6" t="e">
        <f>M8/E60</f>
        <v>#DIV/0!</v>
      </c>
      <c r="N70" s="6" t="e">
        <f>N8/F60</f>
        <v>#DIV/0!</v>
      </c>
      <c r="O70" s="6">
        <f>O8/G60</f>
        <v>60.52650793650794</v>
      </c>
      <c r="P70" s="6">
        <f>P8/H60</f>
        <v>66.232992883246467</v>
      </c>
      <c r="R70" s="47"/>
    </row>
    <row r="71" spans="2:18" x14ac:dyDescent="0.3">
      <c r="J71" s="1" t="s">
        <v>94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R71" s="47"/>
    </row>
    <row r="72" spans="2:18" x14ac:dyDescent="0.3">
      <c r="J72" s="1" t="s">
        <v>74</v>
      </c>
      <c r="K72" s="36">
        <f t="shared" ref="K72:M72" si="27">K68/K69</f>
        <v>0</v>
      </c>
      <c r="L72" s="36">
        <f t="shared" si="27"/>
        <v>0</v>
      </c>
      <c r="M72" s="36">
        <f t="shared" si="27"/>
        <v>0</v>
      </c>
      <c r="N72" s="36">
        <f>N68/N69</f>
        <v>0</v>
      </c>
      <c r="O72" s="36">
        <f>O68/O69</f>
        <v>8.3078602620087327</v>
      </c>
      <c r="P72" s="36">
        <f>P68/P69</f>
        <v>5.5739130434782602</v>
      </c>
      <c r="R72" s="47"/>
    </row>
    <row r="73" spans="2:18" x14ac:dyDescent="0.3">
      <c r="J73" s="1" t="s">
        <v>75</v>
      </c>
      <c r="K73" s="36" t="e">
        <f t="shared" ref="K73:M73" si="28">K68/K70</f>
        <v>#DIV/0!</v>
      </c>
      <c r="L73" s="36" t="e">
        <f t="shared" si="28"/>
        <v>#DIV/0!</v>
      </c>
      <c r="M73" s="36" t="e">
        <f t="shared" si="28"/>
        <v>#DIV/0!</v>
      </c>
      <c r="N73" s="36" t="e">
        <f>N68/N70</f>
        <v>#DIV/0!</v>
      </c>
      <c r="O73" s="36">
        <f>O68/O70</f>
        <v>1.257300356396384</v>
      </c>
      <c r="P73" s="36">
        <f>P68/P70</f>
        <v>0.96779561378108869</v>
      </c>
      <c r="R73" s="47"/>
    </row>
    <row r="74" spans="2:18" x14ac:dyDescent="0.3">
      <c r="J74" s="1" t="s">
        <v>76</v>
      </c>
      <c r="K74" s="36">
        <v>0</v>
      </c>
      <c r="L74" s="36">
        <v>0</v>
      </c>
      <c r="M74" s="36">
        <v>0</v>
      </c>
      <c r="N74" s="36">
        <v>0</v>
      </c>
      <c r="O74" s="36">
        <f>G65/G15</f>
        <v>6.8362060528290396</v>
      </c>
      <c r="P74" s="28" t="s">
        <v>130</v>
      </c>
      <c r="R74" s="47"/>
    </row>
    <row r="75" spans="2:18" x14ac:dyDescent="0.3">
      <c r="J75" s="1" t="s">
        <v>95</v>
      </c>
      <c r="K75" s="36">
        <f>C5/AVERAGE(K65:K65)</f>
        <v>1.5945627258656674</v>
      </c>
      <c r="L75" s="36">
        <f>D5/AVERAGE(K65:L65)</f>
        <v>1.5142023627852319</v>
      </c>
      <c r="M75" s="36">
        <f>E5/AVERAGE(L65:M65)</f>
        <v>1.8030289150004097</v>
      </c>
      <c r="N75" s="36">
        <f>F5/AVERAGE(M65:N65)</f>
        <v>1.3751779558056128</v>
      </c>
      <c r="O75" s="36">
        <f>G5/AVERAGE(M65:O65)</f>
        <v>1.287103392044608</v>
      </c>
      <c r="P75" s="28" t="s">
        <v>130</v>
      </c>
      <c r="R75" s="47"/>
    </row>
    <row r="76" spans="2:18" x14ac:dyDescent="0.3">
      <c r="J76" s="38" t="s">
        <v>77</v>
      </c>
      <c r="K76" s="40">
        <f>C31/K8</f>
        <v>0.20587760374616587</v>
      </c>
      <c r="L76" s="40">
        <f>D31/L8</f>
        <v>-2.5830051118746344</v>
      </c>
      <c r="M76" s="40">
        <f>E31/M8</f>
        <v>0.8069661388200654</v>
      </c>
      <c r="N76" s="40">
        <f>F31/N8</f>
        <v>0.27816343603709459</v>
      </c>
      <c r="O76" s="40">
        <f>G31/O8</f>
        <v>0.15135831866924368</v>
      </c>
      <c r="P76" s="51" t="s">
        <v>130</v>
      </c>
      <c r="R76" s="47"/>
    </row>
    <row r="77" spans="2:18" x14ac:dyDescent="0.3">
      <c r="J77" s="38" t="s">
        <v>78</v>
      </c>
      <c r="K77" s="40">
        <f>(C22+C21)/K14</f>
        <v>0.13501120342646394</v>
      </c>
      <c r="L77" s="40">
        <f>(D22+D21)/L14</f>
        <v>-9.6804194937022914E-2</v>
      </c>
      <c r="M77" s="40">
        <f>(E22+E21)/M14</f>
        <v>1.0037132838995231</v>
      </c>
      <c r="N77" s="40">
        <f>(F22+F21)/N14</f>
        <v>0.40515584758978096</v>
      </c>
      <c r="O77" s="40">
        <f>(G22+G21)/O14</f>
        <v>0.22477658278342291</v>
      </c>
      <c r="P77" s="51" t="s">
        <v>130</v>
      </c>
      <c r="R77" s="47"/>
    </row>
    <row r="78" spans="2:18" x14ac:dyDescent="0.3">
      <c r="J78" s="1" t="s">
        <v>79</v>
      </c>
      <c r="K78" s="36">
        <f>K12/K8</f>
        <v>16.436657875379012</v>
      </c>
      <c r="L78" s="36">
        <f>L12/L8</f>
        <v>17.270258945780611</v>
      </c>
      <c r="M78" s="36">
        <f>M12/M8</f>
        <v>1.7132895256562175</v>
      </c>
      <c r="N78" s="36">
        <f>N12/N8</f>
        <v>0.56268800840141686</v>
      </c>
      <c r="O78" s="36">
        <f>O12/O8</f>
        <v>0.72551840070072937</v>
      </c>
      <c r="P78" s="36">
        <f>P12/P8</f>
        <v>0.81148878737044627</v>
      </c>
      <c r="R78" s="47"/>
    </row>
    <row r="79" spans="2:18" x14ac:dyDescent="0.3">
      <c r="J79" s="38" t="s">
        <v>80</v>
      </c>
      <c r="K79" s="6">
        <f>(K12 -C64)/K8</f>
        <v>15.490966503399894</v>
      </c>
      <c r="L79" s="6">
        <f>(L12 -D64)/L8</f>
        <v>15.215201541942514</v>
      </c>
      <c r="M79" s="6">
        <f>(M12 -E64)/M8</f>
        <v>1.5467628999245935</v>
      </c>
      <c r="N79" s="6">
        <f>(N12 -F64)/N8</f>
        <v>7.8736583542478783E-2</v>
      </c>
      <c r="O79" s="6">
        <f>(O12 -G64)/O8</f>
        <v>0.39129385786628984</v>
      </c>
      <c r="P79" s="6">
        <f>(P12 -H64)/P8</f>
        <v>0.58507646987032058</v>
      </c>
      <c r="R79" s="47"/>
    </row>
    <row r="80" spans="2:18" x14ac:dyDescent="0.3">
      <c r="J80" s="1" t="s">
        <v>81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R80" s="47"/>
    </row>
    <row r="81" spans="10:18" x14ac:dyDescent="0.3">
      <c r="J81" s="1" t="s">
        <v>87</v>
      </c>
      <c r="K81" s="36">
        <f>(C22+C21)/C21</f>
        <v>1.4496983676366224</v>
      </c>
      <c r="L81" s="36">
        <f>(D22+D21)/D21</f>
        <v>-0.56527361125478504</v>
      </c>
      <c r="M81" s="36">
        <f>(E22+E21)/E21</f>
        <v>7.856030953345031</v>
      </c>
      <c r="N81" s="36">
        <f>(F22+F21)/F21</f>
        <v>7.2156920909192062</v>
      </c>
      <c r="O81" s="36">
        <f>(G22+G21)/G21</f>
        <v>5.689186650804583</v>
      </c>
      <c r="P81" s="36">
        <f>(H22+H21)/H21</f>
        <v>3.5247191606612982</v>
      </c>
      <c r="R81" s="47"/>
    </row>
    <row r="82" spans="10:18" x14ac:dyDescent="0.3">
      <c r="J82" s="1" t="s">
        <v>82</v>
      </c>
      <c r="K82" s="36">
        <f>AVERAGE(K31:K31)/C5*365</f>
        <v>82.140692396605687</v>
      </c>
      <c r="L82" s="36">
        <f>AVERAGE(K31:L31)/D5*365</f>
        <v>89.804486574731143</v>
      </c>
      <c r="M82" s="36">
        <f>AVERAGE(L31:M31)/E5*365</f>
        <v>113.57044056692072</v>
      </c>
      <c r="N82" s="36">
        <f>AVERAGE(M31:N31)/F5*365</f>
        <v>163.29068408049434</v>
      </c>
      <c r="O82" s="36">
        <f>AVERAGE(M31:O31)/G5*365</f>
        <v>188.1370002013964</v>
      </c>
      <c r="P82" s="28" t="s">
        <v>130</v>
      </c>
      <c r="R82" s="47"/>
    </row>
    <row r="83" spans="10:18" x14ac:dyDescent="0.3">
      <c r="J83" s="1" t="s">
        <v>83</v>
      </c>
      <c r="K83" s="36">
        <f>(AVERAGE(SUM(K52:K53))/SUM(C8:C14))*365</f>
        <v>23.391164663494269</v>
      </c>
      <c r="L83" s="36">
        <f>(AVERAGE(SUM(L52:L53),SUM(K52:K53))/SUM(D8:D14))*365</f>
        <v>23.211439555087136</v>
      </c>
      <c r="M83" s="36">
        <f>(AVERAGE(SUM(M52:M53),SUM(L52:L53))/SUM(E8:E14))*365</f>
        <v>49.215499220824036</v>
      </c>
      <c r="N83" s="36">
        <f>(AVERAGE(SUM(N52:N53),SUM(M52:M53))/SUM(F8:F14))*365</f>
        <v>67.857466153513315</v>
      </c>
      <c r="O83" s="36">
        <f>(AVERAGE(SUM(O52:O53),SUM(M52:M53))/SUM(G8:G14))*365</f>
        <v>85.552528522336218</v>
      </c>
      <c r="P83" s="28" t="s">
        <v>130</v>
      </c>
      <c r="R83" s="47"/>
    </row>
    <row r="84" spans="10:18" x14ac:dyDescent="0.3">
      <c r="J84" s="1" t="s">
        <v>84</v>
      </c>
      <c r="K84" s="36">
        <f>AVERAGE(J28:K28)/(SUM(C8:C14))*365</f>
        <v>10.096714958600433</v>
      </c>
      <c r="L84" s="36">
        <f>AVERAGE(K28:L28)/(SUM(D8:D14))*365</f>
        <v>10.027538752383757</v>
      </c>
      <c r="M84" s="36">
        <f>AVERAGE(L28:M28)/(SUM(E8:E14))*365</f>
        <v>3.5502339325289345</v>
      </c>
      <c r="N84" s="36">
        <f>AVERAGE(M28:N28)/(SUM(F8:F14))*365</f>
        <v>0</v>
      </c>
      <c r="O84" s="36">
        <f>AVERAGE(M28:O28)/(SUM(G8:G14))*365</f>
        <v>0</v>
      </c>
      <c r="P84" s="28" t="s">
        <v>130</v>
      </c>
      <c r="R84" s="47"/>
    </row>
    <row r="85" spans="10:18" x14ac:dyDescent="0.3">
      <c r="J85" s="38" t="s">
        <v>85</v>
      </c>
      <c r="K85" s="6">
        <f>K84+K82-K83</f>
        <v>68.846242691711851</v>
      </c>
      <c r="L85" s="6">
        <f>L84+L82-L83</f>
        <v>76.620585772027766</v>
      </c>
      <c r="M85" s="6">
        <f>M84+M82-M83</f>
        <v>67.90517527862562</v>
      </c>
      <c r="N85" s="6">
        <f>N84+N82-N83</f>
        <v>95.43321792698103</v>
      </c>
      <c r="O85" s="6">
        <f>O84+O82-O83</f>
        <v>102.58447167906019</v>
      </c>
      <c r="P85" s="51" t="s">
        <v>130</v>
      </c>
      <c r="R85" s="47"/>
    </row>
    <row r="86" spans="10:18" x14ac:dyDescent="0.3">
      <c r="J86" s="38" t="s">
        <v>86</v>
      </c>
      <c r="K86" s="6">
        <f>(K37-K58)*365/C5</f>
        <v>23.656622311183785</v>
      </c>
      <c r="L86" s="6">
        <f>(L37-L58)*365/D5</f>
        <v>13.448539887500669</v>
      </c>
      <c r="M86" s="6">
        <f>(M37-M58)*365/E5</f>
        <v>21.932698221687378</v>
      </c>
      <c r="N86" s="6">
        <f>(N37-N58)*365/F5</f>
        <v>119.93295510779241</v>
      </c>
      <c r="O86" s="6">
        <f>(O37-O58)*365/G5</f>
        <v>149.72159612229009</v>
      </c>
      <c r="P86" s="51" t="s">
        <v>130</v>
      </c>
      <c r="R86" s="47"/>
    </row>
    <row r="87" spans="10:18" x14ac:dyDescent="0.3">
      <c r="N87" s="11"/>
      <c r="O87" s="11"/>
      <c r="P87" s="10"/>
    </row>
    <row r="88" spans="10:18" x14ac:dyDescent="0.3">
      <c r="N88" s="9"/>
      <c r="O88" s="9"/>
      <c r="P88" s="10"/>
    </row>
    <row r="89" spans="10:18" x14ac:dyDescent="0.3">
      <c r="N89" s="9"/>
      <c r="O89" s="9"/>
      <c r="P89" s="10"/>
    </row>
    <row r="90" spans="10:18" x14ac:dyDescent="0.3">
      <c r="N90" s="12"/>
      <c r="O90" s="12"/>
      <c r="P90" s="10"/>
    </row>
    <row r="91" spans="10:18" x14ac:dyDescent="0.3">
      <c r="N91" s="12"/>
      <c r="O91" s="12"/>
      <c r="P91" s="10"/>
    </row>
    <row r="92" spans="10:18" x14ac:dyDescent="0.3">
      <c r="N92" s="9"/>
      <c r="O92" s="9"/>
      <c r="P92" s="10"/>
    </row>
    <row r="93" spans="10:18" x14ac:dyDescent="0.3">
      <c r="N93" s="9"/>
      <c r="O93" s="9"/>
      <c r="P93" s="10"/>
    </row>
    <row r="94" spans="10:18" x14ac:dyDescent="0.3">
      <c r="N94" s="9"/>
      <c r="O94" s="9"/>
      <c r="P94" s="10"/>
    </row>
    <row r="95" spans="10:18" x14ac:dyDescent="0.3">
      <c r="N95" s="9"/>
      <c r="O95" s="9"/>
      <c r="P95" s="10"/>
    </row>
    <row r="96" spans="10:18" x14ac:dyDescent="0.3">
      <c r="L96" s="15"/>
      <c r="N96" s="9"/>
      <c r="O96" s="9"/>
    </row>
    <row r="97" spans="14:16" x14ac:dyDescent="0.3">
      <c r="N97" s="13"/>
      <c r="O97" s="13"/>
      <c r="P97" s="9"/>
    </row>
    <row r="98" spans="14:16" x14ac:dyDescent="0.3">
      <c r="N98" s="9"/>
      <c r="O98" s="9"/>
    </row>
  </sheetData>
  <mergeCells count="3">
    <mergeCell ref="B3:H3"/>
    <mergeCell ref="B2:P2"/>
    <mergeCell ref="J3:P3"/>
  </mergeCells>
  <pageMargins left="0.7" right="0.7" top="0.75" bottom="0.75" header="0.3" footer="0.3"/>
  <pageSetup scale="48" fitToWidth="0" orientation="portrait" r:id="rId1"/>
  <ignoredErrors>
    <ignoredError sqref="C51 L82:N84 K83 K12:N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nisaraayush1107@outlook.com</cp:lastModifiedBy>
  <cp:lastPrinted>2025-06-04T05:09:53Z</cp:lastPrinted>
  <dcterms:created xsi:type="dcterms:W3CDTF">2023-11-23T05:15:14Z</dcterms:created>
  <dcterms:modified xsi:type="dcterms:W3CDTF">2025-11-22T11:46:45Z</dcterms:modified>
</cp:coreProperties>
</file>