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2E276A7F-EFAB-469C-B1A5-4BE1F0646A54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" l="1"/>
  <c r="G67" i="1"/>
  <c r="N59" i="1" l="1"/>
  <c r="N32" i="1"/>
  <c r="M66" i="1" l="1"/>
  <c r="G71" i="1"/>
  <c r="G69" i="1"/>
  <c r="G63" i="1"/>
  <c r="N8" i="1"/>
  <c r="N12" i="1"/>
  <c r="G70" i="1" s="1"/>
  <c r="G13" i="1"/>
  <c r="M54" i="1"/>
  <c r="M7" i="1"/>
  <c r="N54" i="1"/>
  <c r="N66" i="1"/>
  <c r="N7" i="1"/>
  <c r="G29" i="1"/>
  <c r="M59" i="1"/>
  <c r="N45" i="1"/>
  <c r="N70" i="1" s="1"/>
  <c r="G62" i="1"/>
  <c r="G58" i="1"/>
  <c r="G42" i="1"/>
  <c r="C58" i="1"/>
  <c r="C59" i="1" s="1"/>
  <c r="D54" i="1" s="1"/>
  <c r="D58" i="1"/>
  <c r="E58" i="1"/>
  <c r="F58" i="1"/>
  <c r="L89" i="1"/>
  <c r="M89" i="1"/>
  <c r="M87" i="1"/>
  <c r="M76" i="1"/>
  <c r="M32" i="1"/>
  <c r="F63" i="1"/>
  <c r="M12" i="1"/>
  <c r="F70" i="1" s="1"/>
  <c r="E63" i="1"/>
  <c r="D63" i="1"/>
  <c r="F51" i="1"/>
  <c r="F7" i="1"/>
  <c r="E7" i="1"/>
  <c r="E51" i="1"/>
  <c r="F50" i="1"/>
  <c r="F13" i="1"/>
  <c r="F14" i="1" s="1"/>
  <c r="F6" i="1"/>
  <c r="M91" i="1"/>
  <c r="L76" i="1"/>
  <c r="L79" i="1" s="1"/>
  <c r="K76" i="1"/>
  <c r="F71" i="1"/>
  <c r="F67" i="1"/>
  <c r="F69" i="1" s="1"/>
  <c r="F42" i="1"/>
  <c r="F29" i="1"/>
  <c r="E71" i="1"/>
  <c r="E62" i="1"/>
  <c r="E64" i="1" s="1"/>
  <c r="F62" i="1"/>
  <c r="L87" i="1"/>
  <c r="M45" i="1"/>
  <c r="M93" i="1" s="1"/>
  <c r="M8" i="1"/>
  <c r="M77" i="1" s="1"/>
  <c r="M80" i="1" s="1"/>
  <c r="L91" i="1"/>
  <c r="F34" i="1"/>
  <c r="E6" i="1"/>
  <c r="K91" i="1"/>
  <c r="J91" i="1"/>
  <c r="K89" i="1"/>
  <c r="J89" i="1"/>
  <c r="C13" i="1"/>
  <c r="C20" i="1" s="1"/>
  <c r="J12" i="1"/>
  <c r="C71" i="1"/>
  <c r="C29" i="1"/>
  <c r="K87" i="1"/>
  <c r="J59" i="1"/>
  <c r="J90" i="1" s="1"/>
  <c r="K59" i="1"/>
  <c r="L59" i="1"/>
  <c r="E50" i="1"/>
  <c r="D50" i="1"/>
  <c r="D6" i="1"/>
  <c r="D71" i="1"/>
  <c r="E13" i="1"/>
  <c r="D13" i="1"/>
  <c r="D14" i="1" s="1"/>
  <c r="E29" i="1"/>
  <c r="E67" i="1"/>
  <c r="E69" i="1" s="1"/>
  <c r="D62" i="1"/>
  <c r="D64" i="1" s="1"/>
  <c r="C62" i="1"/>
  <c r="C64" i="1" s="1"/>
  <c r="L45" i="1"/>
  <c r="E42" i="1"/>
  <c r="D67" i="1"/>
  <c r="D69" i="1"/>
  <c r="C34" i="1"/>
  <c r="D34" i="1"/>
  <c r="E34" i="1"/>
  <c r="D29" i="1"/>
  <c r="K79" i="1"/>
  <c r="K12" i="1"/>
  <c r="L12" i="1"/>
  <c r="E70" i="1" s="1"/>
  <c r="J7" i="1"/>
  <c r="K7" i="1"/>
  <c r="L7" i="1"/>
  <c r="L57" i="1"/>
  <c r="L66" i="1" s="1"/>
  <c r="L48" i="1"/>
  <c r="L54" i="1" s="1"/>
  <c r="L32" i="1"/>
  <c r="L8" i="1"/>
  <c r="J76" i="1"/>
  <c r="J79" i="1" s="1"/>
  <c r="D70" i="1"/>
  <c r="C42" i="1"/>
  <c r="D42" i="1"/>
  <c r="K32" i="1"/>
  <c r="J57" i="1"/>
  <c r="J66" i="1" s="1"/>
  <c r="K57" i="1"/>
  <c r="K66" i="1"/>
  <c r="J48" i="1"/>
  <c r="J54" i="1" s="1"/>
  <c r="K48" i="1"/>
  <c r="K54" i="1" s="1"/>
  <c r="K45" i="1"/>
  <c r="J45" i="1"/>
  <c r="J32" i="1"/>
  <c r="K8" i="1"/>
  <c r="J8" i="1"/>
  <c r="K14" i="1"/>
  <c r="G14" i="1" l="1"/>
  <c r="G20" i="1"/>
  <c r="G22" i="1" s="1"/>
  <c r="G24" i="1" s="1"/>
  <c r="K93" i="1"/>
  <c r="E16" i="1"/>
  <c r="M70" i="1"/>
  <c r="N79" i="1"/>
  <c r="J92" i="1"/>
  <c r="G64" i="1"/>
  <c r="J14" i="1"/>
  <c r="J84" i="1" s="1"/>
  <c r="K85" i="1"/>
  <c r="K71" i="1"/>
  <c r="K72" i="1" s="1"/>
  <c r="K70" i="1"/>
  <c r="D20" i="1"/>
  <c r="D24" i="1" s="1"/>
  <c r="D30" i="1" s="1"/>
  <c r="J70" i="1"/>
  <c r="K68" i="1"/>
  <c r="L68" i="1"/>
  <c r="C70" i="1"/>
  <c r="C72" i="1" s="1"/>
  <c r="J81" i="1" s="1"/>
  <c r="C14" i="1"/>
  <c r="F72" i="1"/>
  <c r="M81" i="1" s="1"/>
  <c r="M71" i="1"/>
  <c r="M72" i="1" s="1"/>
  <c r="K86" i="1"/>
  <c r="J68" i="1"/>
  <c r="E20" i="1"/>
  <c r="E24" i="1" s="1"/>
  <c r="E31" i="1" s="1"/>
  <c r="E35" i="1" s="1"/>
  <c r="L86" i="1"/>
  <c r="E14" i="1"/>
  <c r="K90" i="1"/>
  <c r="K92" i="1" s="1"/>
  <c r="M85" i="1"/>
  <c r="F64" i="1"/>
  <c r="M86" i="1"/>
  <c r="F20" i="1"/>
  <c r="D59" i="1"/>
  <c r="E54" i="1" s="1"/>
  <c r="E59" i="1" s="1"/>
  <c r="F54" i="1" s="1"/>
  <c r="F59" i="1" s="1"/>
  <c r="G54" i="1" s="1"/>
  <c r="G59" i="1" s="1"/>
  <c r="N68" i="1"/>
  <c r="J71" i="1"/>
  <c r="J72" i="1" s="1"/>
  <c r="K82" i="1" s="1"/>
  <c r="D72" i="1"/>
  <c r="K81" i="1" s="1"/>
  <c r="M14" i="1"/>
  <c r="N71" i="1"/>
  <c r="N72" i="1" s="1"/>
  <c r="L71" i="1"/>
  <c r="L72" i="1" s="1"/>
  <c r="M82" i="1" s="1"/>
  <c r="D31" i="1"/>
  <c r="D35" i="1" s="1"/>
  <c r="D36" i="1" s="1"/>
  <c r="G72" i="1"/>
  <c r="J86" i="1"/>
  <c r="K77" i="1"/>
  <c r="K80" i="1" s="1"/>
  <c r="J85" i="1"/>
  <c r="L93" i="1"/>
  <c r="E72" i="1"/>
  <c r="L81" i="1" s="1"/>
  <c r="F15" i="1"/>
  <c r="L90" i="1"/>
  <c r="L92" i="1" s="1"/>
  <c r="M68" i="1"/>
  <c r="C24" i="1"/>
  <c r="J88" i="1"/>
  <c r="J93" i="1"/>
  <c r="L88" i="1"/>
  <c r="L85" i="1"/>
  <c r="L14" i="1"/>
  <c r="D15" i="1"/>
  <c r="F16" i="1"/>
  <c r="M90" i="1"/>
  <c r="M92" i="1" s="1"/>
  <c r="L77" i="1"/>
  <c r="L80" i="1" s="1"/>
  <c r="E15" i="1"/>
  <c r="L70" i="1"/>
  <c r="M79" i="1"/>
  <c r="N14" i="1"/>
  <c r="E36" i="1"/>
  <c r="L83" i="1"/>
  <c r="E44" i="1"/>
  <c r="K83" i="1" l="1"/>
  <c r="K88" i="1"/>
  <c r="K84" i="1"/>
  <c r="L84" i="1"/>
  <c r="E37" i="1"/>
  <c r="D44" i="1"/>
  <c r="M84" i="1"/>
  <c r="F24" i="1"/>
  <c r="M88" i="1"/>
  <c r="E30" i="1"/>
  <c r="L82" i="1"/>
  <c r="G30" i="1"/>
  <c r="C31" i="1"/>
  <c r="C35" i="1" s="1"/>
  <c r="C30" i="1"/>
  <c r="E45" i="1"/>
  <c r="F30" i="1" l="1"/>
  <c r="F31" i="1"/>
  <c r="F35" i="1" s="1"/>
  <c r="F38" i="1" s="1"/>
  <c r="G31" i="1"/>
  <c r="G35" i="1" s="1"/>
  <c r="G44" i="1" s="1"/>
  <c r="J83" i="1"/>
  <c r="C44" i="1"/>
  <c r="C36" i="1"/>
  <c r="E38" i="1"/>
  <c r="D37" i="1"/>
  <c r="G36" i="1" l="1"/>
  <c r="M83" i="1"/>
  <c r="F44" i="1"/>
  <c r="F45" i="1" s="1"/>
  <c r="F36" i="1"/>
  <c r="F37" i="1"/>
  <c r="E46" i="1"/>
  <c r="D45" i="1"/>
  <c r="F46" i="1" l="1"/>
</calcChain>
</file>

<file path=xl/sharedStrings.xml><?xml version="1.0" encoding="utf-8"?>
<sst xmlns="http://schemas.openxmlformats.org/spreadsheetml/2006/main" count="206" uniqueCount="147">
  <si>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</si>
  <si>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</si>
  <si>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</si>
  <si>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</si>
  <si>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</si>
  <si>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</si>
  <si>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</si>
  <si>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</si>
  <si>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</si>
  <si>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</si>
  <si>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</si>
  <si>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</si>
  <si>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</si>
  <si>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</si>
  <si>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</si>
  <si>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</si>
  <si>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</si>
  <si>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</si>
  <si>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</si>
  <si>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</si>
  <si>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</si>
  <si>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</si>
  <si>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</si>
  <si>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</si>
  <si>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</si>
  <si>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</si>
  <si>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</si>
  <si>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</si>
  <si>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</si>
  <si>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</si>
  <si>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</si>
  <si>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</si>
  <si>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</si>
  <si>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</si>
  <si>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</si>
  <si>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</si>
  <si>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</si>
  <si>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</si>
  <si>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</si>
  <si>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</si>
  <si>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</si>
  <si>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</si>
  <si>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</si>
  <si>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</si>
  <si>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</si>
  <si>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</si>
  <si>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</si>
  <si>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</si>
  <si>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</si>
  <si>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</si>
  <si>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</si>
  <si>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</si>
  <si>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</si>
  <si>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</si>
  <si>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</si>
  <si>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</si>
  <si>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</si>
  <si>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</si>
  <si>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</si>
  <si>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</si>
  <si>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</si>
  <si>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</si>
  <si>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</si>
  <si>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</si>
  <si>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</si>
  <si>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</si>
  <si>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</si>
  <si>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</si>
  <si>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</si>
  <si>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</si>
  <si>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</si>
  <si>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</si>
  <si>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</si>
  <si>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</si>
  <si>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</si>
  <si>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</si>
  <si>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</si>
  <si>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</si>
  <si>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</si>
  <si>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</si>
  <si>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</si>
  <si>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</si>
  <si>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</si>
  <si>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</si>
  <si>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</si>
  <si>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</si>
  <si>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</si>
  <si>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</si>
  <si>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</si>
  <si>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</si>
  <si>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</si>
  <si>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</si>
  <si>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</si>
  <si>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</si>
  <si>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</si>
  <si>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</si>
  <si>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</si>
  <si>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</si>
  <si>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</si>
  <si>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</si>
  <si>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</si>
  <si>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</si>
  <si>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</si>
  <si>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</si>
  <si>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</si>
  <si>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</si>
  <si>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</si>
  <si>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</si>
  <si>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</si>
  <si>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</si>
  <si>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</si>
  <si>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BVPS (₹)</t>
  </si>
  <si>
    <t>DPS (₹)</t>
  </si>
  <si>
    <t>EPS (₹)</t>
  </si>
  <si>
    <t>CMP (As per Stock Price at BSE) (₹)</t>
  </si>
  <si>
    <t>Asset Tunover</t>
  </si>
  <si>
    <t>Ratios</t>
  </si>
  <si>
    <t>PAT</t>
  </si>
  <si>
    <t xml:space="preserve">PBT Before Exceptional Items &amp; Tax </t>
  </si>
  <si>
    <t xml:space="preserve">Exceptional Items </t>
  </si>
  <si>
    <t>Aarti Pharmalabs Limited</t>
  </si>
  <si>
    <t xml:space="preserve">b) Earlier </t>
  </si>
  <si>
    <t>c) Deferred</t>
  </si>
  <si>
    <t>a) Items that will be reclassified to P&amp;L</t>
  </si>
  <si>
    <t>b) Items that may not be reclassified to P&amp;L</t>
  </si>
  <si>
    <t>ii) Lease Liabilities</t>
  </si>
  <si>
    <t xml:space="preserve">iii) Other Financial Liabilities </t>
  </si>
  <si>
    <t>Micro and small enterprise</t>
  </si>
  <si>
    <t>Other</t>
  </si>
  <si>
    <t>d) Current Tax Asset</t>
  </si>
  <si>
    <t>iii) Trade Payables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</si>
  <si>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</si>
  <si>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</si>
  <si>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</si>
  <si>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</si>
  <si>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</si>
  <si>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</si>
  <si>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</si>
  <si>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</si>
  <si>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</si>
  <si>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 xml:space="preserve">d) Other Non-current financial Liabilities </t>
  </si>
  <si>
    <t>d) current Tax Liabilities (Net)</t>
  </si>
  <si>
    <t xml:space="preserve">PBT Before share of profit of JV, Exceptional Items &amp; Tax </t>
  </si>
  <si>
    <t>Share of profit/(loss) of JV</t>
  </si>
  <si>
    <t>H1-FY26</t>
  </si>
  <si>
    <t>NA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</si>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</sst>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_ * #,##0_ ;_ * \-#,##0_ ;_ * &quot;-&quot;??_ ;_ @_ "/>
    <numFmt numFmtId="168" formatCode="0.0%"/>
    <numFmt numFmtId="169" formatCode="_ * #,##0.0_ ;_ * \-#,##0.0_ ;_ * &quot;-&quot;??_ ;_ @_ 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left" indent="1"/>
    </xf>
    <xf numFmtId="0" fontId="0" fillId="3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9" fontId="0" fillId="3" borderId="1" xfId="2" applyFont="1" applyFill="1" applyBorder="1" applyAlignment="1">
      <alignment horizontal="center"/>
    </xf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0" fontId="6" fillId="7" borderId="1" xfId="0" applyFont="1" applyFill="1" applyBorder="1"/>
    <xf numFmtId="10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0" fontId="9" fillId="5" borderId="1" xfId="0" applyFont="1" applyFill="1" applyBorder="1"/>
    <xf numFmtId="0" fontId="9" fillId="2" borderId="1" xfId="0" applyFont="1" applyFill="1" applyBorder="1"/>
    <xf numFmtId="0" fontId="7" fillId="7" borderId="1" xfId="0" applyFont="1" applyFill="1" applyBorder="1"/>
    <xf numFmtId="10" fontId="0" fillId="0" borderId="0" xfId="0" applyNumberFormat="1"/>
    <xf numFmtId="43" fontId="0" fillId="0" borderId="1" xfId="1" applyFont="1" applyFill="1" applyBorder="1"/>
    <xf numFmtId="166" fontId="7" fillId="7" borderId="1" xfId="1" applyNumberFormat="1" applyFont="1" applyFill="1" applyBorder="1"/>
    <xf numFmtId="164" fontId="2" fillId="2" borderId="1" xfId="0" applyNumberFormat="1" applyFont="1" applyFill="1" applyBorder="1"/>
    <xf numFmtId="166" fontId="3" fillId="2" borderId="1" xfId="1" applyNumberFormat="1" applyFont="1" applyFill="1" applyBorder="1"/>
    <xf numFmtId="164" fontId="3" fillId="2" borderId="1" xfId="1" applyNumberFormat="1" applyFont="1" applyFill="1" applyBorder="1"/>
    <xf numFmtId="167" fontId="3" fillId="2" borderId="1" xfId="1" applyNumberFormat="1" applyFont="1" applyFill="1" applyBorder="1"/>
    <xf numFmtId="43" fontId="0" fillId="0" borderId="1" xfId="1" applyFont="1" applyFill="1" applyBorder="1" applyAlignment="1">
      <alignment horizontal="right"/>
    </xf>
    <xf numFmtId="2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165" fontId="0" fillId="0" borderId="1" xfId="0" applyNumberFormat="1" applyBorder="1" applyAlignment="1">
      <alignment horizontal="right"/>
    </xf>
    <xf numFmtId="3" fontId="10" fillId="0" borderId="1" xfId="0" applyNumberFormat="1" applyFont="1" applyBorder="1"/>
    <xf numFmtId="167" fontId="0" fillId="0" borderId="1" xfId="1" applyNumberFormat="1" applyFont="1" applyFill="1" applyBorder="1"/>
    <xf numFmtId="43" fontId="0" fillId="0" borderId="1" xfId="1" applyFont="1" applyFill="1" applyBorder="1" applyAlignment="1">
      <alignment wrapText="1"/>
    </xf>
    <xf numFmtId="43" fontId="0" fillId="0" borderId="1" xfId="0" applyNumberFormat="1" applyBorder="1" applyAlignment="1">
      <alignment horizontal="right"/>
    </xf>
    <xf numFmtId="168" fontId="0" fillId="0" borderId="1" xfId="2" applyNumberFormat="1" applyFont="1" applyFill="1" applyBorder="1"/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43" fontId="0" fillId="0" borderId="1" xfId="1" applyFont="1" applyFill="1" applyBorder="1" applyAlignment="1">
      <alignment horizontal="center"/>
    </xf>
    <xf numFmtId="164" fontId="11" fillId="0" borderId="1" xfId="0" applyNumberFormat="1" applyFont="1" applyBorder="1"/>
    <xf numFmtId="164" fontId="12" fillId="2" borderId="1" xfId="0" applyNumberFormat="1" applyFont="1" applyFill="1" applyBorder="1"/>
    <xf numFmtId="10" fontId="13" fillId="7" borderId="1" xfId="0" applyNumberFormat="1" applyFont="1" applyFill="1" applyBorder="1" applyAlignment="1">
      <alignment horizontal="right"/>
    </xf>
    <xf numFmtId="43" fontId="11" fillId="0" borderId="1" xfId="0" applyNumberFormat="1" applyFont="1" applyBorder="1"/>
    <xf numFmtId="43" fontId="11" fillId="0" borderId="1" xfId="1" applyFont="1" applyBorder="1" applyAlignment="1">
      <alignment horizontal="right"/>
    </xf>
    <xf numFmtId="43" fontId="11" fillId="2" borderId="1" xfId="1" applyFont="1" applyFill="1" applyBorder="1"/>
    <xf numFmtId="43" fontId="11" fillId="0" borderId="1" xfId="1" applyFont="1" applyFill="1" applyBorder="1" applyAlignment="1">
      <alignment horizontal="right"/>
    </xf>
    <xf numFmtId="0" fontId="11" fillId="0" borderId="1" xfId="0" applyFont="1" applyBorder="1"/>
    <xf numFmtId="164" fontId="11" fillId="0" borderId="0" xfId="0" applyNumberFormat="1" applyFont="1"/>
    <xf numFmtId="0" fontId="11" fillId="0" borderId="0" xfId="0" applyFont="1"/>
    <xf numFmtId="0" fontId="11" fillId="3" borderId="1" xfId="0" applyFont="1" applyFill="1" applyBorder="1"/>
    <xf numFmtId="2" fontId="11" fillId="0" borderId="1" xfId="0" applyNumberFormat="1" applyFont="1" applyBorder="1"/>
    <xf numFmtId="43" fontId="1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2" fontId="0" fillId="0" borderId="1" xfId="2" applyNumberFormat="1" applyFont="1" applyFill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168" fontId="0" fillId="0" borderId="1" xfId="2" applyNumberFormat="1" applyFont="1" applyFill="1" applyBorder="1" applyAlignment="1">
      <alignment horizontal="right"/>
    </xf>
    <xf numFmtId="43" fontId="12" fillId="2" borderId="1" xfId="1" applyFont="1" applyFill="1" applyBorder="1"/>
    <xf numFmtId="169" fontId="12" fillId="2" borderId="1" xfId="1" applyNumberFormat="1" applyFont="1" applyFill="1" applyBorder="1"/>
    <xf numFmtId="43" fontId="3" fillId="2" borderId="1" xfId="1" applyFont="1" applyFill="1" applyBorder="1"/>
    <xf numFmtId="43" fontId="0" fillId="0" borderId="1" xfId="1" applyFont="1" applyBorder="1"/>
    <xf numFmtId="43" fontId="2" fillId="2" borderId="1" xfId="1" applyFont="1" applyFill="1" applyBorder="1"/>
    <xf numFmtId="43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12"/>
  <sheetViews>
    <sheetView tabSelected="1" topLeftCell="C1" zoomScale="85" zoomScaleNormal="85" workbookViewId="0">
      <pane ySplit="4" topLeftCell="A5" activePane="bottomLeft" state="frozen"/>
      <selection pane="bottomLeft" activeCell="O85" sqref="O85"/>
    </sheetView>
  </sheetViews>
  <sheetFormatPr defaultRowHeight="14.5"/>
  <cols>
    <col min="2" max="2" width="50.7265625" customWidth="1"/>
    <col min="3" max="3" width="13.81640625" bestFit="1" customWidth="1"/>
    <col min="4" max="4" width="14.26953125" bestFit="1" customWidth="1"/>
    <col min="5" max="6" width="13.81640625" bestFit="1" customWidth="1"/>
    <col min="7" max="7" width="13.1796875" bestFit="1" customWidth="1"/>
    <col min="8" max="8" width="4.1796875" customWidth="1"/>
    <col min="9" max="9" width="50.7265625" customWidth="1"/>
    <col min="10" max="10" width="14.54296875" bestFit="1" customWidth="1"/>
    <col min="11" max="11" width="14.26953125" bestFit="1" customWidth="1"/>
    <col min="12" max="12" width="14.54296875" bestFit="1" customWidth="1"/>
    <col min="13" max="13" width="14.26953125" bestFit="1" customWidth="1"/>
    <col min="14" max="14" width="14.54296875" bestFit="1" customWidth="1"/>
    <col min="15" max="15" width="43.453125" bestFit="1" customWidth="1"/>
  </cols>
  <sheetData>
    <row r="2" spans="1:14" ht="19.5" customHeight="1">
      <c r="B2" s="79" t="s">
        <v>120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4" ht="14.25" customHeight="1">
      <c r="B3" s="80" t="s">
        <v>49</v>
      </c>
      <c r="C3" s="81"/>
      <c r="D3" s="81"/>
      <c r="E3" s="81"/>
      <c r="F3" s="81"/>
      <c r="G3" s="81"/>
      <c r="H3" s="23"/>
      <c r="I3" s="77" t="s">
        <v>48</v>
      </c>
      <c r="J3" s="78"/>
      <c r="K3" s="78"/>
      <c r="L3" s="78"/>
      <c r="M3" s="78"/>
    </row>
    <row r="4" spans="1:14">
      <c r="B4" s="17" t="s">
        <v>0</v>
      </c>
      <c r="C4" s="4" t="s">
        <v>1</v>
      </c>
      <c r="D4" s="4" t="s">
        <v>2</v>
      </c>
      <c r="E4" s="4" t="s">
        <v>131</v>
      </c>
      <c r="F4" s="4" t="s">
        <v>139</v>
      </c>
      <c r="G4" s="4" t="s">
        <v>146</v>
      </c>
      <c r="H4" s="23"/>
      <c r="I4" s="17" t="s">
        <v>0</v>
      </c>
      <c r="J4" s="4" t="s">
        <v>1</v>
      </c>
      <c r="K4" s="4" t="s">
        <v>2</v>
      </c>
      <c r="L4" s="4" t="s">
        <v>131</v>
      </c>
      <c r="M4" s="4" t="s">
        <v>139</v>
      </c>
      <c r="N4" s="4"/>
    </row>
    <row r="5" spans="1:14">
      <c r="B5" s="9" t="s">
        <v>52</v>
      </c>
      <c r="C5" s="75">
        <v>11999.4</v>
      </c>
      <c r="D5" s="75">
        <v>19452.3</v>
      </c>
      <c r="E5" s="75">
        <v>18526.099999999999</v>
      </c>
      <c r="F5" s="71">
        <v>21150.744999999999</v>
      </c>
      <c r="G5" s="71">
        <v>12367.985000000001</v>
      </c>
      <c r="H5" s="23"/>
      <c r="I5" s="1" t="s">
        <v>3</v>
      </c>
      <c r="J5" s="5">
        <v>455.6</v>
      </c>
      <c r="K5" s="5">
        <v>453.1</v>
      </c>
      <c r="L5" s="5">
        <v>453.1</v>
      </c>
      <c r="M5" s="5">
        <v>453.173</v>
      </c>
      <c r="N5" s="5">
        <v>453.173</v>
      </c>
    </row>
    <row r="6" spans="1:14">
      <c r="B6" s="28" t="s">
        <v>53</v>
      </c>
      <c r="C6" s="27"/>
      <c r="D6" s="27">
        <f>IF(D5/C5-1&gt;100%,"N.A.",IF(D5/C5-1&lt;-100%,"N.A.",(D5/C5-1)))</f>
        <v>0.62110605530276519</v>
      </c>
      <c r="E6" s="27">
        <f>IF(E5/D5-1&gt;100%,"N.A.",IF(E5/D5-1&lt;-100%,"N.A.",(E5/D5-1)))</f>
        <v>-4.7613906838780085E-2</v>
      </c>
      <c r="F6" s="27">
        <f>IF(F5/E5-1&gt;100%,"N.A.",IF(F5/E5-1&lt;-100%,"N.A.",(F5/E5-1)))</f>
        <v>0.14167282914374857</v>
      </c>
      <c r="G6" s="27"/>
      <c r="H6" s="23"/>
      <c r="I6" s="1" t="s">
        <v>7</v>
      </c>
      <c r="J6" s="74">
        <v>13409.2</v>
      </c>
      <c r="K6" s="74">
        <v>15131.7</v>
      </c>
      <c r="L6" s="74">
        <v>17117.3</v>
      </c>
      <c r="M6" s="74">
        <v>19445.891</v>
      </c>
      <c r="N6" s="74">
        <v>20008.844000000001</v>
      </c>
    </row>
    <row r="7" spans="1:14">
      <c r="B7" s="28" t="s">
        <v>54</v>
      </c>
      <c r="C7" s="26"/>
      <c r="D7" s="27"/>
      <c r="E7" s="27">
        <f>IF((E5/C5)^(1/3)-1&lt;-100%,"N.A.",IF((E5/C5)^(1/3)-1&gt;100%,"N.A.",((E5/C5)^(1/3)-1)))</f>
        <v>0.15577906687701559</v>
      </c>
      <c r="F7" s="27">
        <f>IF((F5/C5)^(1/3)-1&lt;-100%,"N.A.",IF((F5/C5)^(1/3)-1&gt;100%,"N.A.",((F5/C5)^(1/3)-1)))</f>
        <v>0.20796786053352112</v>
      </c>
      <c r="G7" s="27"/>
      <c r="H7" s="23"/>
      <c r="I7" s="9" t="s">
        <v>8</v>
      </c>
      <c r="J7" s="35">
        <f t="shared" ref="J7:K7" si="0">SUM(J5:J6)+J9</f>
        <v>13864.800000000001</v>
      </c>
      <c r="K7" s="75">
        <f t="shared" si="0"/>
        <v>15584.800000000001</v>
      </c>
      <c r="L7" s="75">
        <f>SUM(L5:L6)+L9</f>
        <v>17570.399999999998</v>
      </c>
      <c r="M7" s="75">
        <f>SUM(M5:M6)+M9</f>
        <v>19899.063999999998</v>
      </c>
      <c r="N7" s="75">
        <f>SUM(N5:N6)+N9</f>
        <v>20462.017</v>
      </c>
    </row>
    <row r="8" spans="1:14">
      <c r="B8" s="10" t="s">
        <v>55</v>
      </c>
      <c r="C8" s="5">
        <v>6112.4</v>
      </c>
      <c r="D8" s="5">
        <v>10143</v>
      </c>
      <c r="E8" s="5">
        <v>8584.5</v>
      </c>
      <c r="F8" s="52">
        <v>8870.2240000000002</v>
      </c>
      <c r="G8" s="52">
        <v>6043.0290000000005</v>
      </c>
      <c r="H8" s="23"/>
      <c r="I8" s="9" t="s">
        <v>9</v>
      </c>
      <c r="J8" s="35">
        <f>SUM(J5:J6)</f>
        <v>13864.800000000001</v>
      </c>
      <c r="K8" s="75">
        <f>SUM(K5:K6)</f>
        <v>15584.800000000001</v>
      </c>
      <c r="L8" s="75">
        <f>SUM(L5:L6)</f>
        <v>17570.399999999998</v>
      </c>
      <c r="M8" s="75">
        <f>SUM(M5:M6)</f>
        <v>19899.063999999998</v>
      </c>
      <c r="N8" s="75">
        <f>SUM(N5:N6)</f>
        <v>20462.017</v>
      </c>
    </row>
    <row r="9" spans="1:14">
      <c r="B9" s="10" t="s">
        <v>57</v>
      </c>
      <c r="C9" s="5">
        <v>1629.2</v>
      </c>
      <c r="D9" s="5">
        <v>2808.2</v>
      </c>
      <c r="E9" s="5">
        <v>1822.2</v>
      </c>
      <c r="F9" s="52">
        <v>1766.347</v>
      </c>
      <c r="G9" s="52">
        <v>472.21800000000002</v>
      </c>
      <c r="H9" s="23"/>
      <c r="I9" s="1" t="s">
        <v>10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</row>
    <row r="10" spans="1:14">
      <c r="B10" s="10" t="s">
        <v>56</v>
      </c>
      <c r="C10" s="5">
        <v>-490.5</v>
      </c>
      <c r="D10" s="5">
        <v>-1253.5999999999999</v>
      </c>
      <c r="E10" s="5">
        <v>-199.5</v>
      </c>
      <c r="F10" s="52">
        <v>642.20399999999995</v>
      </c>
      <c r="G10" s="52">
        <v>-997.14</v>
      </c>
      <c r="H10" s="23"/>
      <c r="I10" s="1" t="s">
        <v>4</v>
      </c>
      <c r="J10" s="5">
        <v>5.5</v>
      </c>
      <c r="K10" s="5">
        <v>1.8</v>
      </c>
      <c r="L10" s="5">
        <v>0.4</v>
      </c>
      <c r="M10" s="74">
        <v>1035.556</v>
      </c>
      <c r="N10" s="74">
        <v>2007.3150000000001</v>
      </c>
    </row>
    <row r="11" spans="1:14">
      <c r="B11" s="10" t="s">
        <v>58</v>
      </c>
      <c r="C11" s="5">
        <v>852</v>
      </c>
      <c r="D11" s="5">
        <v>1296.9000000000001</v>
      </c>
      <c r="E11" s="5">
        <v>1384.1</v>
      </c>
      <c r="F11" s="52">
        <v>1619.595</v>
      </c>
      <c r="G11" s="52">
        <v>1280.4690000000001</v>
      </c>
      <c r="H11" s="23"/>
      <c r="I11" s="1" t="s">
        <v>5</v>
      </c>
      <c r="J11" s="74">
        <v>3377.3</v>
      </c>
      <c r="K11" s="74">
        <v>2141.5</v>
      </c>
      <c r="L11" s="74">
        <v>2640.6</v>
      </c>
      <c r="M11" s="74">
        <v>2927.9670000000001</v>
      </c>
      <c r="N11" s="74">
        <v>3881.3690000000001</v>
      </c>
    </row>
    <row r="12" spans="1:14">
      <c r="B12" s="10" t="s">
        <v>59</v>
      </c>
      <c r="C12" s="5">
        <v>1826.8</v>
      </c>
      <c r="D12" s="5">
        <v>3037.4</v>
      </c>
      <c r="E12" s="5">
        <v>3074.4</v>
      </c>
      <c r="F12" s="52">
        <v>3608.6689999999999</v>
      </c>
      <c r="G12" s="56">
        <v>2846.4479999999999</v>
      </c>
      <c r="H12" s="23"/>
      <c r="I12" s="9" t="s">
        <v>11</v>
      </c>
      <c r="J12" s="35">
        <f>SUM(J10:J11)</f>
        <v>3382.8</v>
      </c>
      <c r="K12" s="35">
        <f t="shared" ref="K12" si="1">SUM(K10:K11)</f>
        <v>2143.3000000000002</v>
      </c>
      <c r="L12" s="35">
        <f>SUM(L10:L11)</f>
        <v>2641</v>
      </c>
      <c r="M12" s="35">
        <f>SUM(M10:M11)</f>
        <v>3963.5230000000001</v>
      </c>
      <c r="N12" s="35">
        <f>SUM(N10:N11)</f>
        <v>5888.6840000000002</v>
      </c>
    </row>
    <row r="13" spans="1:14">
      <c r="A13" s="32"/>
      <c r="B13" s="9" t="s">
        <v>60</v>
      </c>
      <c r="C13" s="35">
        <f>C5-SUM(C8:C12)</f>
        <v>2069.5</v>
      </c>
      <c r="D13" s="35">
        <f>D5-SUM(D8:D12)</f>
        <v>3420.3999999999996</v>
      </c>
      <c r="E13" s="35">
        <f>E5-SUM(E8:E12)</f>
        <v>3860.3999999999978</v>
      </c>
      <c r="F13" s="53">
        <f>F5-SUM(F8:F12)</f>
        <v>4643.7060000000019</v>
      </c>
      <c r="G13" s="53">
        <f>G5-SUM(G8:G12)</f>
        <v>2722.9610000000011</v>
      </c>
      <c r="H13" s="23"/>
      <c r="I13" s="1"/>
      <c r="J13" s="5"/>
      <c r="K13" s="5"/>
      <c r="L13" s="5"/>
      <c r="M13" s="5"/>
      <c r="N13" s="5"/>
    </row>
    <row r="14" spans="1:14">
      <c r="B14" s="25" t="s">
        <v>61</v>
      </c>
      <c r="C14" s="27">
        <f>IF(C13/C5&gt;100%,"N.A",IF(C13/C5&lt;-100%,"N.A.",(C13/C5)))</f>
        <v>0.1724669566811674</v>
      </c>
      <c r="D14" s="27">
        <f>IF(D13/D5&gt;100%,"N.A",IF(D13/D5&lt;-100%,"N.A.",(D13/D5)))</f>
        <v>0.175835248273983</v>
      </c>
      <c r="E14" s="27">
        <f>IF(E13/E5&gt;100%,"N.A",IF(E13/E5&lt;-100%,"N.A.",(E13/E5)))</f>
        <v>0.20837629074656824</v>
      </c>
      <c r="F14" s="27">
        <f>IF(F13/F5&gt;100%,"N.A",IF(F13/F5&lt;-100%,"N.A.",(F13/F5)))</f>
        <v>0.21955283371815046</v>
      </c>
      <c r="G14" s="27">
        <f>IF(G13/G5&gt;100%,"N.A",IF(G13/G5&lt;-100%,"N.A.",(G13/G5)))</f>
        <v>0.22016205550055251</v>
      </c>
      <c r="H14" s="23"/>
      <c r="I14" s="9" t="s">
        <v>6</v>
      </c>
      <c r="J14" s="35">
        <f>J8+J12</f>
        <v>17247.600000000002</v>
      </c>
      <c r="K14" s="35">
        <f>K8+K12</f>
        <v>17728.100000000002</v>
      </c>
      <c r="L14" s="35">
        <f>L8+L12</f>
        <v>20211.399999999998</v>
      </c>
      <c r="M14" s="35">
        <f>M8+M12</f>
        <v>23862.587</v>
      </c>
      <c r="N14" s="35">
        <f>N8+N12</f>
        <v>26350.701000000001</v>
      </c>
    </row>
    <row r="15" spans="1:14">
      <c r="B15" s="25" t="s">
        <v>53</v>
      </c>
      <c r="C15" s="27"/>
      <c r="D15" s="27">
        <f>IF(D13/C13-1&gt;100%,("N.A."),IF(D13/C13-1&lt;-100%,("N.A."),(D13/C13-1)))</f>
        <v>0.65276636868808868</v>
      </c>
      <c r="E15" s="27">
        <f>IF(E13/D13-1&gt;100%,("N.A."),IF(E13/D13-1&lt;-100%,("N.A."),(E13/D13-1)))</f>
        <v>0.12863992515495215</v>
      </c>
      <c r="F15" s="27">
        <f>IF(F13/E13-1&gt;100%,("N.A."),IF(F13/E13-1&lt;-100%,("N.A."),(F13/E13-1)))</f>
        <v>0.20290798880945093</v>
      </c>
      <c r="G15" s="27"/>
      <c r="H15" s="23"/>
      <c r="I15" s="1"/>
      <c r="J15" s="5"/>
      <c r="K15" s="5"/>
      <c r="L15" s="5"/>
      <c r="M15" s="5"/>
      <c r="N15" s="5"/>
    </row>
    <row r="16" spans="1:14">
      <c r="B16" s="25" t="s">
        <v>62</v>
      </c>
      <c r="C16" s="27"/>
      <c r="D16" s="27"/>
      <c r="E16" s="27">
        <f>IF((E13/C13)^(1/3)-1&lt;-100%,"N.A.",IF((E13/C13)^(1/3)-1&gt;100%,"N.A.",((E13/C13)^(1/3)-1)))</f>
        <v>0.23099311923691279</v>
      </c>
      <c r="F16" s="27">
        <f>IF((F13/C13)^(1/3)-1&lt;-100%,"N.A.",IF((F13/C13)^(1/3)-1&gt;100%,"N.A.",((F13/C13)^(1/3)-1)))</f>
        <v>0.30918120490919154</v>
      </c>
      <c r="G16" s="27"/>
      <c r="H16" s="23"/>
      <c r="I16" s="9" t="s">
        <v>12</v>
      </c>
      <c r="J16" s="6"/>
      <c r="K16" s="6"/>
      <c r="L16" s="6"/>
      <c r="M16" s="6"/>
      <c r="N16" s="6"/>
    </row>
    <row r="17" spans="2:14">
      <c r="B17" s="1" t="s">
        <v>63</v>
      </c>
      <c r="C17" s="5">
        <v>25.1</v>
      </c>
      <c r="D17" s="5">
        <v>23.2</v>
      </c>
      <c r="E17" s="5">
        <v>49</v>
      </c>
      <c r="F17" s="52">
        <v>101.19199999999999</v>
      </c>
      <c r="G17" s="52">
        <v>12.746</v>
      </c>
      <c r="H17" s="23"/>
      <c r="I17" s="1"/>
      <c r="J17" s="1"/>
      <c r="K17" s="1"/>
      <c r="L17" s="1"/>
      <c r="M17" s="1"/>
      <c r="N17" s="1"/>
    </row>
    <row r="18" spans="2:14">
      <c r="B18" s="1" t="s">
        <v>64</v>
      </c>
      <c r="C18" s="5">
        <v>421.2</v>
      </c>
      <c r="D18" s="5">
        <v>625.4</v>
      </c>
      <c r="E18" s="5">
        <v>732.4</v>
      </c>
      <c r="F18" s="52">
        <v>869.04</v>
      </c>
      <c r="G18" s="52">
        <v>761.79100000000005</v>
      </c>
      <c r="H18" s="23"/>
      <c r="I18" s="7" t="s">
        <v>23</v>
      </c>
      <c r="J18" s="5"/>
      <c r="K18" s="5"/>
      <c r="L18" s="5"/>
      <c r="M18" s="5"/>
      <c r="N18" s="5"/>
    </row>
    <row r="19" spans="2:14">
      <c r="B19" s="1" t="s">
        <v>65</v>
      </c>
      <c r="C19" s="5">
        <v>119.6</v>
      </c>
      <c r="D19" s="5">
        <v>210.5</v>
      </c>
      <c r="E19" s="5">
        <v>172.1</v>
      </c>
      <c r="F19" s="52">
        <v>268.964</v>
      </c>
      <c r="G19" s="52">
        <v>300.39699999999999</v>
      </c>
      <c r="H19" s="23"/>
      <c r="I19" s="1" t="s">
        <v>13</v>
      </c>
      <c r="J19" s="74">
        <v>7785.4</v>
      </c>
      <c r="K19" s="74">
        <v>9227.4</v>
      </c>
      <c r="L19" s="74">
        <v>9942.2000000000007</v>
      </c>
      <c r="M19" s="74">
        <v>10886.871999999999</v>
      </c>
      <c r="N19" s="74">
        <v>13330.123</v>
      </c>
    </row>
    <row r="20" spans="2:14">
      <c r="B20" s="9" t="s">
        <v>142</v>
      </c>
      <c r="C20" s="35">
        <f>C13+C17-SUM(C18:C19)</f>
        <v>1553.8</v>
      </c>
      <c r="D20" s="35">
        <f>D13+D17-SUM(D18:D19)</f>
        <v>2607.6999999999994</v>
      </c>
      <c r="E20" s="35">
        <f>E13+E17-SUM(E18:E19)</f>
        <v>3004.8999999999978</v>
      </c>
      <c r="F20" s="53">
        <f>F13+F17-SUM(F18:F19)</f>
        <v>3606.8940000000021</v>
      </c>
      <c r="G20" s="72">
        <f>G13-G18-G19+G17</f>
        <v>1673.5190000000011</v>
      </c>
      <c r="H20" s="23"/>
      <c r="I20" s="1"/>
      <c r="J20" s="5"/>
      <c r="K20" s="5"/>
      <c r="L20" s="5"/>
      <c r="M20" s="5"/>
      <c r="N20" s="5"/>
    </row>
    <row r="21" spans="2:14">
      <c r="B21" s="1" t="s">
        <v>119</v>
      </c>
      <c r="C21" s="14">
        <v>0</v>
      </c>
      <c r="D21" s="14">
        <v>0</v>
      </c>
      <c r="E21" s="14">
        <v>0</v>
      </c>
      <c r="F21" s="55">
        <v>0</v>
      </c>
      <c r="G21" s="55">
        <v>27.949000000000002</v>
      </c>
      <c r="H21" s="23"/>
      <c r="I21" s="1"/>
      <c r="J21" s="5"/>
      <c r="K21" s="5"/>
      <c r="L21" s="5"/>
      <c r="M21" s="5"/>
      <c r="N21" s="5"/>
    </row>
    <row r="22" spans="2:14">
      <c r="B22" s="9" t="s">
        <v>118</v>
      </c>
      <c r="C22" s="66" t="s">
        <v>138</v>
      </c>
      <c r="D22" s="66" t="s">
        <v>138</v>
      </c>
      <c r="E22" s="66" t="s">
        <v>138</v>
      </c>
      <c r="F22" s="67" t="s">
        <v>138</v>
      </c>
      <c r="G22" s="53">
        <f>G20-G21</f>
        <v>1645.5700000000011</v>
      </c>
      <c r="H22" s="23"/>
      <c r="I22" s="1" t="s">
        <v>14</v>
      </c>
      <c r="J22" s="5">
        <v>15.5</v>
      </c>
      <c r="K22" s="5">
        <v>11.4</v>
      </c>
      <c r="L22" s="5">
        <v>204.7</v>
      </c>
      <c r="M22" s="5">
        <v>154.328</v>
      </c>
      <c r="N22" s="5">
        <v>674.47500000000002</v>
      </c>
    </row>
    <row r="23" spans="2:14">
      <c r="B23" s="1" t="s">
        <v>143</v>
      </c>
      <c r="C23" s="65" t="s">
        <v>138</v>
      </c>
      <c r="D23" s="65" t="s">
        <v>138</v>
      </c>
      <c r="E23" s="65" t="s">
        <v>138</v>
      </c>
      <c r="F23" s="65" t="s">
        <v>138</v>
      </c>
      <c r="G23" s="52">
        <v>24.853000000000002</v>
      </c>
      <c r="H23" s="23"/>
      <c r="I23" s="1" t="s">
        <v>15</v>
      </c>
      <c r="J23" s="5">
        <v>1652.3</v>
      </c>
      <c r="K23" s="5">
        <v>622</v>
      </c>
      <c r="L23" s="5">
        <v>785</v>
      </c>
      <c r="M23" s="74">
        <v>3065.8180000000002</v>
      </c>
      <c r="N23" s="74">
        <v>1605.0260000000001</v>
      </c>
    </row>
    <row r="24" spans="2:14">
      <c r="B24" s="9" t="s">
        <v>66</v>
      </c>
      <c r="C24" s="35">
        <f>C20+C21</f>
        <v>1553.8</v>
      </c>
      <c r="D24" s="35">
        <f>D20+D21</f>
        <v>2607.6999999999994</v>
      </c>
      <c r="E24" s="35">
        <f>E20+E21</f>
        <v>3004.8999999999978</v>
      </c>
      <c r="F24" s="35">
        <f>F20+F21</f>
        <v>3606.8940000000021</v>
      </c>
      <c r="G24" s="35">
        <f>G22+G23</f>
        <v>1670.4230000000011</v>
      </c>
      <c r="H24" s="23"/>
      <c r="I24" s="1" t="s">
        <v>16</v>
      </c>
      <c r="J24" s="5">
        <v>2.2999999999999998</v>
      </c>
      <c r="K24" s="5">
        <v>1.8</v>
      </c>
      <c r="L24" s="5">
        <v>168.5</v>
      </c>
      <c r="M24" s="5">
        <v>306.68200000000002</v>
      </c>
      <c r="N24" s="5">
        <v>275.19099999999997</v>
      </c>
    </row>
    <row r="25" spans="2:14">
      <c r="B25" s="1" t="s">
        <v>68</v>
      </c>
      <c r="C25" s="5"/>
      <c r="D25" s="5"/>
      <c r="E25" s="5"/>
      <c r="F25" s="52"/>
      <c r="G25" s="52"/>
      <c r="H25" s="23"/>
      <c r="I25" s="1" t="s">
        <v>17</v>
      </c>
      <c r="J25" s="5">
        <v>221.4</v>
      </c>
      <c r="K25" s="5">
        <v>396.7</v>
      </c>
      <c r="L25" s="5">
        <v>584.20000000000005</v>
      </c>
      <c r="M25" s="5">
        <v>677.71299999999997</v>
      </c>
      <c r="N25" s="5">
        <v>852.16200000000003</v>
      </c>
    </row>
    <row r="26" spans="2:14">
      <c r="B26" s="1" t="s">
        <v>69</v>
      </c>
      <c r="C26" s="5">
        <v>273.3</v>
      </c>
      <c r="D26" s="5">
        <v>559.9</v>
      </c>
      <c r="E26" s="5">
        <v>588.4</v>
      </c>
      <c r="F26" s="52">
        <v>722.02599999999995</v>
      </c>
      <c r="G26" s="52">
        <v>241.06800000000001</v>
      </c>
      <c r="H26" s="23"/>
      <c r="I26" s="1" t="s">
        <v>18</v>
      </c>
      <c r="J26" s="5">
        <v>17.8</v>
      </c>
      <c r="K26" s="5">
        <v>17.8</v>
      </c>
      <c r="L26" s="5">
        <v>17.8</v>
      </c>
      <c r="M26" s="5">
        <v>17.806000000000001</v>
      </c>
      <c r="N26" s="5">
        <v>17.806000000000001</v>
      </c>
    </row>
    <row r="27" spans="2:14">
      <c r="B27" s="1" t="s">
        <v>121</v>
      </c>
      <c r="C27" s="5">
        <v>11.2</v>
      </c>
      <c r="D27" s="5">
        <v>31.3</v>
      </c>
      <c r="E27" s="13">
        <v>-30.6</v>
      </c>
      <c r="F27" s="64">
        <v>-46.951999999999998</v>
      </c>
      <c r="G27" s="64">
        <v>0</v>
      </c>
      <c r="H27" s="23"/>
      <c r="I27" s="1" t="s">
        <v>19</v>
      </c>
      <c r="J27" s="5"/>
      <c r="K27" s="5"/>
      <c r="L27" s="5"/>
      <c r="M27" s="5"/>
      <c r="N27" s="5"/>
    </row>
    <row r="28" spans="2:14">
      <c r="B28" s="1" t="s">
        <v>122</v>
      </c>
      <c r="C28" s="5">
        <v>46.8</v>
      </c>
      <c r="D28" s="5">
        <v>81.7</v>
      </c>
      <c r="E28" s="5">
        <v>278.2</v>
      </c>
      <c r="F28" s="52">
        <v>207.774</v>
      </c>
      <c r="G28" s="52">
        <v>175.28899999999999</v>
      </c>
      <c r="H28" s="23"/>
      <c r="I28" s="1" t="s">
        <v>20</v>
      </c>
      <c r="J28" s="5">
        <v>322.3</v>
      </c>
      <c r="K28" s="5">
        <v>355.2</v>
      </c>
      <c r="L28" s="5">
        <v>367.8</v>
      </c>
      <c r="M28" s="5">
        <v>292.40499999999997</v>
      </c>
      <c r="N28" s="5">
        <v>1873.49</v>
      </c>
    </row>
    <row r="29" spans="2:14">
      <c r="B29" s="1" t="s">
        <v>71</v>
      </c>
      <c r="C29" s="5">
        <f>SUM(C26:C28)</f>
        <v>331.3</v>
      </c>
      <c r="D29" s="5">
        <f>SUM(D26:D28)</f>
        <v>672.9</v>
      </c>
      <c r="E29" s="5">
        <f>SUM(E26:E28)</f>
        <v>836</v>
      </c>
      <c r="F29" s="52">
        <f>SUM(F26:F28)</f>
        <v>882.84799999999996</v>
      </c>
      <c r="G29" s="52">
        <f>SUM(G26:G28)</f>
        <v>416.35699999999997</v>
      </c>
      <c r="H29" s="23"/>
      <c r="I29" s="1" t="s">
        <v>132</v>
      </c>
      <c r="J29" s="5"/>
      <c r="K29" s="5">
        <v>58.5</v>
      </c>
      <c r="L29" s="5">
        <v>58.5</v>
      </c>
      <c r="M29" s="5">
        <v>73.013000000000005</v>
      </c>
      <c r="N29" s="5">
        <v>75.647000000000006</v>
      </c>
    </row>
    <row r="30" spans="2:14">
      <c r="B30" s="25" t="s">
        <v>70</v>
      </c>
      <c r="C30" s="27">
        <f>C29/C24</f>
        <v>0.21321920453082766</v>
      </c>
      <c r="D30" s="27">
        <f>D29/D24</f>
        <v>0.25804348659738474</v>
      </c>
      <c r="E30" s="27">
        <f>E29/E24</f>
        <v>0.27821225331957822</v>
      </c>
      <c r="F30" s="54">
        <f>F29/F24</f>
        <v>0.24476682708169395</v>
      </c>
      <c r="G30" s="54">
        <f>G29/G24</f>
        <v>0.24925243486230714</v>
      </c>
      <c r="H30" s="23"/>
      <c r="I30" s="1" t="s">
        <v>133</v>
      </c>
      <c r="J30" s="5">
        <v>85.8</v>
      </c>
      <c r="K30" s="5">
        <v>94.4</v>
      </c>
      <c r="L30" s="5">
        <v>113.3</v>
      </c>
      <c r="M30" s="5">
        <v>140.27600000000001</v>
      </c>
      <c r="N30" s="5">
        <v>300.17</v>
      </c>
    </row>
    <row r="31" spans="2:14">
      <c r="B31" s="2" t="s">
        <v>117</v>
      </c>
      <c r="C31" s="35">
        <f>C24-C29</f>
        <v>1222.5</v>
      </c>
      <c r="D31" s="35">
        <f>D24-D29</f>
        <v>1934.7999999999993</v>
      </c>
      <c r="E31" s="35">
        <f>E24-E29</f>
        <v>2168.8999999999978</v>
      </c>
      <c r="F31" s="53">
        <f>F24-F29</f>
        <v>2724.0460000000021</v>
      </c>
      <c r="G31" s="53">
        <f>G24-G29</f>
        <v>1254.0660000000012</v>
      </c>
      <c r="H31" s="23"/>
      <c r="I31" s="1" t="s">
        <v>50</v>
      </c>
      <c r="J31" s="5">
        <v>14.8</v>
      </c>
      <c r="K31" s="5">
        <v>24.9</v>
      </c>
      <c r="L31" s="5">
        <v>122.6</v>
      </c>
      <c r="M31" s="5">
        <v>227.46700000000001</v>
      </c>
      <c r="N31" s="5">
        <v>391.976</v>
      </c>
    </row>
    <row r="32" spans="2:14">
      <c r="B32" s="29" t="s">
        <v>72</v>
      </c>
      <c r="C32" s="11">
        <v>0</v>
      </c>
      <c r="D32" s="11">
        <v>0</v>
      </c>
      <c r="E32" s="11">
        <v>0</v>
      </c>
      <c r="F32" s="56">
        <v>0</v>
      </c>
      <c r="G32" s="56">
        <v>0</v>
      </c>
      <c r="H32" s="23"/>
      <c r="I32" s="9" t="s">
        <v>21</v>
      </c>
      <c r="J32" s="75">
        <f>SUM(J19:J31)</f>
        <v>10117.599999999995</v>
      </c>
      <c r="K32" s="75">
        <f>SUM(K19:K31)</f>
        <v>10810.099999999999</v>
      </c>
      <c r="L32" s="75">
        <f>SUM(L19:L31)</f>
        <v>12364.6</v>
      </c>
      <c r="M32" s="75">
        <f>SUM(M19:M31)</f>
        <v>15842.380000000003</v>
      </c>
      <c r="N32" s="75">
        <f>SUM(N19:N31)</f>
        <v>19396.065999999999</v>
      </c>
    </row>
    <row r="33" spans="2:14">
      <c r="B33" s="1" t="s">
        <v>67</v>
      </c>
      <c r="C33" s="11">
        <v>0</v>
      </c>
      <c r="D33" s="11">
        <v>0</v>
      </c>
      <c r="E33" s="11">
        <v>0</v>
      </c>
      <c r="F33" s="56">
        <v>0</v>
      </c>
      <c r="G33" s="56">
        <v>0</v>
      </c>
      <c r="H33" s="23"/>
      <c r="I33" s="1"/>
      <c r="J33" s="1"/>
      <c r="K33" s="1"/>
      <c r="L33" s="1"/>
      <c r="M33" s="1"/>
      <c r="N33" s="1"/>
    </row>
    <row r="34" spans="2:14">
      <c r="B34" s="30" t="s">
        <v>73</v>
      </c>
      <c r="C34" s="12">
        <f t="shared" ref="C34" si="2">C32-C33</f>
        <v>0</v>
      </c>
      <c r="D34" s="12">
        <f t="shared" ref="D34:E34" si="3">D32-D33</f>
        <v>0</v>
      </c>
      <c r="E34" s="12">
        <f t="shared" si="3"/>
        <v>0</v>
      </c>
      <c r="F34" s="57">
        <f t="shared" ref="F34" si="4">F32-F33</f>
        <v>0</v>
      </c>
      <c r="G34" s="57">
        <v>0</v>
      </c>
      <c r="H34" s="23"/>
      <c r="I34" s="7" t="s">
        <v>22</v>
      </c>
      <c r="J34" s="5"/>
      <c r="K34" s="5"/>
      <c r="L34" s="5"/>
      <c r="M34" s="5"/>
      <c r="N34" s="5"/>
    </row>
    <row r="35" spans="2:14">
      <c r="B35" s="2" t="s">
        <v>74</v>
      </c>
      <c r="C35" s="35">
        <f>C31+C34</f>
        <v>1222.5</v>
      </c>
      <c r="D35" s="35">
        <f>D31+D34</f>
        <v>1934.7999999999993</v>
      </c>
      <c r="E35" s="35">
        <f>E31+E34</f>
        <v>2168.8999999999978</v>
      </c>
      <c r="F35" s="53">
        <f>F31+F34</f>
        <v>2724.0460000000021</v>
      </c>
      <c r="G35" s="53">
        <f>G31+G34</f>
        <v>1254.0660000000012</v>
      </c>
      <c r="H35" s="23"/>
      <c r="I35" s="1" t="s">
        <v>24</v>
      </c>
      <c r="J35" s="74">
        <v>4754.5</v>
      </c>
      <c r="K35" s="74">
        <v>6020.4</v>
      </c>
      <c r="L35" s="74">
        <v>6428.6</v>
      </c>
      <c r="M35" s="74">
        <v>5875.7939999999999</v>
      </c>
      <c r="N35" s="74">
        <v>6205.8819999999996</v>
      </c>
    </row>
    <row r="36" spans="2:14">
      <c r="B36" s="25" t="s">
        <v>75</v>
      </c>
      <c r="C36" s="27">
        <f>IF(C35/C5&gt;100%,"N.A.",IF(C35/C5&lt;-100%,"N.A.",(C35/C5)))</f>
        <v>0.10188009400470024</v>
      </c>
      <c r="D36" s="27">
        <f>IF(D35/D5&gt;100%,"N.A.",IF(D35/D5&lt;-100%,"N.A.",(D35/D5)))</f>
        <v>9.9463816618086259E-2</v>
      </c>
      <c r="E36" s="27">
        <f>IF(E35/E5&gt;100%,"N.A.",IF(E35/E5&lt;-100%,"N.A.",(E35/E5)))</f>
        <v>0.11707267044871819</v>
      </c>
      <c r="F36" s="54">
        <f>IF(F35/F5&gt;100%,"N.A.",IF(F35/F5&lt;-100%,"N.A.",(F35/F5)))</f>
        <v>0.12879196453836506</v>
      </c>
      <c r="G36" s="54">
        <f>IF(G35/G5&gt;100%,"N.A.",IF(G35/G5&lt;-100%,"N.A.",(G35/G5)))</f>
        <v>0.10139614496621731</v>
      </c>
      <c r="H36" s="23"/>
      <c r="I36" s="1" t="s">
        <v>25</v>
      </c>
      <c r="J36" s="5"/>
      <c r="K36" s="5"/>
      <c r="L36" s="5"/>
      <c r="M36" s="5"/>
      <c r="N36" s="5"/>
    </row>
    <row r="37" spans="2:14">
      <c r="B37" s="25" t="s">
        <v>53</v>
      </c>
      <c r="C37" s="27"/>
      <c r="D37" s="27">
        <f>IF(D35/C35-1&gt;100%,"N.A.",IF(D35/C35-1&lt;-100%,"N.A.",D35/C35-1))</f>
        <v>0.58265848670756593</v>
      </c>
      <c r="E37" s="27">
        <f>IF(E35/D35-1&gt;100%,"N.A.",IF(E35/D35-1&lt;-100%,"N.A.",E35/D35-1))</f>
        <v>0.1209944180277025</v>
      </c>
      <c r="F37" s="27">
        <f>IF(F35/E35-1&gt;100%,"N.A.",IF(F35/E35-1&lt;-100%,"N.A.",F35/E35-1))</f>
        <v>0.25595739775923509</v>
      </c>
      <c r="G37" s="27"/>
      <c r="H37" s="23"/>
      <c r="I37" s="1" t="s">
        <v>28</v>
      </c>
      <c r="J37" s="47">
        <v>0</v>
      </c>
      <c r="K37" s="5">
        <v>509.9</v>
      </c>
      <c r="L37" s="5">
        <v>703.9</v>
      </c>
      <c r="M37" s="5">
        <v>475.601</v>
      </c>
      <c r="N37" s="5">
        <v>0</v>
      </c>
    </row>
    <row r="38" spans="2:14">
      <c r="B38" s="25" t="s">
        <v>62</v>
      </c>
      <c r="C38" s="27"/>
      <c r="D38" s="27"/>
      <c r="E38" s="27">
        <f>IF((E35/C35)^(1/3)-1&lt;-100%,"N.A.",IF((E35/C35)^(1/3)-1&gt;100%,"N.A.",((E35/C35)^(1/3)-1)))</f>
        <v>0.21058945603999368</v>
      </c>
      <c r="F38" s="27">
        <f>IF((F35/C35)^(1/3)-1&lt;-100%,"N.A.",IF((F35/C35)^(1/3)-1&gt;100%,"N.A.",((F35/C35)^(1/3)-1)))</f>
        <v>0.30613637099627278</v>
      </c>
      <c r="G38" s="27"/>
      <c r="H38" s="23"/>
      <c r="I38" s="1" t="s">
        <v>26</v>
      </c>
      <c r="J38" s="74">
        <v>3766.6</v>
      </c>
      <c r="K38" s="74">
        <v>4501</v>
      </c>
      <c r="L38" s="74">
        <v>5193.3999999999996</v>
      </c>
      <c r="M38" s="74">
        <v>5754.0469999999996</v>
      </c>
      <c r="N38" s="74">
        <v>4700.83</v>
      </c>
    </row>
    <row r="39" spans="2:14">
      <c r="B39" s="1" t="s">
        <v>76</v>
      </c>
      <c r="C39" s="5"/>
      <c r="D39" s="5"/>
      <c r="E39" s="5"/>
      <c r="F39" s="52"/>
      <c r="G39" s="52"/>
      <c r="H39" s="23"/>
      <c r="I39" s="1" t="s">
        <v>27</v>
      </c>
      <c r="J39" s="5">
        <v>832.7</v>
      </c>
      <c r="K39" s="5">
        <v>121.2</v>
      </c>
      <c r="L39" s="5">
        <v>236.3</v>
      </c>
      <c r="M39" s="5">
        <v>67.337000000000003</v>
      </c>
      <c r="N39" s="5">
        <v>321.93599999999998</v>
      </c>
    </row>
    <row r="40" spans="2:14">
      <c r="B40" s="1" t="s">
        <v>123</v>
      </c>
      <c r="C40" s="5">
        <v>70.7</v>
      </c>
      <c r="D40" s="5">
        <v>-34.5</v>
      </c>
      <c r="E40" s="5">
        <v>-4.5</v>
      </c>
      <c r="F40" s="52">
        <v>-97.572999999999993</v>
      </c>
      <c r="G40" s="52">
        <v>-22.834</v>
      </c>
      <c r="H40" s="23"/>
      <c r="I40" s="1" t="s">
        <v>29</v>
      </c>
      <c r="J40" s="47">
        <v>0</v>
      </c>
      <c r="K40" s="5">
        <v>0.7</v>
      </c>
      <c r="L40" s="5">
        <v>4.3</v>
      </c>
      <c r="M40" s="5">
        <v>19.119</v>
      </c>
      <c r="N40" s="5">
        <v>233.626</v>
      </c>
    </row>
    <row r="41" spans="2:14">
      <c r="B41" s="1" t="s">
        <v>124</v>
      </c>
      <c r="C41" s="39">
        <v>0</v>
      </c>
      <c r="D41" s="39">
        <v>0</v>
      </c>
      <c r="E41" s="39">
        <v>0</v>
      </c>
      <c r="F41" s="58" t="s">
        <v>138</v>
      </c>
      <c r="G41" s="58">
        <v>9.1419999999999995</v>
      </c>
      <c r="H41" s="23"/>
      <c r="I41" s="1" t="s">
        <v>30</v>
      </c>
      <c r="J41" s="5">
        <v>61.4</v>
      </c>
      <c r="K41" s="5">
        <v>12.5</v>
      </c>
      <c r="L41" s="5">
        <v>12.5</v>
      </c>
      <c r="M41" s="5">
        <v>10.144</v>
      </c>
      <c r="N41" s="5">
        <v>5.4329999999999998</v>
      </c>
    </row>
    <row r="42" spans="2:14">
      <c r="B42" s="7" t="s">
        <v>77</v>
      </c>
      <c r="C42" s="5">
        <f>SUM(C39:C41)</f>
        <v>70.7</v>
      </c>
      <c r="D42" s="5">
        <f>SUM(D39:D41)</f>
        <v>-34.5</v>
      </c>
      <c r="E42" s="5">
        <f>SUM(E39:E41)</f>
        <v>-4.5</v>
      </c>
      <c r="F42" s="52">
        <f>SUM(F39:F41)</f>
        <v>-97.572999999999993</v>
      </c>
      <c r="G42" s="52">
        <f>SUM(G39:G41)</f>
        <v>-13.692</v>
      </c>
      <c r="H42" s="23"/>
      <c r="I42" s="1" t="s">
        <v>31</v>
      </c>
      <c r="J42" s="5">
        <v>770.2</v>
      </c>
      <c r="K42" s="5">
        <v>50.9</v>
      </c>
      <c r="L42" s="5">
        <v>62.8</v>
      </c>
      <c r="M42" s="5">
        <v>11.643000000000001</v>
      </c>
      <c r="N42" s="5">
        <v>0.56499999999999995</v>
      </c>
    </row>
    <row r="43" spans="2:14">
      <c r="B43" s="1"/>
      <c r="C43" s="1"/>
      <c r="D43" s="1"/>
      <c r="E43" s="1"/>
      <c r="F43" s="59"/>
      <c r="G43" s="59"/>
      <c r="H43" s="23"/>
      <c r="I43" s="1" t="s">
        <v>32</v>
      </c>
      <c r="J43" s="5">
        <v>96.1</v>
      </c>
      <c r="K43" s="5">
        <v>413.4</v>
      </c>
      <c r="L43" s="5">
        <v>34.427999999999997</v>
      </c>
      <c r="M43" s="5">
        <v>968.22900000000004</v>
      </c>
      <c r="N43" s="74">
        <v>1604.7280000000001</v>
      </c>
    </row>
    <row r="44" spans="2:14">
      <c r="B44" s="9" t="s">
        <v>78</v>
      </c>
      <c r="C44" s="35">
        <f>C35+C42</f>
        <v>1293.2</v>
      </c>
      <c r="D44" s="35">
        <f>D35+D42</f>
        <v>1900.2999999999993</v>
      </c>
      <c r="E44" s="35">
        <f>E35+E42</f>
        <v>2164.3999999999978</v>
      </c>
      <c r="F44" s="53">
        <f>F35+F42</f>
        <v>2626.4730000000022</v>
      </c>
      <c r="G44" s="53">
        <f>G35+G42</f>
        <v>1240.3740000000012</v>
      </c>
      <c r="H44" s="23"/>
      <c r="I44" s="1" t="s">
        <v>129</v>
      </c>
      <c r="J44" s="5"/>
      <c r="K44" s="5"/>
      <c r="L44" s="5">
        <v>780</v>
      </c>
      <c r="M44" s="5">
        <v>-11.449</v>
      </c>
      <c r="N44" s="5">
        <v>189.98099999999999</v>
      </c>
    </row>
    <row r="45" spans="2:14">
      <c r="B45" s="25" t="s">
        <v>53</v>
      </c>
      <c r="C45" s="27"/>
      <c r="D45" s="27">
        <f>IF(D44/C44-1&gt;100%,"N.A.",IF(D44/C44-1&lt;-100%,"N.A.",(D44/C44-1)))</f>
        <v>0.46945561398082214</v>
      </c>
      <c r="E45" s="27">
        <f>IF(E44/D44-1&gt;100%,"N.A.",IF(E44/D44-1&lt;-100%,"N.A.",(E44/D44-1)))</f>
        <v>0.13897805609640512</v>
      </c>
      <c r="F45" s="27">
        <f>IF(F44/E44-1&gt;100%,"N.A.",IF(F44/E44-1&lt;-100%,"N.A.",(F44/E44-1)))</f>
        <v>0.21348780262428613</v>
      </c>
      <c r="G45" s="27"/>
      <c r="H45" s="23"/>
      <c r="I45" s="9" t="s">
        <v>33</v>
      </c>
      <c r="J45" s="75">
        <f>SUM(J35:J44)</f>
        <v>10281.500000000002</v>
      </c>
      <c r="K45" s="75">
        <f>SUM(K35:K44)</f>
        <v>11630</v>
      </c>
      <c r="L45" s="75">
        <f>SUM(L35:L44)</f>
        <v>13456.227999999997</v>
      </c>
      <c r="M45" s="75">
        <f>SUM(M35:M44)</f>
        <v>13170.464999999998</v>
      </c>
      <c r="N45" s="75">
        <f>SUM(N35:N44)</f>
        <v>13262.981</v>
      </c>
    </row>
    <row r="46" spans="2:14">
      <c r="B46" s="25" t="s">
        <v>62</v>
      </c>
      <c r="C46" s="27"/>
      <c r="D46" s="27"/>
      <c r="E46" s="27">
        <f>IF((E44/C44)^(1/3)-1&lt;-100%,"N.A.",IF((E44/C44)^(1/3)-1&gt;100%,"N.A.",((E44/C44)^(1/3)-1)))</f>
        <v>0.18729127529592016</v>
      </c>
      <c r="F46" s="27">
        <f>IF((F44/C44)^(1/3)-1&lt;-100%,"N.A.",IF((F44/D44)^(1/3)-1&gt;100%,"N.A.",((F44/D44)^(1/3)-1)))</f>
        <v>0.11391039662182445</v>
      </c>
      <c r="G46" s="27"/>
      <c r="H46" s="23"/>
      <c r="I46" s="7" t="s">
        <v>34</v>
      </c>
      <c r="J46" s="5"/>
      <c r="K46" s="5"/>
      <c r="L46" s="5"/>
      <c r="M46" s="5"/>
      <c r="N46" s="5"/>
    </row>
    <row r="47" spans="2:14">
      <c r="B47" s="1" t="s">
        <v>81</v>
      </c>
      <c r="C47" s="5"/>
      <c r="D47" s="5"/>
      <c r="E47" s="5"/>
      <c r="F47" s="52"/>
      <c r="G47" s="52"/>
      <c r="H47" s="23"/>
      <c r="I47" s="1" t="s">
        <v>35</v>
      </c>
      <c r="J47" s="5"/>
      <c r="K47" s="5"/>
      <c r="L47" s="5"/>
      <c r="M47" s="5"/>
      <c r="N47" s="5"/>
    </row>
    <row r="48" spans="2:14">
      <c r="B48" s="3" t="s">
        <v>79</v>
      </c>
      <c r="C48" s="40">
        <v>13.49</v>
      </c>
      <c r="D48" s="40">
        <v>21.35</v>
      </c>
      <c r="E48" s="40">
        <v>23.93</v>
      </c>
      <c r="F48" s="63">
        <v>30.06</v>
      </c>
      <c r="G48" s="63">
        <v>13.84</v>
      </c>
      <c r="H48" s="23"/>
      <c r="I48" s="1" t="s">
        <v>36</v>
      </c>
      <c r="J48" s="5">
        <f>J10</f>
        <v>5.5</v>
      </c>
      <c r="K48" s="5">
        <f>K10</f>
        <v>1.8</v>
      </c>
      <c r="L48" s="5">
        <f>L10</f>
        <v>0.4</v>
      </c>
      <c r="M48" s="74">
        <v>1035.556</v>
      </c>
      <c r="N48" s="74">
        <v>2007.3150000000001</v>
      </c>
    </row>
    <row r="49" spans="2:14">
      <c r="B49" s="3" t="s">
        <v>80</v>
      </c>
      <c r="C49" s="40">
        <v>13.49</v>
      </c>
      <c r="D49" s="40">
        <v>21.35</v>
      </c>
      <c r="E49" s="40">
        <v>23.93</v>
      </c>
      <c r="F49" s="63">
        <v>30.04</v>
      </c>
      <c r="G49" s="63">
        <v>13.82</v>
      </c>
      <c r="H49" s="23"/>
      <c r="I49" s="1" t="s">
        <v>125</v>
      </c>
      <c r="J49" s="5">
        <v>15.3</v>
      </c>
      <c r="K49" s="5">
        <v>5.3</v>
      </c>
      <c r="L49" s="5">
        <v>166.6</v>
      </c>
      <c r="M49" s="5">
        <v>116.68899999999999</v>
      </c>
      <c r="N49" s="5">
        <v>541.90599999999995</v>
      </c>
    </row>
    <row r="50" spans="2:14">
      <c r="B50" s="25" t="s">
        <v>53</v>
      </c>
      <c r="C50" s="27"/>
      <c r="D50" s="27">
        <f>IF(D49/C49-1&gt;100%,"N.A.",IF(D49/C49-1&lt;-100%,"N.A.",(D49/C49-1)))</f>
        <v>0.5826538176426983</v>
      </c>
      <c r="E50" s="27">
        <f>IF(E49/D49-1&gt;100%,"N.A.",IF(E49/D49-1&lt;-100%,"N.A.",(E49/D49-1)))</f>
        <v>0.12084309133489457</v>
      </c>
      <c r="F50" s="27">
        <f>IF(F49/E49-1&gt;100%,"N.A.",IF(F49/E49-1&lt;-100%,"N.A.",(F49/E49-1)))</f>
        <v>0.25532804011700794</v>
      </c>
      <c r="G50" s="27"/>
      <c r="H50" s="23"/>
      <c r="I50" s="1" t="s">
        <v>126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</row>
    <row r="51" spans="2:14">
      <c r="B51" s="25" t="s">
        <v>62</v>
      </c>
      <c r="C51" s="27"/>
      <c r="D51" s="27"/>
      <c r="E51" s="27">
        <f>IF((E49/C49)^(1/3)-1&lt;-100%,"N.A.",IF((E49/C49)^(1/3)-1&gt;100%,"N.A.",((E49/C49)^(1/3)-1)))</f>
        <v>0.21053378936495193</v>
      </c>
      <c r="F51" s="27">
        <f>IF((F49/C49)^(1/3)-1&lt;-100%,"N.A.",IF((F49/C49)^(1/3)-1&gt;100%,"N.A.",((F49/C49)^(1/3)-1)))</f>
        <v>0.30585811695170184</v>
      </c>
      <c r="G51" s="27"/>
      <c r="H51" s="23"/>
      <c r="I51" s="1" t="s">
        <v>37</v>
      </c>
      <c r="J51" s="43">
        <v>0</v>
      </c>
      <c r="K51" s="5">
        <v>53.6</v>
      </c>
      <c r="L51" s="43">
        <v>60.6</v>
      </c>
      <c r="M51" s="43">
        <v>81.177999999999997</v>
      </c>
      <c r="N51" s="43">
        <v>66.837000000000003</v>
      </c>
    </row>
    <row r="52" spans="2:14">
      <c r="E52" s="8"/>
      <c r="F52" s="60"/>
      <c r="G52" s="60"/>
      <c r="H52" s="23"/>
      <c r="I52" s="1" t="s">
        <v>38</v>
      </c>
      <c r="J52" s="5">
        <v>706.7</v>
      </c>
      <c r="K52" s="5">
        <v>788.4</v>
      </c>
      <c r="L52" s="43">
        <v>1079.2</v>
      </c>
      <c r="M52" s="43">
        <v>1284.0409999999999</v>
      </c>
      <c r="N52" s="43">
        <v>1315.2670000000001</v>
      </c>
    </row>
    <row r="53" spans="2:14">
      <c r="B53" s="17" t="s">
        <v>92</v>
      </c>
      <c r="C53" s="15" t="s">
        <v>1</v>
      </c>
      <c r="D53" s="15" t="s">
        <v>2</v>
      </c>
      <c r="E53" s="15" t="s">
        <v>131</v>
      </c>
      <c r="F53" s="15" t="s">
        <v>139</v>
      </c>
      <c r="G53" s="15" t="s">
        <v>144</v>
      </c>
      <c r="H53" s="23"/>
      <c r="I53" s="1" t="s">
        <v>140</v>
      </c>
      <c r="J53" s="43">
        <v>0</v>
      </c>
      <c r="K53" s="43">
        <v>0</v>
      </c>
      <c r="L53" s="43">
        <v>0</v>
      </c>
      <c r="M53" s="43">
        <v>77.027000000000001</v>
      </c>
      <c r="N53" s="43">
        <v>159.43899999999999</v>
      </c>
    </row>
    <row r="54" spans="2:14">
      <c r="B54" s="7" t="s">
        <v>86</v>
      </c>
      <c r="C54" s="41">
        <v>53.3</v>
      </c>
      <c r="D54" s="41">
        <f>C59</f>
        <v>832.7</v>
      </c>
      <c r="E54" s="41">
        <f>D59</f>
        <v>121.29999999999995</v>
      </c>
      <c r="F54" s="41">
        <f>E59</f>
        <v>236.40000000000003</v>
      </c>
      <c r="G54" s="41">
        <f>F59</f>
        <v>67.387999999999977</v>
      </c>
      <c r="H54" s="23"/>
      <c r="I54" s="9" t="s">
        <v>39</v>
      </c>
      <c r="J54" s="35">
        <f>SUM(J48:J53)</f>
        <v>727.5</v>
      </c>
      <c r="K54" s="35">
        <f>SUM(K48:K53)</f>
        <v>849.1</v>
      </c>
      <c r="L54" s="75">
        <f>SUM(L48:L53)</f>
        <v>1306.8</v>
      </c>
      <c r="M54" s="75">
        <f>SUM(M48:M53)</f>
        <v>2594.491</v>
      </c>
      <c r="N54" s="75">
        <f>SUM(N48:N53)</f>
        <v>4090.7639999999997</v>
      </c>
    </row>
    <row r="55" spans="2:14">
      <c r="B55" s="3" t="s">
        <v>82</v>
      </c>
      <c r="C55" s="41">
        <v>-437</v>
      </c>
      <c r="D55" s="41">
        <v>2501.1999999999998</v>
      </c>
      <c r="E55" s="41">
        <v>2163.6</v>
      </c>
      <c r="F55" s="41">
        <v>3315.6149999999998</v>
      </c>
      <c r="G55" s="41">
        <v>996.13300000000004</v>
      </c>
      <c r="H55" s="23"/>
      <c r="I55" s="7" t="s">
        <v>40</v>
      </c>
      <c r="J55" s="5"/>
      <c r="K55" s="5"/>
      <c r="L55" s="5"/>
      <c r="M55" s="5"/>
      <c r="N55" s="5"/>
    </row>
    <row r="56" spans="2:14">
      <c r="B56" s="3" t="s">
        <v>83</v>
      </c>
      <c r="C56" s="41">
        <v>-1387.4</v>
      </c>
      <c r="D56" s="41">
        <v>-1578</v>
      </c>
      <c r="E56" s="41">
        <v>-2145.6999999999998</v>
      </c>
      <c r="F56" s="41">
        <v>-4138.9769999999999</v>
      </c>
      <c r="G56" s="41">
        <v>-2220.473</v>
      </c>
      <c r="H56" s="23"/>
      <c r="I56" s="1" t="s">
        <v>35</v>
      </c>
      <c r="J56" s="5"/>
      <c r="K56" s="5"/>
      <c r="L56" s="5"/>
      <c r="M56" s="5"/>
      <c r="N56" s="5"/>
    </row>
    <row r="57" spans="2:14">
      <c r="B57" s="3" t="s">
        <v>84</v>
      </c>
      <c r="C57" s="41">
        <v>2603.8000000000002</v>
      </c>
      <c r="D57" s="41">
        <v>-1634.6</v>
      </c>
      <c r="E57" s="41">
        <v>97.2</v>
      </c>
      <c r="F57" s="41">
        <v>654.35</v>
      </c>
      <c r="G57" s="41">
        <v>1478.9390000000001</v>
      </c>
      <c r="H57" s="23"/>
      <c r="I57" s="1" t="s">
        <v>36</v>
      </c>
      <c r="J57" s="74">
        <f>J11</f>
        <v>3377.3</v>
      </c>
      <c r="K57" s="74">
        <f>K11</f>
        <v>2141.5</v>
      </c>
      <c r="L57" s="74">
        <f>L11</f>
        <v>2640.6</v>
      </c>
      <c r="M57" s="74">
        <v>2927.9670000000001</v>
      </c>
      <c r="N57" s="74">
        <v>3881.3690000000001</v>
      </c>
    </row>
    <row r="58" spans="2:14">
      <c r="B58" s="31" t="s">
        <v>87</v>
      </c>
      <c r="C58" s="34">
        <f t="shared" ref="C58:E58" si="5">SUM(C55:C57)</f>
        <v>779.40000000000009</v>
      </c>
      <c r="D58" s="34">
        <f>SUM(D55:D57)</f>
        <v>-711.40000000000009</v>
      </c>
      <c r="E58" s="34">
        <f t="shared" si="5"/>
        <v>115.10000000000009</v>
      </c>
      <c r="F58" s="34">
        <f>SUM(F55:F57)</f>
        <v>-169.01200000000006</v>
      </c>
      <c r="G58" s="34">
        <f>SUM(G55:G57)</f>
        <v>254.59900000000016</v>
      </c>
      <c r="H58" s="23"/>
      <c r="I58" s="1" t="s">
        <v>125</v>
      </c>
      <c r="J58" s="43">
        <v>0</v>
      </c>
      <c r="K58" s="43">
        <v>4.4000000000000004</v>
      </c>
      <c r="L58" s="5">
        <v>44.9</v>
      </c>
      <c r="M58" s="5">
        <v>50.94</v>
      </c>
      <c r="N58" s="5">
        <v>157.18799999999999</v>
      </c>
    </row>
    <row r="59" spans="2:14">
      <c r="B59" s="16" t="s">
        <v>85</v>
      </c>
      <c r="C59" s="36">
        <f t="shared" ref="C59:E59" si="6">C54+C58</f>
        <v>832.7</v>
      </c>
      <c r="D59" s="36">
        <f t="shared" si="6"/>
        <v>121.29999999999995</v>
      </c>
      <c r="E59" s="36">
        <f t="shared" si="6"/>
        <v>236.40000000000003</v>
      </c>
      <c r="F59" s="36">
        <f>F54+F58</f>
        <v>67.387999999999977</v>
      </c>
      <c r="G59" s="36">
        <f>G54+G58</f>
        <v>321.98700000000014</v>
      </c>
      <c r="H59" s="23"/>
      <c r="I59" s="1" t="s">
        <v>130</v>
      </c>
      <c r="J59" s="76">
        <f>SUM(J60:J61)</f>
        <v>2145.8000000000002</v>
      </c>
      <c r="K59" s="76">
        <f>SUM(K60:K61)</f>
        <v>3395</v>
      </c>
      <c r="L59" s="76">
        <f>SUM(L60:L61)</f>
        <v>3783.2</v>
      </c>
      <c r="M59" s="76">
        <f>SUM(M60:M61)</f>
        <v>2778.3040000000001</v>
      </c>
      <c r="N59" s="76">
        <f>SUM(N60:N61)</f>
        <v>2854.0219999999999</v>
      </c>
    </row>
    <row r="60" spans="2:14">
      <c r="H60" s="23"/>
      <c r="I60" s="1" t="s">
        <v>127</v>
      </c>
      <c r="J60" s="5">
        <v>211.4</v>
      </c>
      <c r="K60" s="5">
        <v>126.5</v>
      </c>
      <c r="L60" s="5">
        <v>189</v>
      </c>
      <c r="M60" s="5">
        <v>115.206</v>
      </c>
      <c r="N60" s="5">
        <v>9.6920000000000002</v>
      </c>
    </row>
    <row r="61" spans="2:14">
      <c r="B61" s="17" t="s">
        <v>91</v>
      </c>
      <c r="C61" s="18" t="s">
        <v>1</v>
      </c>
      <c r="D61" s="15" t="s">
        <v>2</v>
      </c>
      <c r="E61" s="15" t="s">
        <v>131</v>
      </c>
      <c r="F61" s="15" t="s">
        <v>139</v>
      </c>
      <c r="G61" s="15" t="s">
        <v>144</v>
      </c>
      <c r="H61" s="23"/>
      <c r="I61" s="1" t="s">
        <v>128</v>
      </c>
      <c r="J61" s="74">
        <v>1934.4</v>
      </c>
      <c r="K61" s="74">
        <v>3268.5</v>
      </c>
      <c r="L61" s="74">
        <v>3594.2</v>
      </c>
      <c r="M61" s="74">
        <v>2663.098</v>
      </c>
      <c r="N61" s="74">
        <v>2844.33</v>
      </c>
    </row>
    <row r="62" spans="2:14">
      <c r="B62" s="1" t="s">
        <v>88</v>
      </c>
      <c r="C62" s="42">
        <f>C55</f>
        <v>-437</v>
      </c>
      <c r="D62" s="42">
        <f t="shared" ref="D62" si="7">D55</f>
        <v>2501.1999999999998</v>
      </c>
      <c r="E62" s="42">
        <f>E55</f>
        <v>2163.6</v>
      </c>
      <c r="F62" s="42">
        <f>F55</f>
        <v>3315.6149999999998</v>
      </c>
      <c r="G62" s="42">
        <f>G55</f>
        <v>996.13300000000004</v>
      </c>
      <c r="H62" s="23"/>
      <c r="I62" s="1" t="s">
        <v>51</v>
      </c>
      <c r="J62" s="5">
        <v>118.9</v>
      </c>
      <c r="K62" s="5">
        <v>247.1</v>
      </c>
      <c r="L62" s="5">
        <v>302</v>
      </c>
      <c r="M62" s="5">
        <v>473.69</v>
      </c>
      <c r="N62" s="5">
        <v>815.42899999999997</v>
      </c>
    </row>
    <row r="63" spans="2:14">
      <c r="B63" s="19" t="s">
        <v>89</v>
      </c>
      <c r="C63" s="42"/>
      <c r="D63" s="42">
        <f>K19-J19+D18</f>
        <v>2067.4</v>
      </c>
      <c r="E63" s="42">
        <f>L19-K19+E18</f>
        <v>1447.2000000000012</v>
      </c>
      <c r="F63" s="42">
        <f>M19-L19+F18</f>
        <v>1813.7119999999986</v>
      </c>
      <c r="G63" s="42">
        <f>2164.738</f>
        <v>2164.7379999999998</v>
      </c>
      <c r="H63" s="23"/>
      <c r="I63" s="1" t="s">
        <v>41</v>
      </c>
      <c r="J63" s="5"/>
      <c r="K63" s="5">
        <v>128</v>
      </c>
      <c r="L63" s="5">
        <v>110</v>
      </c>
      <c r="M63" s="5">
        <v>171.00700000000001</v>
      </c>
      <c r="N63" s="5">
        <v>278.65300000000002</v>
      </c>
    </row>
    <row r="64" spans="2:14">
      <c r="B64" s="2" t="s">
        <v>90</v>
      </c>
      <c r="C64" s="37">
        <f>C62-C63</f>
        <v>-437</v>
      </c>
      <c r="D64" s="37">
        <f>D62-D63</f>
        <v>433.79999999999973</v>
      </c>
      <c r="E64" s="37">
        <f>E62-E63</f>
        <v>716.39999999999873</v>
      </c>
      <c r="F64" s="37">
        <f>F62-F63</f>
        <v>1501.9030000000012</v>
      </c>
      <c r="G64" s="73">
        <f>G62-G63</f>
        <v>-1168.6049999999998</v>
      </c>
      <c r="H64" s="23"/>
      <c r="I64" s="1" t="s">
        <v>42</v>
      </c>
      <c r="J64" s="5">
        <v>89.6</v>
      </c>
      <c r="K64" s="5">
        <v>55</v>
      </c>
      <c r="L64" s="5">
        <v>63.1</v>
      </c>
      <c r="M64" s="5">
        <v>117.383</v>
      </c>
      <c r="N64" s="5">
        <v>119.565</v>
      </c>
    </row>
    <row r="65" spans="2:14">
      <c r="F65" s="61"/>
      <c r="G65" s="61"/>
      <c r="H65" s="23"/>
      <c r="I65" s="1" t="s">
        <v>141</v>
      </c>
      <c r="J65" s="5">
        <v>75</v>
      </c>
      <c r="K65" s="47">
        <v>35.200000000000003</v>
      </c>
      <c r="L65" s="47">
        <v>0</v>
      </c>
      <c r="M65" s="47"/>
      <c r="N65" s="47" t="s">
        <v>138</v>
      </c>
    </row>
    <row r="66" spans="2:14">
      <c r="B66" s="17" t="s">
        <v>110</v>
      </c>
      <c r="C66" s="15" t="s">
        <v>1</v>
      </c>
      <c r="D66" s="15" t="s">
        <v>2</v>
      </c>
      <c r="E66" s="15" t="s">
        <v>131</v>
      </c>
      <c r="F66" s="62" t="s">
        <v>139</v>
      </c>
      <c r="G66" s="62" t="s">
        <v>146</v>
      </c>
      <c r="H66" s="23"/>
      <c r="I66" s="9" t="s">
        <v>43</v>
      </c>
      <c r="J66" s="75">
        <f>SUM(J60:J65)+J57</f>
        <v>5806.6</v>
      </c>
      <c r="K66" s="75">
        <f>SUM(K60:K65)+K57+K58</f>
        <v>6006.1999999999989</v>
      </c>
      <c r="L66" s="75">
        <f>SUM(L60:L65)+L57+L58</f>
        <v>6943.7999999999993</v>
      </c>
      <c r="M66" s="75">
        <f>SUM(M60:M65)+M57+M58</f>
        <v>6519.2910000000002</v>
      </c>
      <c r="N66" s="75">
        <f>SUM(N60:N65)+N57+N58</f>
        <v>8106.2260000000006</v>
      </c>
    </row>
    <row r="67" spans="2:14">
      <c r="B67" s="1" t="s">
        <v>134</v>
      </c>
      <c r="C67" s="43">
        <v>0</v>
      </c>
      <c r="D67" s="44">
        <f>90626008/1000000</f>
        <v>90.626007999999999</v>
      </c>
      <c r="E67" s="44">
        <f>90626008/1000000</f>
        <v>90.626007999999999</v>
      </c>
      <c r="F67" s="44">
        <f>90634624/1000000</f>
        <v>90.634624000000002</v>
      </c>
      <c r="G67" s="44">
        <f>90647294/1000000</f>
        <v>90.647294000000002</v>
      </c>
      <c r="H67" s="23"/>
      <c r="I67" s="1"/>
      <c r="J67" s="5"/>
      <c r="K67" s="5"/>
      <c r="L67" s="5"/>
      <c r="M67" s="5"/>
      <c r="N67" s="5"/>
    </row>
    <row r="68" spans="2:14">
      <c r="B68" s="1" t="s">
        <v>135</v>
      </c>
      <c r="C68" s="43">
        <v>0</v>
      </c>
      <c r="D68" s="45">
        <v>5</v>
      </c>
      <c r="E68" s="1">
        <v>5</v>
      </c>
      <c r="F68" s="1">
        <v>5</v>
      </c>
      <c r="G68" s="1">
        <v>5</v>
      </c>
      <c r="H68" s="23"/>
      <c r="I68" s="9" t="s">
        <v>44</v>
      </c>
      <c r="J68" s="75">
        <f>J45-J66</f>
        <v>4474.9000000000015</v>
      </c>
      <c r="K68" s="75">
        <f>K45-K66</f>
        <v>5623.8000000000011</v>
      </c>
      <c r="L68" s="75">
        <f>L45-L66</f>
        <v>6512.4279999999981</v>
      </c>
      <c r="M68" s="75">
        <f>M45-M66</f>
        <v>6651.1739999999982</v>
      </c>
      <c r="N68" s="75">
        <f>N45-N66</f>
        <v>5156.7549999999992</v>
      </c>
    </row>
    <row r="69" spans="2:14">
      <c r="B69" s="19" t="s">
        <v>136</v>
      </c>
      <c r="C69" s="43">
        <v>0</v>
      </c>
      <c r="D69" s="46">
        <f>K75*D67</f>
        <v>24890.433097199999</v>
      </c>
      <c r="E69" s="46">
        <f>L75*E67</f>
        <v>39422.313479999997</v>
      </c>
      <c r="F69" s="46">
        <f>M75*F67</f>
        <v>67844.547795199993</v>
      </c>
      <c r="G69" s="46">
        <f>N75*G67</f>
        <v>68193.959276199996</v>
      </c>
      <c r="H69" s="23"/>
      <c r="I69" s="1"/>
      <c r="J69" s="5"/>
      <c r="K69" s="5"/>
      <c r="L69" s="5"/>
      <c r="M69" s="5"/>
      <c r="N69" s="5"/>
    </row>
    <row r="70" spans="2:14">
      <c r="B70" s="19" t="s">
        <v>93</v>
      </c>
      <c r="C70" s="42">
        <f>J12</f>
        <v>3382.8</v>
      </c>
      <c r="D70" s="42">
        <f t="shared" ref="D70" si="8">K12</f>
        <v>2143.3000000000002</v>
      </c>
      <c r="E70" s="42">
        <f>L12</f>
        <v>2641</v>
      </c>
      <c r="F70" s="42">
        <f>M12</f>
        <v>3963.5230000000001</v>
      </c>
      <c r="G70" s="42">
        <f>N12</f>
        <v>5888.6840000000002</v>
      </c>
      <c r="H70" s="23"/>
      <c r="I70" s="9" t="s">
        <v>45</v>
      </c>
      <c r="J70" s="75">
        <f>J45+J32</f>
        <v>20399.099999999999</v>
      </c>
      <c r="K70" s="75">
        <f>K45+K32</f>
        <v>22440.1</v>
      </c>
      <c r="L70" s="75">
        <f>L45+L32</f>
        <v>25820.827999999998</v>
      </c>
      <c r="M70" s="75">
        <f>M45+M32</f>
        <v>29012.845000000001</v>
      </c>
      <c r="N70" s="75">
        <f>N45+N32</f>
        <v>32659.046999999999</v>
      </c>
    </row>
    <row r="71" spans="2:14">
      <c r="B71" s="19" t="s">
        <v>94</v>
      </c>
      <c r="C71" s="42">
        <f>J39+J40</f>
        <v>832.7</v>
      </c>
      <c r="D71" s="42">
        <f>K39+K40</f>
        <v>121.9</v>
      </c>
      <c r="E71" s="42">
        <f>L39+L40</f>
        <v>240.60000000000002</v>
      </c>
      <c r="F71" s="42">
        <f>M39+M40</f>
        <v>86.456000000000003</v>
      </c>
      <c r="G71" s="42">
        <f>N39+N40</f>
        <v>555.56200000000001</v>
      </c>
      <c r="H71" s="23"/>
      <c r="I71" s="9" t="s">
        <v>46</v>
      </c>
      <c r="J71" s="75">
        <f>J54+J66</f>
        <v>6534.1</v>
      </c>
      <c r="K71" s="75">
        <f>K54+K66</f>
        <v>6855.2999999999993</v>
      </c>
      <c r="L71" s="75">
        <f>L54+L66</f>
        <v>8250.5999999999985</v>
      </c>
      <c r="M71" s="75">
        <f>M54+M66</f>
        <v>9113.7819999999992</v>
      </c>
      <c r="N71" s="75">
        <f>N54+N66</f>
        <v>12196.99</v>
      </c>
    </row>
    <row r="72" spans="2:14">
      <c r="B72" s="2" t="s">
        <v>95</v>
      </c>
      <c r="C72" s="38">
        <f>SUM(C69:C70)-C71</f>
        <v>2550.1000000000004</v>
      </c>
      <c r="D72" s="38">
        <f>SUM(D69:D70)-D71</f>
        <v>26911.833097199997</v>
      </c>
      <c r="E72" s="38">
        <f>SUM(E69:E70)-E71</f>
        <v>41822.713479999999</v>
      </c>
      <c r="F72" s="38">
        <f>SUM(F69:F70)-F71</f>
        <v>71721.614795199988</v>
      </c>
      <c r="G72" s="38">
        <f>SUM(G69:G70)-G71</f>
        <v>73527.081276199984</v>
      </c>
      <c r="H72" s="23"/>
      <c r="I72" s="9" t="s">
        <v>47</v>
      </c>
      <c r="J72" s="75">
        <f>J71+J7</f>
        <v>20398.900000000001</v>
      </c>
      <c r="K72" s="75">
        <f>K71+K7</f>
        <v>22440.1</v>
      </c>
      <c r="L72" s="75">
        <f>L71+L7</f>
        <v>25820.999999999996</v>
      </c>
      <c r="M72" s="75">
        <f>M71+M7</f>
        <v>29012.845999999998</v>
      </c>
      <c r="N72" s="75">
        <f>N71+N7</f>
        <v>32659.006999999998</v>
      </c>
    </row>
    <row r="73" spans="2:14">
      <c r="H73" s="23"/>
      <c r="J73" s="8"/>
      <c r="K73" s="8"/>
      <c r="L73" s="8"/>
    </row>
    <row r="74" spans="2:14">
      <c r="H74" s="23"/>
      <c r="I74" s="17" t="s">
        <v>116</v>
      </c>
      <c r="J74" s="15" t="s">
        <v>1</v>
      </c>
      <c r="K74" s="15" t="s">
        <v>2</v>
      </c>
      <c r="L74" s="15" t="s">
        <v>131</v>
      </c>
      <c r="M74" s="15" t="s">
        <v>139</v>
      </c>
      <c r="N74" s="15" t="s">
        <v>146</v>
      </c>
    </row>
    <row r="75" spans="2:14">
      <c r="H75" s="23"/>
      <c r="I75" s="1" t="s">
        <v>114</v>
      </c>
      <c r="J75" s="33"/>
      <c r="K75" s="33">
        <v>274.64999999999998</v>
      </c>
      <c r="L75" s="33">
        <v>435</v>
      </c>
      <c r="M75" s="33">
        <v>748.55</v>
      </c>
      <c r="N75" s="33">
        <v>752.3</v>
      </c>
    </row>
    <row r="76" spans="2:14">
      <c r="H76" s="23"/>
      <c r="I76" s="24" t="s">
        <v>113</v>
      </c>
      <c r="J76" s="33">
        <f>C49</f>
        <v>13.49</v>
      </c>
      <c r="K76" s="33">
        <f t="shared" ref="K76:L76" si="9">D49</f>
        <v>21.35</v>
      </c>
      <c r="L76" s="33">
        <f t="shared" si="9"/>
        <v>23.93</v>
      </c>
      <c r="M76" s="33">
        <f>F49</f>
        <v>30.04</v>
      </c>
      <c r="N76" s="33">
        <f>M76+13.82-20.3</f>
        <v>23.56</v>
      </c>
    </row>
    <row r="77" spans="2:14">
      <c r="H77" s="23"/>
      <c r="I77" s="24" t="s">
        <v>111</v>
      </c>
      <c r="J77" s="33">
        <v>0</v>
      </c>
      <c r="K77" s="33">
        <f>K8/D67</f>
        <v>171.96829413472565</v>
      </c>
      <c r="L77" s="33">
        <f>L8/E67</f>
        <v>193.878119402545</v>
      </c>
      <c r="M77" s="33">
        <f>M8/F67</f>
        <v>219.55256304698742</v>
      </c>
      <c r="N77" s="39" t="s">
        <v>145</v>
      </c>
    </row>
    <row r="78" spans="2:14">
      <c r="H78" s="23"/>
      <c r="I78" s="24" t="s">
        <v>112</v>
      </c>
      <c r="J78" s="33">
        <v>0</v>
      </c>
      <c r="K78" s="33">
        <v>0</v>
      </c>
      <c r="L78" s="39">
        <v>2</v>
      </c>
      <c r="M78" s="39">
        <v>2.5</v>
      </c>
      <c r="N78" s="39" t="s">
        <v>145</v>
      </c>
    </row>
    <row r="79" spans="2:14">
      <c r="H79" s="23"/>
      <c r="I79" s="24" t="s">
        <v>96</v>
      </c>
      <c r="J79" s="33">
        <f>J75/J76</f>
        <v>0</v>
      </c>
      <c r="K79" s="33">
        <f>K75/K76</f>
        <v>12.864168618266977</v>
      </c>
      <c r="L79" s="33">
        <f>L75/L76</f>
        <v>18.178019222732971</v>
      </c>
      <c r="M79" s="33">
        <f>M75/M76</f>
        <v>24.91844207723036</v>
      </c>
      <c r="N79" s="33">
        <f>N75/N76</f>
        <v>31.931239388794566</v>
      </c>
    </row>
    <row r="80" spans="2:14">
      <c r="H80" s="23"/>
      <c r="I80" s="24" t="s">
        <v>97</v>
      </c>
      <c r="J80" s="33">
        <v>0</v>
      </c>
      <c r="K80" s="33">
        <f>K75/K77</f>
        <v>1.5970967286843589</v>
      </c>
      <c r="L80" s="51">
        <f>L75/L77</f>
        <v>2.2436776328370445</v>
      </c>
      <c r="M80" s="51">
        <f>M75/M77</f>
        <v>3.4094341218863358</v>
      </c>
      <c r="N80" s="39" t="s">
        <v>145</v>
      </c>
    </row>
    <row r="81" spans="3:14">
      <c r="H81" s="23"/>
      <c r="I81" s="24" t="s">
        <v>98</v>
      </c>
      <c r="J81" s="33">
        <f>C72/C13</f>
        <v>1.2322300072481278</v>
      </c>
      <c r="K81" s="33">
        <f>D72/D13</f>
        <v>7.8680368077417846</v>
      </c>
      <c r="L81" s="33">
        <f>E72/E13</f>
        <v>10.833777194073159</v>
      </c>
      <c r="M81" s="33">
        <f>F72/F13</f>
        <v>15.444908612905287</v>
      </c>
      <c r="N81" s="39" t="s">
        <v>145</v>
      </c>
    </row>
    <row r="82" spans="3:14">
      <c r="H82" s="23"/>
      <c r="I82" s="24" t="s">
        <v>115</v>
      </c>
      <c r="J82" s="33">
        <v>0</v>
      </c>
      <c r="K82" s="33">
        <f>D5/AVERAGE(J72:K72)</f>
        <v>0.90815845374541881</v>
      </c>
      <c r="L82" s="33">
        <f>E5/AVERAGE(K72:L72)</f>
        <v>0.76774462248063147</v>
      </c>
      <c r="M82" s="33">
        <f>F5/AVERAGE(L72:M72)</f>
        <v>0.77144853198880137</v>
      </c>
      <c r="N82" s="39" t="s">
        <v>145</v>
      </c>
    </row>
    <row r="83" spans="3:14">
      <c r="C83" t="s">
        <v>137</v>
      </c>
      <c r="H83" s="23"/>
      <c r="I83" s="24" t="s">
        <v>99</v>
      </c>
      <c r="J83" s="48">
        <f>C35/J8</f>
        <v>8.8172927124805262E-2</v>
      </c>
      <c r="K83" s="48">
        <f>D35/K8</f>
        <v>0.12414660438375848</v>
      </c>
      <c r="L83" s="48">
        <f>E35/L8</f>
        <v>0.12344055912215988</v>
      </c>
      <c r="M83" s="48">
        <f>F35/M8</f>
        <v>0.13689317246278529</v>
      </c>
      <c r="N83" s="70" t="s">
        <v>145</v>
      </c>
    </row>
    <row r="84" spans="3:14">
      <c r="H84" s="23"/>
      <c r="I84" s="24" t="s">
        <v>100</v>
      </c>
      <c r="J84" s="48">
        <f>(C20+C19)/J14</f>
        <v>9.7022194392263256E-2</v>
      </c>
      <c r="K84" s="48">
        <f>(D20+D19)/K14</f>
        <v>0.15896796611029942</v>
      </c>
      <c r="L84" s="48">
        <f>(E20+E19)/L14</f>
        <v>0.15718851737138437</v>
      </c>
      <c r="M84" s="48">
        <f>(F20+F19)/M14</f>
        <v>0.16242404899351451</v>
      </c>
      <c r="N84" s="70" t="s">
        <v>145</v>
      </c>
    </row>
    <row r="85" spans="3:14">
      <c r="H85" s="23"/>
      <c r="I85" s="24" t="s">
        <v>101</v>
      </c>
      <c r="J85" s="33">
        <f>J12/J8</f>
        <v>0.24398476718019732</v>
      </c>
      <c r="K85" s="33">
        <f>K12/K8</f>
        <v>0.1375250243827319</v>
      </c>
      <c r="L85" s="33">
        <f>L12/L8</f>
        <v>0.15030961161954198</v>
      </c>
      <c r="M85" s="33">
        <f>M12/M8</f>
        <v>0.19918137858142476</v>
      </c>
      <c r="N85" s="70" t="s">
        <v>145</v>
      </c>
    </row>
    <row r="86" spans="3:14">
      <c r="H86" s="23"/>
      <c r="I86" s="24" t="s">
        <v>102</v>
      </c>
      <c r="J86" s="33">
        <f>(J12 -C71)/J8</f>
        <v>0.18392620160406209</v>
      </c>
      <c r="K86" s="33">
        <f>(K12 -D71)/K8</f>
        <v>0.12970330065191724</v>
      </c>
      <c r="L86" s="33">
        <f>(L12 -E71)/L8</f>
        <v>0.13661612712288851</v>
      </c>
      <c r="M86" s="33">
        <f>(M12 -F71)/M8</f>
        <v>0.19483665161336233</v>
      </c>
      <c r="N86" s="70" t="s">
        <v>145</v>
      </c>
    </row>
    <row r="87" spans="3:14">
      <c r="H87" s="23"/>
      <c r="I87" s="24" t="s">
        <v>103</v>
      </c>
      <c r="J87" s="33">
        <v>0</v>
      </c>
      <c r="K87" s="49">
        <f>K78/K75</f>
        <v>0</v>
      </c>
      <c r="L87" s="49">
        <f>L78/L75</f>
        <v>4.5977011494252873E-3</v>
      </c>
      <c r="M87" s="49">
        <f>M78/M75</f>
        <v>3.3397902611715987E-3</v>
      </c>
      <c r="N87" s="69" t="s">
        <v>145</v>
      </c>
    </row>
    <row r="88" spans="3:14">
      <c r="H88" s="23"/>
      <c r="I88" s="24" t="s">
        <v>109</v>
      </c>
      <c r="J88" s="50">
        <f>(C20+C19)/C19</f>
        <v>13.991638795986622</v>
      </c>
      <c r="K88" s="50">
        <f>(D20+D19)/D19</f>
        <v>13.388123515439426</v>
      </c>
      <c r="L88" s="50">
        <f>(E20+E19)/E19</f>
        <v>18.460197559558384</v>
      </c>
      <c r="M88" s="50">
        <f>(F20+F19)/F19</f>
        <v>14.410322571050408</v>
      </c>
      <c r="N88" s="68" t="s">
        <v>145</v>
      </c>
    </row>
    <row r="89" spans="3:14">
      <c r="H89" s="23"/>
      <c r="I89" s="24" t="s">
        <v>104</v>
      </c>
      <c r="J89" s="33">
        <f>AVERAGE(J38:J38)/C5*365</f>
        <v>114.57314532393286</v>
      </c>
      <c r="K89" s="33">
        <f>AVERAGE(J38:K38)/D5*365</f>
        <v>77.565994766685691</v>
      </c>
      <c r="L89" s="33">
        <f>AVERAGE(K38:L38)/E5*365</f>
        <v>95.499214621533952</v>
      </c>
      <c r="M89" s="33">
        <f>AVERAGE(L38:M38)/F5*365</f>
        <v>94.460458839629538</v>
      </c>
      <c r="N89" s="39" t="s">
        <v>145</v>
      </c>
    </row>
    <row r="90" spans="3:14">
      <c r="H90" s="23"/>
      <c r="I90" s="24" t="s">
        <v>105</v>
      </c>
      <c r="J90" s="33">
        <f>(AVERAGE(J59:J59)/(C8+C9+C10)*365)</f>
        <v>108.0135427728207</v>
      </c>
      <c r="K90" s="33">
        <f>(AVERAGE(J59:K59)/(D8+D9+D10)*365)</f>
        <v>86.444740801531935</v>
      </c>
      <c r="L90" s="33">
        <f>(AVERAGE(K59:L59)/(E8+E9+E10)*365)</f>
        <v>128.34288541421742</v>
      </c>
      <c r="M90" s="33">
        <f>(AVERAGE(L59:M59)/(F8+F9+F10)*365)</f>
        <v>106.17061515989104</v>
      </c>
      <c r="N90" s="39" t="s">
        <v>145</v>
      </c>
    </row>
    <row r="91" spans="3:14">
      <c r="H91" s="23"/>
      <c r="I91" s="24" t="s">
        <v>106</v>
      </c>
      <c r="J91" s="33">
        <f>AVERAGE(J35:J35)/(C9+C10+C8)*365</f>
        <v>239.32817089820855</v>
      </c>
      <c r="K91" s="33">
        <f>AVERAGE(J35:K35)/(D9+D10+D8)*365</f>
        <v>168.10450434277115</v>
      </c>
      <c r="L91" s="33">
        <f>AVERAGE(K35:L35)/(E9+E10+E8)*365</f>
        <v>222.58234383572378</v>
      </c>
      <c r="M91" s="33">
        <f>AVERAGE(L35:M35)/(F9+F10+F8)*365</f>
        <v>199.09537205946572</v>
      </c>
      <c r="N91" s="39" t="s">
        <v>145</v>
      </c>
    </row>
    <row r="92" spans="3:14">
      <c r="H92" s="23"/>
      <c r="I92" s="24" t="s">
        <v>107</v>
      </c>
      <c r="J92" s="33">
        <f>J91+J89-J90</f>
        <v>245.88777344932072</v>
      </c>
      <c r="K92" s="33">
        <f>K91+K89-K90</f>
        <v>159.22575830792491</v>
      </c>
      <c r="L92" s="33">
        <f>L91+L89-L90</f>
        <v>189.73867304304034</v>
      </c>
      <c r="M92" s="33">
        <f>M91+M89-M90</f>
        <v>187.38521573920423</v>
      </c>
      <c r="N92" s="39" t="s">
        <v>145</v>
      </c>
    </row>
    <row r="93" spans="3:14">
      <c r="H93" s="23"/>
      <c r="I93" s="24" t="s">
        <v>108</v>
      </c>
      <c r="J93" s="33">
        <f>(J45-J66)*365/C5</f>
        <v>136.11834758404592</v>
      </c>
      <c r="K93" s="33">
        <f>(K45-K66)*365/D5</f>
        <v>105.52412825218615</v>
      </c>
      <c r="L93" s="33">
        <f>(L45-L66)*365/E5</f>
        <v>128.30742681946009</v>
      </c>
      <c r="M93" s="33">
        <f>(M45-M66)*365/F5</f>
        <v>114.77981082935847</v>
      </c>
      <c r="N93" s="39" t="s">
        <v>145</v>
      </c>
    </row>
    <row r="94" spans="3:14">
      <c r="H94" s="23"/>
      <c r="M94" s="20"/>
      <c r="N94" s="21"/>
    </row>
    <row r="95" spans="3:14">
      <c r="J95" s="20"/>
      <c r="K95" s="20"/>
      <c r="L95" s="20"/>
      <c r="M95" s="22"/>
    </row>
    <row r="96" spans="3:14">
      <c r="M96" s="20"/>
      <c r="N96" s="20"/>
    </row>
    <row r="111" spans="5:7">
      <c r="E111" s="5"/>
      <c r="F111" s="8"/>
      <c r="G111" s="8"/>
    </row>
    <row r="112" spans="5:7">
      <c r="E112" s="1"/>
    </row>
  </sheetData>
  <mergeCells count="3">
    <mergeCell ref="I3:M3"/>
    <mergeCell ref="B2:M2"/>
    <mergeCell ref="B3:G3"/>
  </mergeCells>
  <phoneticPr fontId="14" type="noConversion"/>
  <pageMargins left="0.7" right="0.7" top="0.75" bottom="0.75" header="0.3" footer="0.3"/>
  <pageSetup scale="63" fitToWidth="0" orientation="portrait" r:id="rId1"/>
  <ignoredErrors>
    <ignoredError sqref="L59:N59 J59:K59 J12:N12 K89 K91:M91 L89:M8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83BC-F682-408B-8056-F446BB1B7489}">
  <dimension ref="A1"/>
  <sheetViews>
    <sheetView workbookViewId="0"/>
  </sheetViews>
  <sheetFormatPr defaultRowHeight="14.5"/>
  <sheetData>
    <row r="1" spans="1:1">
      <c r="A1" s="9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Hp</cp:lastModifiedBy>
  <cp:lastPrinted>2023-11-24T05:57:13Z</cp:lastPrinted>
  <dcterms:created xsi:type="dcterms:W3CDTF">2023-11-23T05:15:14Z</dcterms:created>
  <dcterms:modified xsi:type="dcterms:W3CDTF">2026-02-19T10:38:13Z</dcterms:modified>
</cp:coreProperties>
</file>