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8_{D697B6E9-ECF7-4559-A826-832DE872B4A6}" xr6:coauthVersionLast="47" xr6:coauthVersionMax="47" xr10:uidLastSave="{00000000-0000-0000-0000-000000000000}"/>
  <bookViews>
    <workbookView xWindow="-110" yWindow="-110" windowWidth="19420" windowHeight="10420" xr2:uid="{DE7C9ECD-EB14-47B5-93AF-E835EEB1D464}"/>
  </bookViews>
  <sheets>
    <sheet name="Sheet1" sheetId="1" r:id="rId1"/>
    <sheet name="Sheet2" sheetId="2" r:id="rId2"/>
  </sheets>
  <definedNames>
    <definedName name="_xlnm.Print_Area" localSheetId="0">Sheet1!$H$2:$N$59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5" i="1" l="1"/>
  <c r="M58" i="1"/>
  <c r="M59" i="1" s="1"/>
  <c r="M56" i="1"/>
  <c r="M51" i="1"/>
  <c r="M61" i="1"/>
  <c r="M60" i="1"/>
  <c r="N46" i="1"/>
  <c r="M36" i="1"/>
  <c r="J32" i="1"/>
  <c r="J25" i="1"/>
  <c r="J18" i="1"/>
  <c r="J14" i="1"/>
  <c r="N12" i="1"/>
  <c r="J12" i="1"/>
  <c r="J10" i="1"/>
  <c r="J54" i="1" s="1"/>
  <c r="J6" i="1"/>
  <c r="B51" i="1"/>
  <c r="E37" i="1"/>
  <c r="C36" i="1"/>
  <c r="B30" i="1"/>
  <c r="B28" i="1"/>
  <c r="C26" i="1"/>
  <c r="B25" i="1"/>
  <c r="B24" i="1"/>
  <c r="B20" i="1"/>
  <c r="F16" i="1"/>
  <c r="B16" i="1"/>
  <c r="E15" i="1"/>
  <c r="C14" i="1"/>
  <c r="D14" i="1"/>
  <c r="D13" i="1"/>
  <c r="F13" i="1"/>
  <c r="E6" i="1"/>
  <c r="E5" i="1"/>
  <c r="D5" i="1"/>
  <c r="C5" i="1"/>
  <c r="K60" i="1"/>
  <c r="K61" i="1"/>
  <c r="J60" i="1"/>
  <c r="L60" i="1"/>
  <c r="N61" i="1"/>
  <c r="L61" i="1"/>
  <c r="J61" i="1"/>
  <c r="L59" i="1"/>
  <c r="K59" i="1"/>
  <c r="J59" i="1"/>
  <c r="L58" i="1"/>
  <c r="K58" i="1"/>
  <c r="J58" i="1"/>
  <c r="L57" i="1"/>
  <c r="K57" i="1"/>
  <c r="J57" i="1"/>
  <c r="M57" i="1"/>
  <c r="C7" i="1"/>
  <c r="B7" i="1"/>
  <c r="L56" i="1"/>
  <c r="K56" i="1"/>
  <c r="J56" i="1"/>
  <c r="N54" i="1"/>
  <c r="L54" i="1"/>
  <c r="K54" i="1"/>
  <c r="N53" i="1"/>
  <c r="L53" i="1"/>
  <c r="K53" i="1"/>
  <c r="K51" i="1"/>
  <c r="K12" i="1"/>
  <c r="J53" i="1" l="1"/>
  <c r="F58" i="1"/>
  <c r="E58" i="1"/>
  <c r="D58" i="1"/>
  <c r="C58" i="1"/>
  <c r="B58" i="1"/>
  <c r="N26" i="1" l="1"/>
  <c r="N25" i="1" s="1"/>
  <c r="K26" i="1"/>
  <c r="K25" i="1" s="1"/>
  <c r="M26" i="1"/>
  <c r="L26" i="1"/>
  <c r="L25" i="1" s="1"/>
  <c r="J26" i="1"/>
  <c r="M14" i="1"/>
  <c r="N14" i="1"/>
  <c r="L14" i="1"/>
  <c r="K14" i="1"/>
  <c r="K32" i="1"/>
  <c r="L32" i="1"/>
  <c r="M32" i="1"/>
  <c r="N32" i="1"/>
  <c r="K18" i="1"/>
  <c r="L18" i="1"/>
  <c r="M18" i="1"/>
  <c r="N18" i="1"/>
  <c r="K10" i="1"/>
  <c r="C57" i="1" s="1"/>
  <c r="L10" i="1"/>
  <c r="D57" i="1" s="1"/>
  <c r="M10" i="1"/>
  <c r="N10" i="1"/>
  <c r="F57" i="1" s="1"/>
  <c r="B57" i="1"/>
  <c r="K6" i="1"/>
  <c r="K46" i="1" s="1"/>
  <c r="L6" i="1"/>
  <c r="L46" i="1" s="1"/>
  <c r="M6" i="1"/>
  <c r="N6" i="1"/>
  <c r="J46" i="1"/>
  <c r="E57" i="1" l="1"/>
  <c r="M54" i="1"/>
  <c r="M53" i="1"/>
  <c r="L39" i="1"/>
  <c r="M39" i="1"/>
  <c r="M12" i="1"/>
  <c r="M52" i="1" s="1"/>
  <c r="J39" i="1"/>
  <c r="L40" i="1"/>
  <c r="K40" i="1"/>
  <c r="K39" i="1"/>
  <c r="J40" i="1"/>
  <c r="K52" i="1"/>
  <c r="L36" i="1"/>
  <c r="L12" i="1"/>
  <c r="M25" i="1"/>
  <c r="K36" i="1"/>
  <c r="J36" i="1"/>
  <c r="N39" i="1"/>
  <c r="N36" i="1"/>
  <c r="N40" i="1"/>
  <c r="M40" i="1" l="1"/>
  <c r="B56" i="1"/>
  <c r="D56" i="1"/>
  <c r="F54" i="1"/>
  <c r="N49" i="1" s="1"/>
  <c r="E54" i="1"/>
  <c r="M46" i="1" s="1"/>
  <c r="F50" i="1"/>
  <c r="B50" i="1"/>
  <c r="E50" i="1"/>
  <c r="F49" i="1"/>
  <c r="B49" i="1"/>
  <c r="F45" i="1"/>
  <c r="F46" i="1" s="1"/>
  <c r="E45" i="1"/>
  <c r="F25" i="1"/>
  <c r="F12" i="1"/>
  <c r="F11" i="1"/>
  <c r="F10" i="1"/>
  <c r="F9" i="1"/>
  <c r="F8" i="1"/>
  <c r="F4" i="1"/>
  <c r="D7" i="1"/>
  <c r="D20" i="1" s="1"/>
  <c r="E7" i="1"/>
  <c r="E13" i="1" s="1"/>
  <c r="F56" i="1" l="1"/>
  <c r="F59" i="1" s="1"/>
  <c r="E56" i="1"/>
  <c r="F7" i="1"/>
  <c r="F20" i="1" l="1"/>
  <c r="F51" i="1"/>
  <c r="D49" i="1"/>
  <c r="N50" i="1" l="1"/>
  <c r="B46" i="1"/>
  <c r="D36" i="1"/>
  <c r="B13" i="1"/>
  <c r="B22" i="1" l="1"/>
  <c r="F24" i="1"/>
  <c r="F30" i="1" l="1"/>
  <c r="F28" i="1"/>
  <c r="C56" i="1"/>
  <c r="J45" i="1" l="1"/>
  <c r="J51" i="1"/>
  <c r="J52" i="1"/>
  <c r="C49" i="1" l="1"/>
  <c r="C45" i="1"/>
  <c r="C46" i="1" s="1"/>
  <c r="C13" i="1"/>
  <c r="C20" i="1" s="1"/>
  <c r="C25" i="1" l="1"/>
  <c r="C51" i="1"/>
  <c r="C16" i="1"/>
  <c r="K45" i="1" l="1"/>
  <c r="C24" i="1"/>
  <c r="C30" i="1"/>
  <c r="C31" i="1" s="1"/>
  <c r="C28" i="1"/>
  <c r="E49" i="1" l="1"/>
  <c r="E51" i="1" s="1"/>
  <c r="D45" i="1"/>
  <c r="D46" i="1" l="1"/>
  <c r="E46" i="1" s="1"/>
  <c r="D51" i="1"/>
  <c r="E36" i="1" l="1"/>
  <c r="D16" i="1" l="1"/>
  <c r="D25" i="1" l="1"/>
  <c r="D24" i="1"/>
  <c r="L45" i="1" l="1"/>
  <c r="D28" i="1"/>
  <c r="L52" i="1"/>
  <c r="L51" i="1"/>
  <c r="D26" i="1"/>
  <c r="D30" i="1"/>
  <c r="E16" i="1" l="1"/>
  <c r="D31" i="1"/>
  <c r="E14" i="1"/>
  <c r="E20" i="1"/>
  <c r="E24" i="1" s="1"/>
  <c r="E25" i="1" l="1"/>
  <c r="M45" i="1" l="1"/>
  <c r="N48" i="1" s="1"/>
  <c r="E27" i="1"/>
  <c r="E26" i="1"/>
  <c r="E30" i="1"/>
  <c r="E32" i="1" s="1"/>
  <c r="E28" i="1"/>
  <c r="E31" i="1" l="1"/>
</calcChain>
</file>

<file path=xl/sharedStrings.xml><?xml version="1.0" encoding="utf-8"?>
<sst xmlns="http://schemas.openxmlformats.org/spreadsheetml/2006/main" count="158" uniqueCount="107">
  <si>
    <t>Income statement</t>
  </si>
  <si>
    <t>Revenue from operations</t>
  </si>
  <si>
    <t>Growth</t>
  </si>
  <si>
    <t>Expenses</t>
  </si>
  <si>
    <t>Cost of Materials Consumed</t>
  </si>
  <si>
    <t>Employee Benefit expenses</t>
  </si>
  <si>
    <t>EBITDA Margins</t>
  </si>
  <si>
    <t>Other Expenses</t>
  </si>
  <si>
    <t>Finance Cost</t>
  </si>
  <si>
    <t>Depreciation &amp; Amortization Expenses</t>
  </si>
  <si>
    <t>Other Income</t>
  </si>
  <si>
    <t>Profit/(loss) from JV</t>
  </si>
  <si>
    <t>PBT</t>
  </si>
  <si>
    <t>Tax</t>
  </si>
  <si>
    <t>PAT</t>
  </si>
  <si>
    <t>Profit before Profit/(loss) from JV &amp; Tax</t>
  </si>
  <si>
    <t>PAT Margins</t>
  </si>
  <si>
    <t>FY25</t>
  </si>
  <si>
    <t>INR (Mn)</t>
  </si>
  <si>
    <t>EBITDA</t>
  </si>
  <si>
    <t xml:space="preserve">Balance sheet </t>
  </si>
  <si>
    <t>Share Capital</t>
  </si>
  <si>
    <t>Networth</t>
  </si>
  <si>
    <t>non-controlling int</t>
  </si>
  <si>
    <t>Long-term debt</t>
  </si>
  <si>
    <t>short-term debt</t>
  </si>
  <si>
    <t xml:space="preserve">Loans </t>
  </si>
  <si>
    <t>Capital Employed</t>
  </si>
  <si>
    <t>Inventories</t>
  </si>
  <si>
    <t>CURRENT LIABILITIES &amp; PROVISIONS</t>
  </si>
  <si>
    <t>NON CURRENT LIABILITIES</t>
  </si>
  <si>
    <t>Other non-current liabilities</t>
  </si>
  <si>
    <t>TOTAL ASSETS</t>
  </si>
  <si>
    <t>TOTAL EQUITIES &amp; LIABILITIES</t>
  </si>
  <si>
    <t>NON-CURRENT ASSETS</t>
  </si>
  <si>
    <t>CURRENT ASSETS, LOANS &amp; ADVANCES</t>
  </si>
  <si>
    <t>FY24</t>
  </si>
  <si>
    <t>FY23</t>
  </si>
  <si>
    <t>Other Comprehensive Income</t>
  </si>
  <si>
    <t>Total Comprehensive Income</t>
  </si>
  <si>
    <t>Growth (%)</t>
  </si>
  <si>
    <t>EPS</t>
  </si>
  <si>
    <t>Basic</t>
  </si>
  <si>
    <t>Diluted</t>
  </si>
  <si>
    <t>CAGR (%) - 3 years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</si>
  <si>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</si>
  <si>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</si>
  <si>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</si>
  <si>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</si>
  <si>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</si>
  <si>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</si>
  <si>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</si>
  <si>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Operating Cash Inflow </t>
  </si>
  <si>
    <t>Capital Expenditure</t>
  </si>
  <si>
    <t>FCF</t>
  </si>
  <si>
    <t>No of Shares</t>
  </si>
  <si>
    <t>Face value</t>
  </si>
  <si>
    <t>Market Cap</t>
  </si>
  <si>
    <t>Total Debt</t>
  </si>
  <si>
    <t>Cash</t>
  </si>
  <si>
    <t>EV</t>
  </si>
  <si>
    <t xml:space="preserve">Our Calculations </t>
  </si>
  <si>
    <t>CMP(INR)</t>
  </si>
  <si>
    <t>EPS (INR)</t>
  </si>
  <si>
    <t>BVPS (INR)</t>
  </si>
  <si>
    <t>DPS (INR)</t>
  </si>
  <si>
    <t>P/E (x)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</si>
  <si>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</si>
  <si>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</si>
  <si>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</si>
  <si>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</si>
  <si>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</si>
  <si>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</si>
  <si>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</si>
  <si>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</si>
  <si>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Creditor Days</t>
  </si>
  <si>
    <t>Inventory Days</t>
  </si>
  <si>
    <t>Cash Conversion cycle</t>
  </si>
  <si>
    <t>Fixed Asset Turnover</t>
  </si>
  <si>
    <t>Interest Coverage Ratio</t>
  </si>
  <si>
    <t xml:space="preserve">Net Current Assets </t>
  </si>
  <si>
    <t>Effective tax rate (%)</t>
  </si>
  <si>
    <t>FY22</t>
  </si>
  <si>
    <t>(INR Mn)</t>
  </si>
  <si>
    <t xml:space="preserve">CASH FLOW STATEMENT </t>
  </si>
  <si>
    <t>NA</t>
  </si>
  <si>
    <t>H1 FY26</t>
  </si>
  <si>
    <t>Pushpa Jewellers Ltd</t>
  </si>
  <si>
    <t>Change in Inventories of Finished Goods , Work-In-Progress &amp;
         Stock-In-Trade</t>
  </si>
  <si>
    <t>Purchases of Traded goods</t>
  </si>
  <si>
    <t>H1-FY26</t>
  </si>
  <si>
    <t>-</t>
  </si>
  <si>
    <t>Reserves and Surplus</t>
  </si>
  <si>
    <t>Property,Plants &amp; Equipment</t>
  </si>
  <si>
    <t>Other Non-Current Assets</t>
  </si>
  <si>
    <t>Trade Receivables</t>
  </si>
  <si>
    <t>Cash and Cash Equivalents</t>
  </si>
  <si>
    <t>Short Term Loans and Advances</t>
  </si>
  <si>
    <t>Other Current Assets</t>
  </si>
  <si>
    <t>Trade Payables</t>
  </si>
  <si>
    <t>(i) Dues to Micro &amp; Small Enterprises</t>
  </si>
  <si>
    <t>(ii) Dues to Others</t>
  </si>
  <si>
    <t>Other Current Liabilities</t>
  </si>
  <si>
    <t>Short Term Provision</t>
  </si>
  <si>
    <t>Deferred Tax Liabilities (Net)</t>
  </si>
  <si>
    <t>Long Term Provision</t>
  </si>
  <si>
    <t>Non-Current Investment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</si>
</sst>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FF"/>
      <name val="Calibri"/>
      <family val="2"/>
    </font>
    <font>
      <b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sz val="14"/>
      <color rgb="FF000000"/>
      <name val="Calibri"/>
      <family val="2"/>
    </font>
    <font>
      <sz val="10"/>
      <color rgb="FF000000"/>
      <name val="MyFirstFont"/>
    </font>
    <font>
      <b/>
      <sz val="9"/>
      <color rgb="FFFFFFFF"/>
      <name val="Calibri Light"/>
      <family val="2"/>
    </font>
    <font>
      <sz val="9"/>
      <color rgb="FF000000"/>
      <name val="Calibri Light"/>
      <family val="2"/>
    </font>
    <font>
      <i/>
      <sz val="9"/>
      <color rgb="FF000000"/>
      <name val="Calibri Light"/>
      <family val="2"/>
    </font>
    <font>
      <i/>
      <sz val="9"/>
      <color rgb="FF000000"/>
      <name val="Calibri Light"/>
      <family val="2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4" fillId="0" borderId="1" xfId="0" applyFont="1" applyBorder="1"/>
    <xf numFmtId="0" fontId="0" fillId="0" borderId="1" xfId="0" applyBorder="1" applyAlignment="1">
      <alignment horizontal="left" indent="1"/>
    </xf>
    <xf numFmtId="0" fontId="2" fillId="0" borderId="1" xfId="0" applyFont="1" applyBorder="1" applyAlignment="1">
      <alignment wrapText="1"/>
    </xf>
    <xf numFmtId="0" fontId="6" fillId="0" borderId="1" xfId="0" applyFont="1" applyBorder="1"/>
    <xf numFmtId="2" fontId="0" fillId="0" borderId="1" xfId="0" applyNumberFormat="1" applyBorder="1"/>
    <xf numFmtId="2" fontId="0" fillId="0" borderId="0" xfId="0" applyNumberFormat="1"/>
    <xf numFmtId="2" fontId="6" fillId="0" borderId="1" xfId="1" applyNumberFormat="1" applyFont="1" applyFill="1" applyBorder="1" applyAlignment="1"/>
    <xf numFmtId="2" fontId="0" fillId="0" borderId="1" xfId="1" applyNumberFormat="1" applyFont="1" applyFill="1" applyBorder="1" applyAlignment="1"/>
    <xf numFmtId="0" fontId="9" fillId="2" borderId="1" xfId="0" applyFont="1" applyFill="1" applyBorder="1"/>
    <xf numFmtId="2" fontId="0" fillId="0" borderId="1" xfId="1" applyNumberFormat="1" applyFont="1" applyFill="1" applyBorder="1"/>
    <xf numFmtId="0" fontId="8" fillId="2" borderId="1" xfId="0" applyFont="1" applyFill="1" applyBorder="1" applyAlignment="1">
      <alignment horizontal="right"/>
    </xf>
    <xf numFmtId="0" fontId="0" fillId="3" borderId="1" xfId="0" applyFill="1" applyBorder="1"/>
    <xf numFmtId="2" fontId="0" fillId="3" borderId="1" xfId="1" applyNumberFormat="1" applyFont="1" applyFill="1" applyBorder="1"/>
    <xf numFmtId="0" fontId="10" fillId="3" borderId="1" xfId="0" applyFont="1" applyFill="1" applyBorder="1"/>
    <xf numFmtId="10" fontId="10" fillId="3" borderId="1" xfId="2" applyNumberFormat="1" applyFont="1" applyFill="1" applyBorder="1"/>
    <xf numFmtId="166" fontId="10" fillId="3" borderId="1" xfId="2" applyNumberFormat="1" applyFont="1" applyFill="1" applyBorder="1"/>
    <xf numFmtId="0" fontId="5" fillId="3" borderId="1" xfId="0" applyFont="1" applyFill="1" applyBorder="1"/>
    <xf numFmtId="0" fontId="11" fillId="3" borderId="1" xfId="0" applyFont="1" applyFill="1" applyBorder="1"/>
    <xf numFmtId="10" fontId="11" fillId="3" borderId="1" xfId="2" applyNumberFormat="1" applyFont="1" applyFill="1" applyBorder="1"/>
    <xf numFmtId="0" fontId="8" fillId="2" borderId="1" xfId="0" applyFont="1" applyFill="1" applyBorder="1"/>
    <xf numFmtId="0" fontId="2" fillId="4" borderId="1" xfId="0" applyFont="1" applyFill="1" applyBorder="1"/>
    <xf numFmtId="2" fontId="2" fillId="4" borderId="1" xfId="1" applyNumberFormat="1" applyFont="1" applyFill="1" applyBorder="1"/>
    <xf numFmtId="0" fontId="12" fillId="4" borderId="1" xfId="0" applyFont="1" applyFill="1" applyBorder="1"/>
    <xf numFmtId="165" fontId="0" fillId="4" borderId="1" xfId="0" applyNumberFormat="1" applyFill="1" applyBorder="1"/>
    <xf numFmtId="2" fontId="1" fillId="0" borderId="1" xfId="1" applyNumberFormat="1" applyFont="1" applyFill="1" applyBorder="1"/>
    <xf numFmtId="0" fontId="6" fillId="3" borderId="1" xfId="0" applyFont="1" applyFill="1" applyBorder="1"/>
    <xf numFmtId="0" fontId="6" fillId="4" borderId="1" xfId="0" applyFont="1" applyFill="1" applyBorder="1"/>
    <xf numFmtId="2" fontId="0" fillId="4" borderId="1" xfId="0" applyNumberFormat="1" applyFill="1" applyBorder="1"/>
    <xf numFmtId="2" fontId="7" fillId="4" borderId="1" xfId="1" applyNumberFormat="1" applyFont="1" applyFill="1" applyBorder="1" applyAlignment="1"/>
    <xf numFmtId="2" fontId="6" fillId="4" borderId="1" xfId="1" applyNumberFormat="1" applyFont="1" applyFill="1" applyBorder="1" applyAlignment="1"/>
    <xf numFmtId="0" fontId="0" fillId="4" borderId="1" xfId="0" applyFill="1" applyBorder="1"/>
    <xf numFmtId="2" fontId="0" fillId="4" borderId="1" xfId="1" applyNumberFormat="1" applyFont="1" applyFill="1" applyBorder="1" applyAlignment="1"/>
    <xf numFmtId="2" fontId="2" fillId="4" borderId="1" xfId="0" applyNumberFormat="1" applyFont="1" applyFill="1" applyBorder="1"/>
    <xf numFmtId="9" fontId="6" fillId="4" borderId="1" xfId="2" applyFont="1" applyFill="1" applyBorder="1" applyAlignment="1"/>
    <xf numFmtId="43" fontId="0" fillId="0" borderId="1" xfId="1" applyFont="1" applyFill="1" applyBorder="1" applyAlignment="1"/>
    <xf numFmtId="0" fontId="0" fillId="5" borderId="0" xfId="0" applyFill="1"/>
    <xf numFmtId="166" fontId="10" fillId="3" borderId="1" xfId="2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top" readingOrder="1"/>
    </xf>
    <xf numFmtId="0" fontId="2" fillId="0" borderId="0" xfId="0" applyFont="1" applyAlignment="1">
      <alignment horizontal="center"/>
    </xf>
    <xf numFmtId="10" fontId="5" fillId="0" borderId="0" xfId="2" applyNumberFormat="1" applyFont="1" applyBorder="1" applyAlignment="1">
      <alignment horizontal="center"/>
    </xf>
    <xf numFmtId="0" fontId="15" fillId="0" borderId="0" xfId="0" applyFont="1" applyAlignment="1">
      <alignment horizontal="center" vertical="top" readingOrder="1"/>
    </xf>
    <xf numFmtId="0" fontId="16" fillId="0" borderId="0" xfId="0" applyFont="1" applyAlignment="1">
      <alignment horizontal="center" vertical="top" readingOrder="1"/>
    </xf>
    <xf numFmtId="0" fontId="13" fillId="5" borderId="0" xfId="0" applyFont="1" applyFill="1" applyAlignment="1">
      <alignment horizontal="center" vertical="center" readingOrder="1"/>
    </xf>
    <xf numFmtId="0" fontId="17" fillId="6" borderId="0" xfId="0" applyFont="1" applyFill="1" applyAlignment="1">
      <alignment horizontal="right" vertical="center" wrapText="1" indent="1"/>
    </xf>
    <xf numFmtId="0" fontId="18" fillId="5" borderId="0" xfId="0" applyFont="1" applyFill="1" applyAlignment="1">
      <alignment horizontal="left" vertical="top" wrapText="1"/>
    </xf>
    <xf numFmtId="0" fontId="18" fillId="5" borderId="0" xfId="0" applyFont="1" applyFill="1" applyAlignment="1">
      <alignment horizontal="right" vertical="top" wrapText="1"/>
    </xf>
    <xf numFmtId="0" fontId="19" fillId="0" borderId="0" xfId="0" applyFont="1" applyAlignment="1">
      <alignment horizontal="left" vertical="top" wrapText="1"/>
    </xf>
    <xf numFmtId="2" fontId="22" fillId="0" borderId="0" xfId="1" applyNumberFormat="1" applyFont="1" applyFill="1" applyBorder="1"/>
    <xf numFmtId="0" fontId="20" fillId="7" borderId="0" xfId="0" applyFont="1" applyFill="1" applyAlignment="1">
      <alignment horizontal="left" vertical="top" wrapText="1"/>
    </xf>
    <xf numFmtId="10" fontId="20" fillId="7" borderId="0" xfId="0" applyNumberFormat="1" applyFont="1" applyFill="1" applyAlignment="1">
      <alignment horizontal="right" vertical="top" wrapText="1"/>
    </xf>
    <xf numFmtId="10" fontId="21" fillId="0" borderId="0" xfId="0" applyNumberFormat="1" applyFont="1" applyAlignment="1">
      <alignment horizontal="right" vertical="center" readingOrder="1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right" vertical="top" wrapText="1"/>
    </xf>
    <xf numFmtId="0" fontId="19" fillId="7" borderId="0" xfId="0" applyFont="1" applyFill="1" applyAlignment="1">
      <alignment horizontal="left" vertical="top" wrapText="1"/>
    </xf>
    <xf numFmtId="10" fontId="21" fillId="7" borderId="0" xfId="0" applyNumberFormat="1" applyFont="1" applyFill="1" applyAlignment="1">
      <alignment horizontal="right" vertical="top" wrapText="1"/>
    </xf>
    <xf numFmtId="0" fontId="19" fillId="0" borderId="0" xfId="0" applyFont="1" applyAlignment="1">
      <alignment horizontal="right" vertical="top" wrapText="1"/>
    </xf>
    <xf numFmtId="4" fontId="0" fillId="0" borderId="0" xfId="0" applyNumberFormat="1"/>
    <xf numFmtId="3" fontId="0" fillId="0" borderId="0" xfId="0" applyNumberFormat="1"/>
    <xf numFmtId="2" fontId="6" fillId="4" borderId="1" xfId="1" applyNumberFormat="1" applyFont="1" applyFill="1" applyBorder="1" applyAlignment="1">
      <alignment horizontal="center"/>
    </xf>
    <xf numFmtId="1" fontId="0" fillId="0" borderId="1" xfId="1" applyNumberFormat="1" applyFont="1" applyFill="1" applyBorder="1" applyAlignment="1"/>
    <xf numFmtId="0" fontId="0" fillId="0" borderId="1" xfId="0" applyBorder="1" applyAlignment="1">
      <alignment horizontal="left"/>
    </xf>
    <xf numFmtId="1" fontId="0" fillId="4" borderId="1" xfId="1" applyNumberFormat="1" applyFont="1" applyFill="1" applyBorder="1" applyAlignment="1"/>
    <xf numFmtId="2" fontId="0" fillId="5" borderId="1" xfId="0" applyNumberFormat="1" applyFill="1" applyBorder="1"/>
    <xf numFmtId="2" fontId="0" fillId="5" borderId="1" xfId="1" applyNumberFormat="1" applyFont="1" applyFill="1" applyBorder="1"/>
    <xf numFmtId="4" fontId="0" fillId="5" borderId="1" xfId="0" applyNumberFormat="1" applyFill="1" applyBorder="1"/>
    <xf numFmtId="4" fontId="0" fillId="5" borderId="1" xfId="0" applyNumberForma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6" fillId="5" borderId="1" xfId="0" applyNumberFormat="1" applyFont="1" applyFill="1" applyBorder="1"/>
    <xf numFmtId="2" fontId="6" fillId="5" borderId="1" xfId="1" applyNumberFormat="1" applyFont="1" applyFill="1" applyBorder="1"/>
    <xf numFmtId="0" fontId="6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0" fontId="10" fillId="8" borderId="1" xfId="2" applyNumberFormat="1" applyFont="1" applyFill="1" applyBorder="1"/>
    <xf numFmtId="166" fontId="10" fillId="8" borderId="1" xfId="2" applyNumberFormat="1" applyFont="1" applyFill="1" applyBorder="1"/>
    <xf numFmtId="166" fontId="11" fillId="8" borderId="1" xfId="2" applyNumberFormat="1" applyFont="1" applyFill="1" applyBorder="1"/>
    <xf numFmtId="2" fontId="0" fillId="4" borderId="1" xfId="1" applyNumberFormat="1" applyFont="1" applyFill="1" applyBorder="1"/>
    <xf numFmtId="2" fontId="12" fillId="4" borderId="1" xfId="1" applyNumberFormat="1" applyFont="1" applyFill="1" applyBorder="1"/>
    <xf numFmtId="166" fontId="4" fillId="5" borderId="1" xfId="2" applyNumberFormat="1" applyFont="1" applyFill="1" applyBorder="1"/>
    <xf numFmtId="166" fontId="10" fillId="8" borderId="1" xfId="2" applyNumberFormat="1" applyFont="1" applyFill="1" applyBorder="1" applyAlignment="1">
      <alignment horizontal="right"/>
    </xf>
    <xf numFmtId="0" fontId="10" fillId="8" borderId="1" xfId="0" applyFont="1" applyFill="1" applyBorder="1"/>
    <xf numFmtId="10" fontId="11" fillId="8" borderId="1" xfId="2" applyNumberFormat="1" applyFont="1" applyFill="1" applyBorder="1"/>
    <xf numFmtId="2" fontId="0" fillId="5" borderId="1" xfId="1" applyNumberFormat="1" applyFont="1" applyFill="1" applyBorder="1" applyAlignment="1"/>
    <xf numFmtId="0" fontId="0" fillId="5" borderId="1" xfId="0" applyFill="1" applyBorder="1" applyAlignment="1">
      <alignment horizontal="right"/>
    </xf>
    <xf numFmtId="2" fontId="6" fillId="5" borderId="1" xfId="1" applyNumberFormat="1" applyFont="1" applyFill="1" applyBorder="1" applyAlignment="1"/>
    <xf numFmtId="2" fontId="2" fillId="5" borderId="1" xfId="0" applyNumberFormat="1" applyFont="1" applyFill="1" applyBorder="1"/>
    <xf numFmtId="2" fontId="2" fillId="5" borderId="1" xfId="1" applyNumberFormat="1" applyFont="1" applyFill="1" applyBorder="1"/>
    <xf numFmtId="2" fontId="0" fillId="5" borderId="7" xfId="0" applyNumberFormat="1" applyFill="1" applyBorder="1"/>
    <xf numFmtId="2" fontId="0" fillId="8" borderId="1" xfId="0" applyNumberFormat="1" applyFill="1" applyBorder="1"/>
    <xf numFmtId="2" fontId="5" fillId="8" borderId="1" xfId="1" applyNumberFormat="1" applyFont="1" applyFill="1" applyBorder="1"/>
    <xf numFmtId="2" fontId="0" fillId="8" borderId="1" xfId="1" applyNumberFormat="1" applyFont="1" applyFill="1" applyBorder="1"/>
  </cellXfs>
  <cellStyles count="7">
    <cellStyle name="Comma" xfId="1" builtinId="3"/>
    <cellStyle name="Comma 2" xfId="4" xr:uid="{06849DB4-828E-4186-82DC-698DC24DD14B}"/>
    <cellStyle name="Comma 2 2" xfId="5" xr:uid="{F0316EA1-E690-4954-8AFD-0F052294A4D5}"/>
    <cellStyle name="Comma 3" xfId="6" xr:uid="{67904D45-6093-46C5-BC23-38ED2442B7D2}"/>
    <cellStyle name="Comma 4" xfId="3" xr:uid="{D19D2789-EC04-4677-9D24-ED9502C9D182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308C5-EFB8-44F5-A06A-26466E7BB03B}">
  <dimension ref="A1:O74"/>
  <sheetViews>
    <sheetView tabSelected="1" zoomScale="62" zoomScaleNormal="62" workbookViewId="0">
      <selection activeCell="E46" sqref="E46"/>
    </sheetView>
  </sheetViews>
  <sheetFormatPr defaultRowHeight="14.5"/>
  <cols>
    <col min="1" max="1" width="46.81640625" bestFit="1" customWidth="1"/>
    <col min="2" max="2" width="12.453125" customWidth="1"/>
    <col min="3" max="3" width="11.81640625" customWidth="1"/>
    <col min="4" max="4" width="12.1796875" customWidth="1"/>
    <col min="5" max="5" width="9.7265625" customWidth="1"/>
    <col min="6" max="6" width="11.54296875" customWidth="1"/>
    <col min="7" max="7" width="14.453125" bestFit="1" customWidth="1"/>
    <col min="8" max="8" width="25.1796875" customWidth="1"/>
    <col min="9" max="9" width="53.7265625" bestFit="1" customWidth="1"/>
    <col min="10" max="11" width="10.81640625" customWidth="1"/>
    <col min="12" max="13" width="9.54296875" bestFit="1" customWidth="1"/>
  </cols>
  <sheetData>
    <row r="1" spans="1:14">
      <c r="A1" s="74" t="s">
        <v>87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>
      <c r="A2" s="71" t="s">
        <v>0</v>
      </c>
      <c r="B2" s="72"/>
      <c r="C2" s="72"/>
      <c r="D2" s="72"/>
      <c r="E2" s="72"/>
      <c r="F2" s="73"/>
      <c r="I2" s="75" t="s">
        <v>20</v>
      </c>
      <c r="J2" s="76"/>
      <c r="K2" s="76"/>
      <c r="L2" s="76"/>
      <c r="M2" s="76"/>
      <c r="N2" s="76"/>
    </row>
    <row r="3" spans="1:14" ht="18.5">
      <c r="A3" s="22" t="s">
        <v>18</v>
      </c>
      <c r="B3" s="13" t="s">
        <v>82</v>
      </c>
      <c r="C3" s="13" t="s">
        <v>37</v>
      </c>
      <c r="D3" s="13" t="s">
        <v>36</v>
      </c>
      <c r="E3" s="13" t="s">
        <v>17</v>
      </c>
      <c r="F3" s="13" t="s">
        <v>90</v>
      </c>
      <c r="G3" s="47"/>
      <c r="I3" s="11" t="s">
        <v>18</v>
      </c>
      <c r="J3" s="13" t="s">
        <v>82</v>
      </c>
      <c r="K3" s="13" t="s">
        <v>37</v>
      </c>
      <c r="L3" s="13" t="s">
        <v>36</v>
      </c>
      <c r="M3" s="13" t="s">
        <v>17</v>
      </c>
      <c r="N3" s="13" t="s">
        <v>86</v>
      </c>
    </row>
    <row r="4" spans="1:14" ht="18.5">
      <c r="A4" s="1" t="s">
        <v>1</v>
      </c>
      <c r="B4" s="67">
        <v>1076.568</v>
      </c>
      <c r="C4" s="67">
        <v>1658.0170000000001</v>
      </c>
      <c r="D4" s="68">
        <v>2553.4279999999999</v>
      </c>
      <c r="E4" s="68">
        <v>2810.607</v>
      </c>
      <c r="F4" s="69">
        <f>17098.18/10</f>
        <v>1709.818</v>
      </c>
      <c r="G4" s="41"/>
      <c r="H4" s="42"/>
      <c r="I4" s="1" t="s">
        <v>21</v>
      </c>
      <c r="J4" s="67">
        <v>2.3280000000000003</v>
      </c>
      <c r="K4" s="67">
        <v>2.3280000000000003</v>
      </c>
      <c r="L4" s="67">
        <v>2.3280000000000003</v>
      </c>
      <c r="M4" s="67">
        <v>188.529</v>
      </c>
      <c r="N4" s="67">
        <v>242.22900000000001</v>
      </c>
    </row>
    <row r="5" spans="1:14" ht="18.5">
      <c r="A5" s="16" t="s">
        <v>40</v>
      </c>
      <c r="B5" s="18" t="s">
        <v>91</v>
      </c>
      <c r="C5" s="18">
        <f>C4/B4-1</f>
        <v>0.54009500561042123</v>
      </c>
      <c r="D5" s="18">
        <f>D4/C4-1</f>
        <v>0.54004934810680449</v>
      </c>
      <c r="E5" s="18">
        <f>E4/D4-1</f>
        <v>0.10071911171961778</v>
      </c>
      <c r="F5" s="39" t="s">
        <v>85</v>
      </c>
      <c r="G5" s="41"/>
      <c r="H5" s="42"/>
      <c r="I5" s="1" t="s">
        <v>92</v>
      </c>
      <c r="J5" s="67">
        <v>141.21700000000001</v>
      </c>
      <c r="K5" s="67">
        <v>222.65600000000001</v>
      </c>
      <c r="L5" s="67">
        <v>358.42700000000002</v>
      </c>
      <c r="M5" s="67">
        <v>392.82399999999996</v>
      </c>
      <c r="N5" s="67">
        <v>1153.354</v>
      </c>
    </row>
    <row r="6" spans="1:14">
      <c r="A6" s="16" t="s">
        <v>44</v>
      </c>
      <c r="B6" s="16"/>
      <c r="C6" s="16"/>
      <c r="D6" s="18" t="s">
        <v>91</v>
      </c>
      <c r="E6" s="18">
        <f>((E4/B4)^(1/3)-1)</f>
        <v>0.3769543814401124</v>
      </c>
      <c r="F6" s="39" t="s">
        <v>85</v>
      </c>
      <c r="G6" s="41"/>
      <c r="H6" s="41"/>
      <c r="I6" s="23" t="s">
        <v>22</v>
      </c>
      <c r="J6" s="35">
        <f>J4+J5</f>
        <v>143.54500000000002</v>
      </c>
      <c r="K6" s="35">
        <f t="shared" ref="K6:N6" si="0">K4+K5</f>
        <v>224.98400000000001</v>
      </c>
      <c r="L6" s="35">
        <f t="shared" si="0"/>
        <v>360.755</v>
      </c>
      <c r="M6" s="35">
        <f t="shared" si="0"/>
        <v>581.35299999999995</v>
      </c>
      <c r="N6" s="35">
        <f t="shared" si="0"/>
        <v>1395.5830000000001</v>
      </c>
    </row>
    <row r="7" spans="1:14">
      <c r="A7" s="1" t="s">
        <v>3</v>
      </c>
      <c r="B7" s="68">
        <f>SUM(B8:B12)</f>
        <v>985.38099999999986</v>
      </c>
      <c r="C7" s="68">
        <f>SUM(C8:C12)</f>
        <v>1529.383</v>
      </c>
      <c r="D7" s="68">
        <f>SUM(D8:D12)</f>
        <v>2354.0009999999997</v>
      </c>
      <c r="E7" s="68">
        <f>SUM(E8:E12)</f>
        <v>2492.2260000000001</v>
      </c>
      <c r="F7" s="68">
        <f>(SUM(F8:F12))</f>
        <v>1551.146</v>
      </c>
      <c r="G7" s="41"/>
      <c r="H7" s="41"/>
      <c r="I7" s="1" t="s">
        <v>23</v>
      </c>
      <c r="J7" s="67"/>
      <c r="K7" s="67"/>
      <c r="L7" s="67"/>
      <c r="M7" s="67"/>
      <c r="N7" s="67"/>
    </row>
    <row r="8" spans="1:14">
      <c r="A8" s="1" t="s">
        <v>4</v>
      </c>
      <c r="B8" s="67">
        <v>825.38699999999994</v>
      </c>
      <c r="C8" s="67">
        <v>1474.2860000000001</v>
      </c>
      <c r="D8" s="68">
        <v>2238.8339999999998</v>
      </c>
      <c r="E8" s="68">
        <v>2389.4699999999998</v>
      </c>
      <c r="F8" s="68">
        <f>16998.3/10</f>
        <v>1699.83</v>
      </c>
      <c r="H8" s="41"/>
      <c r="I8" s="1" t="s">
        <v>24</v>
      </c>
      <c r="J8" s="67">
        <v>8.1020000000000003</v>
      </c>
      <c r="K8" s="67">
        <v>51.304999999999993</v>
      </c>
      <c r="L8" s="67">
        <v>48.398000000000003</v>
      </c>
      <c r="M8" s="67">
        <v>109.285</v>
      </c>
      <c r="N8" s="67">
        <v>160.98099999999999</v>
      </c>
    </row>
    <row r="9" spans="1:14">
      <c r="A9" s="2" t="s">
        <v>89</v>
      </c>
      <c r="B9" s="67">
        <v>171.15600000000001</v>
      </c>
      <c r="C9" s="67">
        <v>57.003999999999998</v>
      </c>
      <c r="D9" s="68">
        <v>67.884</v>
      </c>
      <c r="E9" s="68">
        <v>86.465000000000003</v>
      </c>
      <c r="F9" s="68">
        <f>733.79/10</f>
        <v>73.378999999999991</v>
      </c>
      <c r="H9" s="41"/>
      <c r="I9" s="1" t="s">
        <v>25</v>
      </c>
      <c r="J9" s="67">
        <v>21.847999999999999</v>
      </c>
      <c r="K9" s="67">
        <v>87.887</v>
      </c>
      <c r="L9" s="67">
        <v>31.643999999999998</v>
      </c>
      <c r="M9" s="77">
        <v>103.506</v>
      </c>
      <c r="N9" s="67">
        <v>11.157999999999999</v>
      </c>
    </row>
    <row r="10" spans="1:14" ht="18" customHeight="1">
      <c r="A10" s="65" t="s">
        <v>88</v>
      </c>
      <c r="B10" s="67">
        <v>-46.997999999999998</v>
      </c>
      <c r="C10" s="67">
        <v>-68.631</v>
      </c>
      <c r="D10" s="68">
        <v>-31.068999999999999</v>
      </c>
      <c r="E10" s="68">
        <v>-66.671000000000006</v>
      </c>
      <c r="F10" s="70">
        <f>-2859.31/10</f>
        <v>-285.93099999999998</v>
      </c>
      <c r="H10" s="41"/>
      <c r="I10" s="23" t="s">
        <v>26</v>
      </c>
      <c r="J10" s="35">
        <f>SUM(J8:J9)</f>
        <v>29.95</v>
      </c>
      <c r="K10" s="35">
        <f t="shared" ref="K10:N10" si="1">SUM(K8:K9)</f>
        <v>139.19200000000001</v>
      </c>
      <c r="L10" s="35">
        <f t="shared" si="1"/>
        <v>80.042000000000002</v>
      </c>
      <c r="M10" s="35">
        <f t="shared" si="1"/>
        <v>212.791</v>
      </c>
      <c r="N10" s="35">
        <f t="shared" si="1"/>
        <v>172.13899999999998</v>
      </c>
    </row>
    <row r="11" spans="1:14" ht="18.5">
      <c r="A11" s="1" t="s">
        <v>5</v>
      </c>
      <c r="B11" s="77">
        <v>17.510999999999999</v>
      </c>
      <c r="C11" s="77">
        <v>28.256</v>
      </c>
      <c r="D11" s="78">
        <v>35.131</v>
      </c>
      <c r="E11" s="78">
        <v>39.744</v>
      </c>
      <c r="F11" s="79">
        <f>262.28/10</f>
        <v>26.227999999999998</v>
      </c>
      <c r="G11" s="43"/>
      <c r="H11" s="42"/>
      <c r="I11" s="23" t="s">
        <v>27</v>
      </c>
      <c r="J11" s="35"/>
      <c r="K11" s="35"/>
      <c r="L11" s="35"/>
      <c r="M11" s="35"/>
      <c r="N11" s="35"/>
    </row>
    <row r="12" spans="1:14" ht="18.5">
      <c r="A12" s="1" t="s">
        <v>7</v>
      </c>
      <c r="B12" s="67">
        <v>18.324999999999999</v>
      </c>
      <c r="C12" s="67">
        <v>38.468000000000004</v>
      </c>
      <c r="D12" s="68">
        <v>43.220999999999997</v>
      </c>
      <c r="E12" s="68">
        <v>43.218000000000004</v>
      </c>
      <c r="F12" s="80">
        <f>376.4/10</f>
        <v>37.64</v>
      </c>
      <c r="G12" s="44"/>
      <c r="H12" s="45"/>
      <c r="I12" s="23" t="s">
        <v>27</v>
      </c>
      <c r="J12" s="35">
        <f>J6+J10</f>
        <v>173.495</v>
      </c>
      <c r="K12" s="35">
        <f>K6+K10</f>
        <v>364.17600000000004</v>
      </c>
      <c r="L12" s="35">
        <f t="shared" ref="L12:M12" si="2">L6+L10</f>
        <v>440.79700000000003</v>
      </c>
      <c r="M12" s="35">
        <f t="shared" si="2"/>
        <v>794.14400000000001</v>
      </c>
      <c r="N12" s="35">
        <f>N6+N10</f>
        <v>1567.722</v>
      </c>
    </row>
    <row r="13" spans="1:14" ht="18.5">
      <c r="A13" s="23" t="s">
        <v>19</v>
      </c>
      <c r="B13" s="24">
        <f t="shared" ref="B13" si="3">B4-B7</f>
        <v>91.187000000000126</v>
      </c>
      <c r="C13" s="24">
        <f>C4-C7</f>
        <v>128.63400000000001</v>
      </c>
      <c r="D13" s="24">
        <f>D4-D7</f>
        <v>199.42700000000013</v>
      </c>
      <c r="E13" s="24">
        <f>E4-E7</f>
        <v>318.38099999999986</v>
      </c>
      <c r="F13" s="24">
        <f>F4-F7</f>
        <v>158.67200000000003</v>
      </c>
      <c r="H13" s="46"/>
      <c r="I13" s="1"/>
      <c r="J13" s="7"/>
      <c r="K13" s="7"/>
      <c r="L13" s="7"/>
      <c r="M13" s="7"/>
      <c r="N13" s="7"/>
    </row>
    <row r="14" spans="1:14" ht="18.5">
      <c r="A14" s="16" t="s">
        <v>40</v>
      </c>
      <c r="B14" s="17" t="s">
        <v>91</v>
      </c>
      <c r="C14" s="81">
        <f>C13/B13-1</f>
        <v>0.4106616074659748</v>
      </c>
      <c r="D14" s="81">
        <f>D13/C13-1</f>
        <v>0.55034438795341911</v>
      </c>
      <c r="E14" s="82">
        <f>E13/D13-1</f>
        <v>0.59647891208311643</v>
      </c>
      <c r="F14" s="39" t="s">
        <v>85</v>
      </c>
      <c r="H14" s="46"/>
      <c r="I14" s="23" t="s">
        <v>34</v>
      </c>
      <c r="J14" s="35">
        <f>SUM(J15:J17)</f>
        <v>13.896000000000001</v>
      </c>
      <c r="K14" s="35">
        <f t="shared" ref="K14:N14" si="4">SUM(K15:K17)</f>
        <v>116.64</v>
      </c>
      <c r="L14" s="35">
        <f t="shared" si="4"/>
        <v>107.988</v>
      </c>
      <c r="M14" s="35">
        <f>SUM(M15:M17)</f>
        <v>203.28700000000001</v>
      </c>
      <c r="N14" s="35">
        <f t="shared" si="4"/>
        <v>300.59800000000001</v>
      </c>
    </row>
    <row r="15" spans="1:14" ht="18.5">
      <c r="A15" s="16" t="s">
        <v>44</v>
      </c>
      <c r="B15" s="16"/>
      <c r="C15" s="16"/>
      <c r="D15" s="18" t="s">
        <v>91</v>
      </c>
      <c r="E15" s="82">
        <f>((E13/B13)^(1/3)-1)</f>
        <v>0.51706691870405153</v>
      </c>
      <c r="F15" s="39" t="s">
        <v>85</v>
      </c>
      <c r="H15" s="46"/>
      <c r="I15" s="1" t="s">
        <v>93</v>
      </c>
      <c r="J15" s="67">
        <v>13.387</v>
      </c>
      <c r="K15" s="67">
        <v>104.884</v>
      </c>
      <c r="L15" s="67">
        <v>106.322</v>
      </c>
      <c r="M15" s="67">
        <v>159.131</v>
      </c>
      <c r="N15" s="67">
        <v>262.63499999999999</v>
      </c>
    </row>
    <row r="16" spans="1:14">
      <c r="A16" s="20" t="s">
        <v>6</v>
      </c>
      <c r="B16" s="83">
        <f>B13/B4</f>
        <v>8.4701570174852053E-2</v>
      </c>
      <c r="C16" s="83">
        <f>C13/C4</f>
        <v>7.7583040463396938E-2</v>
      </c>
      <c r="D16" s="83">
        <f>D13/D4</f>
        <v>7.810167351497678E-2</v>
      </c>
      <c r="E16" s="83">
        <f>E13/E4</f>
        <v>0.11327837723310298</v>
      </c>
      <c r="F16" s="83">
        <f>F13/F4</f>
        <v>9.2800520289293961E-2</v>
      </c>
      <c r="G16" s="41"/>
      <c r="H16" s="43"/>
      <c r="I16" s="1" t="s">
        <v>94</v>
      </c>
      <c r="J16" s="67">
        <v>0.50900000000000001</v>
      </c>
      <c r="K16" s="67">
        <v>11.756</v>
      </c>
      <c r="L16" s="67">
        <v>1.6659999999999999</v>
      </c>
      <c r="M16" s="67">
        <v>44.155999999999999</v>
      </c>
      <c r="N16" s="67">
        <v>37.651000000000003</v>
      </c>
    </row>
    <row r="17" spans="1:14">
      <c r="A17" s="1" t="s">
        <v>8</v>
      </c>
      <c r="B17" s="67">
        <v>2.5</v>
      </c>
      <c r="C17" s="67">
        <v>6.02</v>
      </c>
      <c r="D17" s="68">
        <v>13.85</v>
      </c>
      <c r="E17" s="68">
        <v>15.760999999999999</v>
      </c>
      <c r="F17" s="80">
        <v>15.074</v>
      </c>
      <c r="H17" s="41"/>
      <c r="I17" s="1" t="s">
        <v>106</v>
      </c>
      <c r="J17" s="7"/>
      <c r="K17" s="7"/>
      <c r="L17" s="7"/>
      <c r="M17" s="7"/>
      <c r="N17" s="7">
        <v>0.312</v>
      </c>
    </row>
    <row r="18" spans="1:14" ht="18.5">
      <c r="A18" s="1" t="s">
        <v>9</v>
      </c>
      <c r="B18" s="67">
        <v>1.258</v>
      </c>
      <c r="C18" s="67">
        <v>3.883</v>
      </c>
      <c r="D18" s="68">
        <v>5.4660000000000002</v>
      </c>
      <c r="E18" s="68">
        <v>6.6959999999999997</v>
      </c>
      <c r="F18" s="80">
        <v>4.8769999999999998</v>
      </c>
      <c r="G18" s="43"/>
      <c r="H18" s="42"/>
      <c r="I18" s="23" t="s">
        <v>35</v>
      </c>
      <c r="J18" s="35">
        <f>SUM(J19:J23)</f>
        <v>203.95399999999995</v>
      </c>
      <c r="K18" s="35">
        <f t="shared" ref="K18:N18" si="5">SUM(K19:K23)</f>
        <v>317.21599999999995</v>
      </c>
      <c r="L18" s="35">
        <f t="shared" si="5"/>
        <v>406.60300000000001</v>
      </c>
      <c r="M18" s="35">
        <f t="shared" si="5"/>
        <v>707.75900000000001</v>
      </c>
      <c r="N18" s="35">
        <f t="shared" si="5"/>
        <v>1310.8600000000001</v>
      </c>
    </row>
    <row r="19" spans="1:14" ht="18.5">
      <c r="A19" s="1" t="s">
        <v>10</v>
      </c>
      <c r="B19" s="67">
        <v>7.5999999999999998E-2</v>
      </c>
      <c r="C19" s="67">
        <v>0.39</v>
      </c>
      <c r="D19" s="68">
        <v>1.4650000000000001</v>
      </c>
      <c r="E19" s="68">
        <v>2.101</v>
      </c>
      <c r="F19" s="80">
        <v>8.3490000000000002</v>
      </c>
      <c r="H19" s="46"/>
      <c r="I19" s="1" t="s">
        <v>28</v>
      </c>
      <c r="J19" s="67">
        <v>148.84399999999999</v>
      </c>
      <c r="K19" s="67">
        <v>238.46300000000002</v>
      </c>
      <c r="L19" s="67">
        <v>282.88299999999998</v>
      </c>
      <c r="M19" s="67">
        <v>354.87299999999999</v>
      </c>
      <c r="N19" s="67">
        <v>707.24699999999996</v>
      </c>
    </row>
    <row r="20" spans="1:14" ht="18.5">
      <c r="A20" s="33" t="s">
        <v>15</v>
      </c>
      <c r="B20" s="84">
        <f>B13-B17-B18+B19</f>
        <v>87.505000000000123</v>
      </c>
      <c r="C20" s="30">
        <f>C13-C17-C18+C19</f>
        <v>119.12100000000002</v>
      </c>
      <c r="D20" s="84">
        <f>D13-D17-D18+D19</f>
        <v>181.57600000000014</v>
      </c>
      <c r="E20" s="84">
        <f>E13-E17-E18+E19</f>
        <v>298.02499999999981</v>
      </c>
      <c r="F20" s="84">
        <f>F13-F17-F18+F19</f>
        <v>147.07</v>
      </c>
      <c r="G20" s="43"/>
      <c r="H20" s="42"/>
      <c r="I20" s="1" t="s">
        <v>95</v>
      </c>
      <c r="J20" s="67">
        <v>33.269999999999996</v>
      </c>
      <c r="K20" s="67">
        <v>57.311</v>
      </c>
      <c r="L20" s="67">
        <v>50.725999999999999</v>
      </c>
      <c r="M20" s="67">
        <v>196.654</v>
      </c>
      <c r="N20" s="67">
        <v>305.685</v>
      </c>
    </row>
    <row r="21" spans="1:14" ht="18.5">
      <c r="A21" s="1" t="s">
        <v>11</v>
      </c>
      <c r="B21" s="7"/>
      <c r="C21" s="7"/>
      <c r="D21" s="12"/>
      <c r="E21" s="12"/>
      <c r="F21" s="40"/>
      <c r="G21" s="44"/>
      <c r="H21" s="45"/>
      <c r="I21" s="1" t="s">
        <v>96</v>
      </c>
      <c r="J21" s="67">
        <v>1.7530000000000001</v>
      </c>
      <c r="K21" s="67">
        <v>0.45300000000000001</v>
      </c>
      <c r="L21" s="67">
        <v>20.255000000000003</v>
      </c>
      <c r="M21" s="67">
        <v>38.716999999999999</v>
      </c>
      <c r="N21" s="67">
        <v>204.21299999999999</v>
      </c>
    </row>
    <row r="22" spans="1:14" ht="18.5">
      <c r="A22" s="33" t="s">
        <v>12</v>
      </c>
      <c r="B22" s="84">
        <f>B20</f>
        <v>87.505000000000123</v>
      </c>
      <c r="C22" s="84">
        <v>119.12</v>
      </c>
      <c r="D22" s="84">
        <v>181.57499999999999</v>
      </c>
      <c r="E22" s="84">
        <v>298.02499999999998</v>
      </c>
      <c r="F22" s="84">
        <v>147.07</v>
      </c>
      <c r="H22" s="46"/>
      <c r="I22" s="1" t="s">
        <v>97</v>
      </c>
      <c r="J22" s="67">
        <v>12.977</v>
      </c>
      <c r="K22" s="67">
        <v>11.131</v>
      </c>
      <c r="L22" s="67">
        <v>38.912999999999997</v>
      </c>
      <c r="M22" s="67">
        <v>80.975999999999999</v>
      </c>
      <c r="N22" s="67">
        <v>10.459</v>
      </c>
    </row>
    <row r="23" spans="1:14" ht="18.5">
      <c r="A23" s="1" t="s">
        <v>13</v>
      </c>
      <c r="B23" s="67">
        <v>25.82</v>
      </c>
      <c r="C23" s="67">
        <v>37.680999999999997</v>
      </c>
      <c r="D23" s="68">
        <v>45.805</v>
      </c>
      <c r="E23" s="68">
        <v>75.162000000000006</v>
      </c>
      <c r="F23" s="80">
        <v>36.771999999999998</v>
      </c>
      <c r="G23" s="43"/>
      <c r="H23" s="42"/>
      <c r="I23" s="1" t="s">
        <v>98</v>
      </c>
      <c r="J23" s="67">
        <v>7.1099999999999994</v>
      </c>
      <c r="K23" s="67">
        <v>9.8580000000000005</v>
      </c>
      <c r="L23" s="67">
        <v>13.825999999999999</v>
      </c>
      <c r="M23" s="67">
        <v>36.539000000000001</v>
      </c>
      <c r="N23" s="67">
        <v>83.256</v>
      </c>
    </row>
    <row r="24" spans="1:14" ht="18.5">
      <c r="A24" s="3" t="s">
        <v>81</v>
      </c>
      <c r="B24" s="86">
        <f>B23/B22</f>
        <v>0.29506885320838766</v>
      </c>
      <c r="C24" s="86">
        <f>C23/C22</f>
        <v>0.31632807253190059</v>
      </c>
      <c r="D24" s="86">
        <f t="shared" ref="D24" si="6">D23/D22</f>
        <v>0.25226490430951398</v>
      </c>
      <c r="E24" s="86">
        <f>E23/E22</f>
        <v>0.25220031876520432</v>
      </c>
      <c r="F24" s="86">
        <f>F23/F22</f>
        <v>0.25003059767457675</v>
      </c>
      <c r="H24" s="46"/>
      <c r="I24" s="4"/>
      <c r="J24" s="67"/>
      <c r="K24" s="67"/>
      <c r="L24" s="67"/>
      <c r="M24" s="67"/>
      <c r="N24" s="67"/>
    </row>
    <row r="25" spans="1:14">
      <c r="A25" s="25" t="s">
        <v>14</v>
      </c>
      <c r="B25" s="85">
        <f>B22-B23</f>
        <v>61.685000000000123</v>
      </c>
      <c r="C25" s="85">
        <f t="shared" ref="C25:E25" si="7">C22-C23</f>
        <v>81.439000000000007</v>
      </c>
      <c r="D25" s="84">
        <f t="shared" si="7"/>
        <v>135.76999999999998</v>
      </c>
      <c r="E25" s="85">
        <f t="shared" si="7"/>
        <v>222.86299999999997</v>
      </c>
      <c r="F25" s="85">
        <f>F22-F23</f>
        <v>110.298</v>
      </c>
      <c r="I25" s="23" t="s">
        <v>29</v>
      </c>
      <c r="J25" s="35">
        <f>J26+J29+J30</f>
        <v>44.353000000000002</v>
      </c>
      <c r="K25" s="35">
        <f>K26+K29+K30</f>
        <v>68.024000000000001</v>
      </c>
      <c r="L25" s="35">
        <f t="shared" ref="L25" si="8">L26+L29+L30</f>
        <v>70.451999999999998</v>
      </c>
      <c r="M25" s="35">
        <f>M26+M29+M30</f>
        <v>111.37299999999999</v>
      </c>
      <c r="N25" s="35">
        <f>N26+N29+N30</f>
        <v>36.262999999999998</v>
      </c>
    </row>
    <row r="26" spans="1:14">
      <c r="A26" s="16" t="s">
        <v>2</v>
      </c>
      <c r="B26" s="18"/>
      <c r="C26" s="18">
        <f>C25/B25-1</f>
        <v>0.32023992866985229</v>
      </c>
      <c r="D26" s="18">
        <f>D25/C25-1</f>
        <v>0.66713736661795919</v>
      </c>
      <c r="E26" s="18">
        <f>E25/D25-1</f>
        <v>0.64147455255211017</v>
      </c>
      <c r="F26" s="39" t="s">
        <v>85</v>
      </c>
      <c r="I26" s="1" t="s">
        <v>99</v>
      </c>
      <c r="J26" s="67">
        <f>J27+J28</f>
        <v>2.1890000000000001</v>
      </c>
      <c r="K26" s="67">
        <f>K27+K28</f>
        <v>14.484</v>
      </c>
      <c r="L26" s="67">
        <f t="shared" ref="L26:M26" si="9">L27+L28</f>
        <v>13.556999999999999</v>
      </c>
      <c r="M26" s="67">
        <f t="shared" si="9"/>
        <v>17.042999999999999</v>
      </c>
      <c r="N26" s="67">
        <f>N27+N28</f>
        <v>15.903</v>
      </c>
    </row>
    <row r="27" spans="1:14">
      <c r="A27" s="16" t="s">
        <v>44</v>
      </c>
      <c r="B27" s="16"/>
      <c r="C27" s="16"/>
      <c r="D27" s="18"/>
      <c r="E27" s="18">
        <f>((E25/B25)^(1/3)-1)</f>
        <v>0.53445021044525332</v>
      </c>
      <c r="F27" s="39" t="s">
        <v>85</v>
      </c>
      <c r="I27" s="4" t="s">
        <v>100</v>
      </c>
      <c r="J27" s="67"/>
      <c r="K27" s="67"/>
      <c r="L27" s="67"/>
      <c r="M27" s="67"/>
      <c r="N27" s="67">
        <v>0.57399999999999995</v>
      </c>
    </row>
    <row r="28" spans="1:14">
      <c r="A28" s="21" t="s">
        <v>16</v>
      </c>
      <c r="B28" s="89">
        <f>B25/B4</f>
        <v>5.7297820481381691E-2</v>
      </c>
      <c r="C28" s="89">
        <f t="shared" ref="C28:E28" si="10">C25/C4</f>
        <v>4.9118314227176205E-2</v>
      </c>
      <c r="D28" s="89">
        <f>D25/D4</f>
        <v>5.3171657865426394E-2</v>
      </c>
      <c r="E28" s="89">
        <f t="shared" si="10"/>
        <v>7.9293547621563584E-2</v>
      </c>
      <c r="F28" s="89">
        <f>F25/F4</f>
        <v>6.4508620215718862E-2</v>
      </c>
      <c r="I28" s="4" t="s">
        <v>101</v>
      </c>
      <c r="J28" s="67">
        <v>2.1890000000000001</v>
      </c>
      <c r="K28" s="67">
        <v>14.484</v>
      </c>
      <c r="L28" s="67">
        <v>13.556999999999999</v>
      </c>
      <c r="M28" s="67">
        <v>17.042999999999999</v>
      </c>
      <c r="N28" s="67">
        <v>15.329000000000001</v>
      </c>
    </row>
    <row r="29" spans="1:14">
      <c r="A29" s="1" t="s">
        <v>38</v>
      </c>
      <c r="B29" s="7"/>
      <c r="C29" s="7"/>
      <c r="D29" s="12"/>
      <c r="E29" s="12"/>
      <c r="F29" s="40"/>
      <c r="I29" s="4" t="s">
        <v>102</v>
      </c>
      <c r="J29" s="67">
        <v>16.567</v>
      </c>
      <c r="K29" s="67">
        <v>17.513999999999999</v>
      </c>
      <c r="L29" s="67">
        <v>12.224</v>
      </c>
      <c r="M29" s="67">
        <v>20.919999999999998</v>
      </c>
      <c r="N29" s="67">
        <v>20.36</v>
      </c>
    </row>
    <row r="30" spans="1:14">
      <c r="A30" s="23" t="s">
        <v>39</v>
      </c>
      <c r="B30" s="24">
        <f>B25+B29</f>
        <v>61.685000000000123</v>
      </c>
      <c r="C30" s="24">
        <f t="shared" ref="C30:E30" si="11">C25+C29</f>
        <v>81.439000000000007</v>
      </c>
      <c r="D30" s="24">
        <f t="shared" si="11"/>
        <v>135.76999999999998</v>
      </c>
      <c r="E30" s="24">
        <f t="shared" si="11"/>
        <v>222.86299999999997</v>
      </c>
      <c r="F30" s="24">
        <f>F25+F29</f>
        <v>110.298</v>
      </c>
      <c r="I30" s="4" t="s">
        <v>103</v>
      </c>
      <c r="J30" s="67">
        <v>25.597000000000001</v>
      </c>
      <c r="K30" s="67">
        <v>36.025999999999996</v>
      </c>
      <c r="L30" s="67">
        <v>44.670999999999999</v>
      </c>
      <c r="M30" s="67">
        <v>73.41</v>
      </c>
      <c r="N30" s="67"/>
    </row>
    <row r="31" spans="1:14">
      <c r="A31" s="16" t="s">
        <v>40</v>
      </c>
      <c r="B31" s="18" t="s">
        <v>91</v>
      </c>
      <c r="C31" s="18">
        <f t="shared" ref="C31:D31" si="12">C30/B30-1</f>
        <v>0.32023992866985229</v>
      </c>
      <c r="D31" s="18">
        <f t="shared" si="12"/>
        <v>0.66713736661795919</v>
      </c>
      <c r="E31" s="18">
        <f>E30/D30-1</f>
        <v>0.64147455255211017</v>
      </c>
      <c r="F31" s="39" t="s">
        <v>85</v>
      </c>
      <c r="I31" s="4"/>
      <c r="J31" s="67"/>
      <c r="K31" s="67"/>
      <c r="L31" s="67"/>
      <c r="M31" s="67"/>
      <c r="N31" s="67"/>
    </row>
    <row r="32" spans="1:14">
      <c r="A32" s="16" t="s">
        <v>44</v>
      </c>
      <c r="B32" s="16"/>
      <c r="C32" s="16"/>
      <c r="D32" s="18" t="s">
        <v>91</v>
      </c>
      <c r="E32" s="18">
        <f>((E30/B30)^(1/3)-1)</f>
        <v>0.53445021044525332</v>
      </c>
      <c r="F32" s="39" t="s">
        <v>85</v>
      </c>
      <c r="I32" s="23" t="s">
        <v>30</v>
      </c>
      <c r="J32" s="35">
        <f>SUM(J33:J34)</f>
        <v>2E-3</v>
      </c>
      <c r="K32" s="35">
        <f t="shared" ref="K32:N32" si="13">SUM(K33:K34)</f>
        <v>1.6559999999999999</v>
      </c>
      <c r="L32" s="35">
        <f t="shared" si="13"/>
        <v>3.343</v>
      </c>
      <c r="M32" s="35">
        <f t="shared" si="13"/>
        <v>5.5279999999999996</v>
      </c>
      <c r="N32" s="35">
        <f t="shared" si="13"/>
        <v>7.4730000000000008</v>
      </c>
    </row>
    <row r="33" spans="1:14">
      <c r="A33" s="23" t="s">
        <v>41</v>
      </c>
      <c r="B33" s="23"/>
      <c r="C33" s="23"/>
      <c r="D33" s="26"/>
      <c r="E33" s="26"/>
      <c r="F33" s="26"/>
      <c r="I33" s="1" t="s">
        <v>104</v>
      </c>
      <c r="J33" s="67">
        <v>2E-3</v>
      </c>
      <c r="K33" s="67">
        <v>1.6559999999999999</v>
      </c>
      <c r="L33" s="67">
        <v>2.79</v>
      </c>
      <c r="M33" s="67">
        <v>4.5419999999999998</v>
      </c>
      <c r="N33" s="67">
        <v>6.2240000000000002</v>
      </c>
    </row>
    <row r="34" spans="1:14">
      <c r="A34" s="4" t="s">
        <v>42</v>
      </c>
      <c r="B34" s="67">
        <v>3.27</v>
      </c>
      <c r="C34" s="67">
        <v>4.32</v>
      </c>
      <c r="D34" s="90">
        <v>7.2</v>
      </c>
      <c r="E34" s="90">
        <v>11.82</v>
      </c>
      <c r="F34" s="90">
        <v>4.55</v>
      </c>
      <c r="I34" s="1" t="s">
        <v>105</v>
      </c>
      <c r="J34" s="67">
        <v>0</v>
      </c>
      <c r="K34" s="67">
        <v>0</v>
      </c>
      <c r="L34" s="67">
        <v>0.55300000000000005</v>
      </c>
      <c r="M34" s="67">
        <v>0.98599999999999999</v>
      </c>
      <c r="N34" s="67">
        <v>1.2490000000000001</v>
      </c>
    </row>
    <row r="35" spans="1:14">
      <c r="A35" s="4" t="s">
        <v>43</v>
      </c>
      <c r="B35" s="67">
        <v>3.27</v>
      </c>
      <c r="C35" s="67">
        <v>4.32</v>
      </c>
      <c r="D35" s="90">
        <v>7.2</v>
      </c>
      <c r="E35" s="90">
        <v>11.82</v>
      </c>
      <c r="F35" s="91">
        <v>4.55</v>
      </c>
      <c r="I35" s="4"/>
      <c r="J35" s="67"/>
      <c r="K35" s="67"/>
      <c r="L35" s="67"/>
      <c r="M35" s="67"/>
      <c r="N35" s="67"/>
    </row>
    <row r="36" spans="1:14">
      <c r="A36" s="16" t="s">
        <v>40</v>
      </c>
      <c r="B36" s="82" t="s">
        <v>91</v>
      </c>
      <c r="C36" s="87">
        <f>C35/B35-1</f>
        <v>0.32110091743119273</v>
      </c>
      <c r="D36" s="87">
        <f t="shared" ref="D36" si="14">D35/C35-1</f>
        <v>0.66666666666666652</v>
      </c>
      <c r="E36" s="87">
        <f>E35/D35-1</f>
        <v>0.64166666666666661</v>
      </c>
      <c r="F36" s="87" t="s">
        <v>85</v>
      </c>
      <c r="I36" s="23" t="s">
        <v>80</v>
      </c>
      <c r="J36" s="35">
        <f>J18-J25-J9</f>
        <v>137.75299999999993</v>
      </c>
      <c r="K36" s="35">
        <f t="shared" ref="K36:N36" si="15">K18-K25-K9</f>
        <v>161.30499999999995</v>
      </c>
      <c r="L36" s="35">
        <f t="shared" si="15"/>
        <v>304.50700000000001</v>
      </c>
      <c r="M36" s="35">
        <f>M18-M25-M9</f>
        <v>492.88</v>
      </c>
      <c r="N36" s="35">
        <f t="shared" si="15"/>
        <v>1263.4390000000003</v>
      </c>
    </row>
    <row r="37" spans="1:14">
      <c r="A37" s="16" t="s">
        <v>44</v>
      </c>
      <c r="B37" s="88"/>
      <c r="C37" s="88"/>
      <c r="D37" s="82" t="s">
        <v>91</v>
      </c>
      <c r="E37" s="82">
        <f>((E35/B35)^(1/3)-1)</f>
        <v>0.534699110115745</v>
      </c>
      <c r="F37" s="87" t="s">
        <v>85</v>
      </c>
      <c r="I37" s="1"/>
      <c r="J37" s="7"/>
      <c r="K37" s="7"/>
      <c r="L37" s="7"/>
      <c r="M37" s="7"/>
      <c r="N37" s="7"/>
    </row>
    <row r="38" spans="1:14">
      <c r="I38" s="1" t="s">
        <v>31</v>
      </c>
      <c r="J38" s="7"/>
      <c r="K38" s="7"/>
      <c r="L38" s="7"/>
      <c r="M38" s="7"/>
      <c r="N38" s="7"/>
    </row>
    <row r="39" spans="1:14">
      <c r="A39" s="75" t="s">
        <v>84</v>
      </c>
      <c r="B39" s="76"/>
      <c r="C39" s="76"/>
      <c r="D39" s="76"/>
      <c r="E39" s="76"/>
      <c r="F39" s="76"/>
      <c r="I39" s="23" t="s">
        <v>32</v>
      </c>
      <c r="J39" s="35">
        <f>J14+J18</f>
        <v>217.84999999999997</v>
      </c>
      <c r="K39" s="35">
        <f t="shared" ref="K39:N39" si="16">K14+K18</f>
        <v>433.85599999999994</v>
      </c>
      <c r="L39" s="35">
        <f t="shared" si="16"/>
        <v>514.59100000000001</v>
      </c>
      <c r="M39" s="35">
        <f t="shared" si="16"/>
        <v>911.04600000000005</v>
      </c>
      <c r="N39" s="35">
        <f t="shared" si="16"/>
        <v>1611.4580000000001</v>
      </c>
    </row>
    <row r="40" spans="1:14" ht="15" customHeight="1">
      <c r="A40" s="22" t="s">
        <v>83</v>
      </c>
      <c r="B40" s="13" t="s">
        <v>82</v>
      </c>
      <c r="C40" s="13" t="s">
        <v>37</v>
      </c>
      <c r="D40" s="13" t="s">
        <v>36</v>
      </c>
      <c r="E40" s="13" t="s">
        <v>17</v>
      </c>
      <c r="F40" s="13" t="s">
        <v>86</v>
      </c>
      <c r="I40" s="23" t="s">
        <v>33</v>
      </c>
      <c r="J40" s="35">
        <f>J32+J25+J10+J6</f>
        <v>217.85000000000002</v>
      </c>
      <c r="K40" s="35">
        <f t="shared" ref="K40:N40" si="17">K32+K25+K10+K6</f>
        <v>433.85599999999999</v>
      </c>
      <c r="L40" s="35">
        <f t="shared" si="17"/>
        <v>514.59199999999998</v>
      </c>
      <c r="M40" s="30">
        <f t="shared" si="17"/>
        <v>911.04499999999996</v>
      </c>
      <c r="N40" s="35">
        <f t="shared" si="17"/>
        <v>1611.4580000000001</v>
      </c>
    </row>
    <row r="41" spans="1:14" ht="16.5" customHeight="1">
      <c r="A41" s="5" t="s">
        <v>45</v>
      </c>
      <c r="B41" s="93">
        <v>0.59799999999999998</v>
      </c>
      <c r="C41" s="93">
        <v>1.7529999999999999</v>
      </c>
      <c r="D41" s="94">
        <v>0.45300000000000001</v>
      </c>
      <c r="E41" s="94">
        <v>20.254999999999999</v>
      </c>
      <c r="F41" s="94">
        <v>38.716999999999999</v>
      </c>
    </row>
    <row r="42" spans="1:14">
      <c r="A42" s="4" t="s">
        <v>46</v>
      </c>
      <c r="B42" s="67">
        <v>-1.1000000000000001</v>
      </c>
      <c r="C42" s="67">
        <v>1.351</v>
      </c>
      <c r="D42" s="68">
        <v>87.855000000000004</v>
      </c>
      <c r="E42" s="68">
        <v>1.4610000000000001</v>
      </c>
      <c r="F42" s="68">
        <v>-382.20699999999999</v>
      </c>
    </row>
    <row r="43" spans="1:14">
      <c r="A43" s="4" t="s">
        <v>47</v>
      </c>
      <c r="B43" s="67">
        <v>-2.1549999999999998</v>
      </c>
      <c r="C43" s="67">
        <v>-106.23699999999999</v>
      </c>
      <c r="D43" s="38">
        <v>4.2699999999999996</v>
      </c>
      <c r="E43" s="95">
        <v>-100.807</v>
      </c>
      <c r="F43" s="68">
        <v>-94.037000000000006</v>
      </c>
      <c r="I43" s="22" t="s">
        <v>61</v>
      </c>
      <c r="J43" s="13" t="s">
        <v>82</v>
      </c>
      <c r="K43" s="13" t="s">
        <v>37</v>
      </c>
      <c r="L43" s="13" t="s">
        <v>36</v>
      </c>
      <c r="M43" s="13" t="s">
        <v>17</v>
      </c>
      <c r="N43" s="13" t="s">
        <v>90</v>
      </c>
    </row>
    <row r="44" spans="1:14">
      <c r="A44" s="4" t="s">
        <v>48</v>
      </c>
      <c r="B44" s="67">
        <v>4.4089999999999998</v>
      </c>
      <c r="C44" s="67">
        <v>103.586</v>
      </c>
      <c r="D44" s="68">
        <v>-72.323999999999998</v>
      </c>
      <c r="E44" s="68">
        <v>117.81</v>
      </c>
      <c r="F44" s="68">
        <v>641.74099999999999</v>
      </c>
      <c r="I44" s="29" t="s">
        <v>62</v>
      </c>
      <c r="J44" s="30"/>
      <c r="K44" s="30"/>
      <c r="L44" s="30"/>
      <c r="M44" s="31"/>
      <c r="N44" s="31">
        <v>134.05000000000001</v>
      </c>
    </row>
    <row r="45" spans="1:14">
      <c r="A45" s="19" t="s">
        <v>49</v>
      </c>
      <c r="B45" s="96">
        <f>B42+B43+B44</f>
        <v>1.1539999999999999</v>
      </c>
      <c r="C45" s="97">
        <f t="shared" ref="B45:D45" si="18">C42+C43+C44</f>
        <v>-1.2999999999999972</v>
      </c>
      <c r="D45" s="96">
        <f t="shared" si="18"/>
        <v>19.801000000000002</v>
      </c>
      <c r="E45" s="97">
        <f>E42+E43+E44</f>
        <v>18.463999999999999</v>
      </c>
      <c r="F45" s="97">
        <f>F42+F43+F44</f>
        <v>165.49699999999996</v>
      </c>
      <c r="I45" s="29" t="s">
        <v>63</v>
      </c>
      <c r="J45" s="32">
        <f>B25/B54</f>
        <v>265.0245755138522</v>
      </c>
      <c r="K45" s="32">
        <f>C25/C54</f>
        <v>349.89602667216616</v>
      </c>
      <c r="L45" s="32">
        <f>D25/D54</f>
        <v>583.32474049632219</v>
      </c>
      <c r="M45" s="32">
        <f>E25/E54</f>
        <v>11.821144659244151</v>
      </c>
      <c r="N45" s="63" t="s">
        <v>85</v>
      </c>
    </row>
    <row r="46" spans="1:14">
      <c r="A46" s="23" t="s">
        <v>50</v>
      </c>
      <c r="B46" s="30">
        <f t="shared" ref="B46:E46" si="19">B41+B45</f>
        <v>1.7519999999999998</v>
      </c>
      <c r="C46" s="24">
        <f t="shared" si="19"/>
        <v>0.45300000000000273</v>
      </c>
      <c r="D46" s="30">
        <f t="shared" si="19"/>
        <v>20.254000000000001</v>
      </c>
      <c r="E46" s="24">
        <f t="shared" si="19"/>
        <v>38.718999999999994</v>
      </c>
      <c r="F46" s="24">
        <f>F41+F45</f>
        <v>204.21399999999994</v>
      </c>
      <c r="I46" s="6" t="s">
        <v>64</v>
      </c>
      <c r="J46" s="9">
        <f>J6/B54</f>
        <v>616.72939437684761</v>
      </c>
      <c r="K46" s="9">
        <f>K6/C54</f>
        <v>966.62542104901365</v>
      </c>
      <c r="L46" s="9">
        <f>L6/D54</f>
        <v>1549.9544579638414</v>
      </c>
      <c r="M46" s="9">
        <f>M6/E54</f>
        <v>30.83624428947634</v>
      </c>
      <c r="N46" s="9">
        <f>N6/F54</f>
        <v>56.139678315242051</v>
      </c>
    </row>
    <row r="47" spans="1:14">
      <c r="B47" s="8"/>
      <c r="C47" s="8"/>
      <c r="D47" s="8"/>
      <c r="E47" s="8"/>
      <c r="F47" s="8"/>
      <c r="I47" s="6" t="s">
        <v>65</v>
      </c>
      <c r="J47" s="10"/>
      <c r="K47" s="10"/>
      <c r="L47" s="10"/>
      <c r="M47" s="10"/>
      <c r="N47" s="10"/>
    </row>
    <row r="48" spans="1:14">
      <c r="A48" s="22" t="s">
        <v>51</v>
      </c>
      <c r="B48" s="13" t="s">
        <v>82</v>
      </c>
      <c r="C48" s="13" t="s">
        <v>37</v>
      </c>
      <c r="D48" s="13" t="s">
        <v>36</v>
      </c>
      <c r="E48" s="13" t="s">
        <v>17</v>
      </c>
      <c r="F48" s="13" t="s">
        <v>86</v>
      </c>
      <c r="G48" s="61"/>
      <c r="H48" s="38"/>
      <c r="I48" s="6" t="s">
        <v>66</v>
      </c>
      <c r="J48" s="10"/>
      <c r="K48" s="10"/>
      <c r="L48" s="10"/>
      <c r="M48" s="10"/>
      <c r="N48" s="10">
        <f>N44/M45</f>
        <v>11.339849385496922</v>
      </c>
    </row>
    <row r="49" spans="1:15">
      <c r="A49" s="6" t="s">
        <v>52</v>
      </c>
      <c r="B49" s="68">
        <f>B42</f>
        <v>-1.1000000000000001</v>
      </c>
      <c r="C49" s="68">
        <f t="shared" ref="C49:E49" si="20">C42</f>
        <v>1.351</v>
      </c>
      <c r="D49" s="68">
        <f t="shared" si="20"/>
        <v>87.855000000000004</v>
      </c>
      <c r="E49" s="68">
        <f t="shared" si="20"/>
        <v>1.4610000000000001</v>
      </c>
      <c r="F49" s="68">
        <f>F42</f>
        <v>-382.20699999999999</v>
      </c>
      <c r="I49" s="6" t="s">
        <v>67</v>
      </c>
      <c r="J49" s="10"/>
      <c r="K49" s="10"/>
      <c r="L49" s="10"/>
      <c r="M49" s="10"/>
      <c r="N49" s="10">
        <f>N44/N46</f>
        <v>2.3877942307981685</v>
      </c>
    </row>
    <row r="50" spans="1:15">
      <c r="A50" s="28" t="s">
        <v>53</v>
      </c>
      <c r="B50" s="96">
        <f>-1.65</f>
        <v>-1.65</v>
      </c>
      <c r="C50" s="96">
        <v>-95.38</v>
      </c>
      <c r="D50" s="98">
        <v>-7.0389999999999997</v>
      </c>
      <c r="E50" s="98">
        <f>59.556</f>
        <v>59.555999999999997</v>
      </c>
      <c r="F50" s="98">
        <f>108.399</f>
        <v>108.399</v>
      </c>
      <c r="G50" s="61"/>
      <c r="I50" s="6" t="s">
        <v>68</v>
      </c>
      <c r="J50" s="10"/>
      <c r="K50" s="10"/>
      <c r="L50" s="10"/>
      <c r="M50" s="10"/>
      <c r="N50" s="10">
        <f>F59/F13</f>
        <v>20.799454446909348</v>
      </c>
    </row>
    <row r="51" spans="1:15">
      <c r="A51" s="23" t="s">
        <v>54</v>
      </c>
      <c r="B51" s="24">
        <f>B49+B50</f>
        <v>-2.75</v>
      </c>
      <c r="C51" s="24">
        <f t="shared" ref="C51:F51" si="21">C49+C50</f>
        <v>-94.028999999999996</v>
      </c>
      <c r="D51" s="24">
        <f t="shared" si="21"/>
        <v>80.816000000000003</v>
      </c>
      <c r="E51" s="24">
        <f t="shared" si="21"/>
        <v>61.016999999999996</v>
      </c>
      <c r="F51" s="24">
        <f t="shared" si="21"/>
        <v>-273.80799999999999</v>
      </c>
      <c r="I51" s="29" t="s">
        <v>69</v>
      </c>
      <c r="J51" s="36">
        <f>B25/AVERAGE(I6,J6)</f>
        <v>0.42972586993625772</v>
      </c>
      <c r="K51" s="36">
        <f>C25/AVERAGE(J6,K6)</f>
        <v>0.44196793196736217</v>
      </c>
      <c r="L51" s="36">
        <f>D25/AVERAGE(K6,L6)</f>
        <v>0.46358531700979438</v>
      </c>
      <c r="M51" s="36">
        <f>E25/AVERAGE(L6,M6)</f>
        <v>0.47311560882616427</v>
      </c>
      <c r="N51" s="36"/>
    </row>
    <row r="52" spans="1:15">
      <c r="B52" s="8"/>
      <c r="C52" s="8"/>
      <c r="D52" s="8"/>
      <c r="E52" s="8"/>
      <c r="F52" s="8"/>
      <c r="I52" s="29" t="s">
        <v>70</v>
      </c>
      <c r="J52" s="36">
        <f>B25/AVERAGE(I12,J12)</f>
        <v>0.35554338741750552</v>
      </c>
      <c r="K52" s="36">
        <f>C25/AVERAGE(J12,K12)</f>
        <v>0.30293246241660793</v>
      </c>
      <c r="L52" s="36">
        <f>D25/AVERAGE(K12,L12)</f>
        <v>0.33732808429599492</v>
      </c>
      <c r="M52" s="36">
        <f>E25/AVERAGE(L12,M12)</f>
        <v>0.3609289836518505</v>
      </c>
      <c r="N52" s="36"/>
    </row>
    <row r="53" spans="1:15">
      <c r="A53" s="22" t="s">
        <v>51</v>
      </c>
      <c r="B53" s="13" t="s">
        <v>82</v>
      </c>
      <c r="C53" s="13" t="s">
        <v>37</v>
      </c>
      <c r="D53" s="13" t="s">
        <v>36</v>
      </c>
      <c r="E53" s="13" t="s">
        <v>17</v>
      </c>
      <c r="F53" s="13" t="s">
        <v>86</v>
      </c>
      <c r="H53" s="61"/>
      <c r="I53" s="6" t="s">
        <v>71</v>
      </c>
      <c r="J53" s="9">
        <f>J10/J6</f>
        <v>0.20864537253126195</v>
      </c>
      <c r="K53" s="9">
        <f>K10/K6</f>
        <v>0.61867510578530027</v>
      </c>
      <c r="L53" s="9">
        <f>L10/L6</f>
        <v>0.22187357070588073</v>
      </c>
      <c r="M53" s="92">
        <f>M10/M6</f>
        <v>0.36602718141989465</v>
      </c>
      <c r="N53" s="9">
        <f>N10/N6</f>
        <v>0.12334558388859708</v>
      </c>
    </row>
    <row r="54" spans="1:15">
      <c r="A54" s="1" t="s">
        <v>55</v>
      </c>
      <c r="B54" s="27">
        <v>0.23275199999999999</v>
      </c>
      <c r="C54" s="27">
        <v>0.23275199999999999</v>
      </c>
      <c r="D54" s="27">
        <v>0.23275199999999999</v>
      </c>
      <c r="E54" s="27">
        <f>18.852912</f>
        <v>18.852912</v>
      </c>
      <c r="F54" s="12">
        <f>18.85912+6</f>
        <v>24.859120000000001</v>
      </c>
      <c r="I54" s="29" t="s">
        <v>72</v>
      </c>
      <c r="J54" s="32">
        <f>(J10-J21)/J6</f>
        <v>0.19643317426590962</v>
      </c>
      <c r="K54" s="32">
        <f>(K10-K21)/K6</f>
        <v>0.61666162927141488</v>
      </c>
      <c r="L54" s="32">
        <f>(L10-L21)/L6</f>
        <v>0.1657274327452149</v>
      </c>
      <c r="M54" s="32">
        <f>(M10-M21)/M6</f>
        <v>0.29942909041494586</v>
      </c>
      <c r="N54" s="32">
        <f>(N10-N21)/N6</f>
        <v>-2.2982509818477305E-2</v>
      </c>
    </row>
    <row r="55" spans="1:15">
      <c r="A55" s="1" t="s">
        <v>56</v>
      </c>
      <c r="B55" s="12">
        <v>10</v>
      </c>
      <c r="C55" s="12">
        <v>10</v>
      </c>
      <c r="D55" s="12">
        <v>10</v>
      </c>
      <c r="E55" s="12">
        <v>10</v>
      </c>
      <c r="F55" s="12">
        <v>10</v>
      </c>
      <c r="I55" s="6" t="s">
        <v>73</v>
      </c>
      <c r="J55" s="37"/>
      <c r="K55" s="37"/>
      <c r="L55" s="37"/>
      <c r="M55" s="37"/>
      <c r="N55" s="37"/>
    </row>
    <row r="56" spans="1:15">
      <c r="A56" s="14" t="s">
        <v>57</v>
      </c>
      <c r="B56" s="15">
        <f>J44*B54</f>
        <v>0</v>
      </c>
      <c r="C56" s="15">
        <f>K44*C54</f>
        <v>0</v>
      </c>
      <c r="D56" s="15">
        <f>L44*D54</f>
        <v>0</v>
      </c>
      <c r="E56" s="15">
        <f>M44*E54</f>
        <v>0</v>
      </c>
      <c r="F56" s="15">
        <f>N44*F54</f>
        <v>3332.3650360000006</v>
      </c>
      <c r="I56" s="6" t="s">
        <v>74</v>
      </c>
      <c r="J56" s="64">
        <f>AVERAGE(I20,J20)/B4*365</f>
        <v>11.279872706600974</v>
      </c>
      <c r="K56" s="64">
        <f>AVERAGE(J20,K20)/C4*365</f>
        <v>9.9703636934965072</v>
      </c>
      <c r="L56" s="64">
        <f>AVERAGE(K20,L20)/D4*365</f>
        <v>7.7216794442608139</v>
      </c>
      <c r="M56" s="64">
        <f>AVERAGE(L20,M20)/E4*365</f>
        <v>16.063024819905451</v>
      </c>
      <c r="N56" s="64"/>
    </row>
    <row r="57" spans="1:15">
      <c r="A57" s="14" t="s">
        <v>58</v>
      </c>
      <c r="B57" s="15">
        <f>J10</f>
        <v>29.95</v>
      </c>
      <c r="C57" s="15">
        <f t="shared" ref="C57:F57" si="22">K10</f>
        <v>139.19200000000001</v>
      </c>
      <c r="D57" s="15">
        <f t="shared" si="22"/>
        <v>80.042000000000002</v>
      </c>
      <c r="E57" s="15">
        <f t="shared" si="22"/>
        <v>212.791</v>
      </c>
      <c r="F57" s="15">
        <f t="shared" si="22"/>
        <v>172.13899999999998</v>
      </c>
      <c r="I57" s="1" t="s">
        <v>75</v>
      </c>
      <c r="J57" s="64">
        <f>AVERAGE(I26,J26)/SUM(B8:B10)*365</f>
        <v>0.84143984750591083</v>
      </c>
      <c r="K57" s="64">
        <f>AVERAGE(J26,K26)/SUM(C8:C10)*365</f>
        <v>2.0803362232755553</v>
      </c>
      <c r="L57" s="64">
        <f>AVERAGE(K26,L26)/SUM(D8:D10)*365</f>
        <v>2.2488013309609696</v>
      </c>
      <c r="M57" s="64">
        <f>AVERAGE(L26,M26)/SUM(E8:E10)*365</f>
        <v>2.3179277986970295</v>
      </c>
      <c r="N57" s="10"/>
    </row>
    <row r="58" spans="1:15">
      <c r="A58" s="14" t="s">
        <v>59</v>
      </c>
      <c r="B58" s="15">
        <f>J21</f>
        <v>1.7530000000000001</v>
      </c>
      <c r="C58" s="15">
        <f t="shared" ref="C58:E58" si="23">K21</f>
        <v>0.45300000000000001</v>
      </c>
      <c r="D58" s="15">
        <f t="shared" si="23"/>
        <v>20.255000000000003</v>
      </c>
      <c r="E58" s="15">
        <f t="shared" si="23"/>
        <v>38.716999999999999</v>
      </c>
      <c r="F58" s="15">
        <f>N21</f>
        <v>204.21299999999999</v>
      </c>
      <c r="I58" s="1" t="s">
        <v>76</v>
      </c>
      <c r="J58" s="64">
        <f>AVERAGE(I19:J19)/SUM(B8:B10)*365</f>
        <v>57.214834473353037</v>
      </c>
      <c r="K58" s="64">
        <f>AVERAGE(J19:K19)/SUM(C8:C10)*365</f>
        <v>48.325363259652462</v>
      </c>
      <c r="L58" s="64">
        <f>AVERAGE(K19:L19)/SUM(D8:D10)*365</f>
        <v>41.810334106885556</v>
      </c>
      <c r="M58" s="64">
        <f>AVERAGE(L19:M19)/SUM(E8:E10)*365</f>
        <v>48.309554287118388</v>
      </c>
      <c r="N58" s="10"/>
    </row>
    <row r="59" spans="1:15">
      <c r="A59" s="23" t="s">
        <v>60</v>
      </c>
      <c r="B59" s="24"/>
      <c r="C59" s="24"/>
      <c r="D59" s="24"/>
      <c r="E59" s="24"/>
      <c r="F59" s="24">
        <f>F56+F57-F58</f>
        <v>3300.2910360000005</v>
      </c>
      <c r="I59" s="33" t="s">
        <v>77</v>
      </c>
      <c r="J59" s="66">
        <f>J56-J57+J58</f>
        <v>67.653267332448095</v>
      </c>
      <c r="K59" s="66">
        <f t="shared" ref="K59:L59" si="24">K56-K57+K58</f>
        <v>56.215390729873413</v>
      </c>
      <c r="L59" s="66">
        <f t="shared" si="24"/>
        <v>47.283212220185398</v>
      </c>
      <c r="M59" s="66">
        <f>M56-M57+M58</f>
        <v>62.054651308326811</v>
      </c>
      <c r="N59" s="34"/>
    </row>
    <row r="60" spans="1:15">
      <c r="H60" s="62"/>
      <c r="I60" s="6" t="s">
        <v>78</v>
      </c>
      <c r="J60" s="9">
        <f>B4/AVERAGE(I15,J15)</f>
        <v>80.418913871666533</v>
      </c>
      <c r="K60" s="9">
        <f>C4/AVERAGE(J15,K15)</f>
        <v>28.037591632775577</v>
      </c>
      <c r="L60" s="9">
        <f>D4/AVERAGE(K15,L15)</f>
        <v>24.179502476255408</v>
      </c>
      <c r="M60" s="92">
        <f>E4/AVERAGE(L15,M15)</f>
        <v>21.175929448904327</v>
      </c>
      <c r="N60" s="9"/>
      <c r="O60" s="48"/>
    </row>
    <row r="61" spans="1:15">
      <c r="I61" s="29" t="s">
        <v>79</v>
      </c>
      <c r="J61" s="32">
        <f>(B13-B18)/B17</f>
        <v>35.971600000000052</v>
      </c>
      <c r="K61" s="32">
        <f>(C13-C18)/C17</f>
        <v>20.722757475083061</v>
      </c>
      <c r="L61" s="32">
        <f>(D13-D18)/D17</f>
        <v>14.004404332129974</v>
      </c>
      <c r="M61" s="32">
        <f>(E13-E18)/E17</f>
        <v>19.775712201002463</v>
      </c>
      <c r="N61" s="32">
        <f>(F13-F18)/F17</f>
        <v>10.202666843571714</v>
      </c>
    </row>
    <row r="63" spans="1:15">
      <c r="L63" s="38"/>
    </row>
    <row r="66" spans="1:4">
      <c r="A66" s="49"/>
      <c r="B66" s="50"/>
      <c r="C66" s="50"/>
      <c r="D66" s="50"/>
    </row>
    <row r="67" spans="1:4">
      <c r="A67" s="51"/>
      <c r="B67" s="52"/>
      <c r="C67" s="52"/>
      <c r="D67" s="52"/>
    </row>
    <row r="68" spans="1:4">
      <c r="A68" s="53"/>
      <c r="B68" s="54"/>
      <c r="C68" s="54"/>
      <c r="D68" s="55"/>
    </row>
    <row r="69" spans="1:4">
      <c r="A69" s="56"/>
      <c r="B69" s="57"/>
      <c r="C69" s="57"/>
      <c r="D69" s="57"/>
    </row>
    <row r="70" spans="1:4">
      <c r="A70" s="58"/>
      <c r="B70" s="59"/>
      <c r="C70" s="59"/>
      <c r="D70" s="59"/>
    </row>
    <row r="71" spans="1:4">
      <c r="A71" s="51"/>
      <c r="B71" s="60"/>
      <c r="C71" s="60"/>
      <c r="D71" s="60"/>
    </row>
    <row r="72" spans="1:4">
      <c r="A72" s="58"/>
      <c r="B72" s="59"/>
      <c r="C72" s="59"/>
      <c r="D72" s="59"/>
    </row>
    <row r="73" spans="1:4">
      <c r="A73" s="51"/>
      <c r="B73" s="60"/>
      <c r="C73" s="60"/>
      <c r="D73" s="60"/>
    </row>
    <row r="74" spans="1:4">
      <c r="A74" s="53"/>
      <c r="B74" s="54"/>
      <c r="C74" s="54"/>
      <c r="D74" s="59"/>
    </row>
  </sheetData>
  <mergeCells count="4">
    <mergeCell ref="A2:F2"/>
    <mergeCell ref="A1:N1"/>
    <mergeCell ref="I2:N2"/>
    <mergeCell ref="A39:F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1B5FC-1F47-40A0-89B8-FEAE7777D38E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2025-06-16T11:25:47Z</cp:lastPrinted>
  <dcterms:created xsi:type="dcterms:W3CDTF">2025-06-04T11:22:49Z</dcterms:created>
  <dcterms:modified xsi:type="dcterms:W3CDTF">2026-03-11T07:07:28Z</dcterms:modified>
</cp:coreProperties>
</file>