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A89C3157-BCE0-40F4-B451-42A97C22D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3" l="1"/>
  <c r="C49" i="3"/>
  <c r="D49" i="3"/>
  <c r="E49" i="3"/>
  <c r="G49" i="3"/>
  <c r="N65" i="3"/>
  <c r="N68" i="3" s="1"/>
  <c r="N70" i="3"/>
  <c r="N73" i="3"/>
  <c r="N74" i="3"/>
  <c r="N69" i="3"/>
  <c r="N66" i="3"/>
  <c r="G53" i="3"/>
  <c r="J83" i="3"/>
  <c r="L83" i="3"/>
  <c r="M83" i="3"/>
  <c r="K83" i="3"/>
  <c r="K82" i="3"/>
  <c r="L82" i="3"/>
  <c r="J82" i="3"/>
  <c r="J81" i="3"/>
  <c r="L81" i="3"/>
  <c r="M81" i="3"/>
  <c r="K81" i="3"/>
  <c r="K80" i="3"/>
  <c r="L80" i="3"/>
  <c r="M80" i="3"/>
  <c r="J80" i="3"/>
  <c r="K79" i="3"/>
  <c r="L79" i="3"/>
  <c r="J79" i="3"/>
  <c r="K74" i="3"/>
  <c r="L74" i="3"/>
  <c r="M74" i="3"/>
  <c r="F56" i="3"/>
  <c r="E56" i="3"/>
  <c r="D56" i="3"/>
  <c r="C56" i="3"/>
  <c r="F55" i="3"/>
  <c r="E55" i="3"/>
  <c r="D55" i="3"/>
  <c r="C55" i="3"/>
  <c r="K73" i="3"/>
  <c r="L73" i="3"/>
  <c r="M73" i="3"/>
  <c r="J73" i="3"/>
  <c r="J78" i="3"/>
  <c r="M78" i="3"/>
  <c r="L78" i="3"/>
  <c r="K78" i="3"/>
  <c r="J77" i="3"/>
  <c r="L77" i="3"/>
  <c r="M77" i="3"/>
  <c r="L76" i="3"/>
  <c r="M76" i="3"/>
  <c r="M79" i="3" s="1"/>
  <c r="K76" i="3"/>
  <c r="K77" i="3"/>
  <c r="J76" i="3"/>
  <c r="J74" i="3" l="1"/>
  <c r="K72" i="3"/>
  <c r="L72" i="3"/>
  <c r="J72" i="3"/>
  <c r="K71" i="3"/>
  <c r="L71" i="3"/>
  <c r="J71" i="3"/>
  <c r="M65" i="3" l="1"/>
  <c r="L65" i="3"/>
  <c r="K65" i="3"/>
  <c r="J65" i="3"/>
  <c r="G44" i="3"/>
  <c r="G57" i="3"/>
  <c r="G56" i="3"/>
  <c r="G55" i="3"/>
  <c r="N53" i="3"/>
  <c r="M53" i="3"/>
  <c r="L53" i="3"/>
  <c r="J53" i="3"/>
  <c r="J61" i="3" s="1"/>
  <c r="K53" i="3"/>
  <c r="J31" i="3"/>
  <c r="J12" i="3"/>
  <c r="J7" i="3"/>
  <c r="C48" i="3"/>
  <c r="C50" i="3" s="1"/>
  <c r="C44" i="3"/>
  <c r="C46" i="3"/>
  <c r="D44" i="3"/>
  <c r="E44" i="3"/>
  <c r="F44" i="3"/>
  <c r="L16" i="3"/>
  <c r="M12" i="3"/>
  <c r="L12" i="3"/>
  <c r="M7" i="3"/>
  <c r="L7" i="3"/>
  <c r="F37" i="3"/>
  <c r="E36" i="3"/>
  <c r="E21" i="3"/>
  <c r="E25" i="3" s="1"/>
  <c r="F8" i="3"/>
  <c r="E8" i="3"/>
  <c r="F14" i="3"/>
  <c r="E14" i="3"/>
  <c r="E17" i="3" s="1"/>
  <c r="F7" i="3"/>
  <c r="D6" i="3"/>
  <c r="E6" i="3"/>
  <c r="F6" i="3"/>
  <c r="F21" i="3" l="1"/>
  <c r="F23" i="3" s="1"/>
  <c r="M72" i="3"/>
  <c r="F25" i="3"/>
  <c r="F17" i="3"/>
  <c r="F15" i="3"/>
  <c r="N42" i="3"/>
  <c r="G48" i="3"/>
  <c r="N7" i="3"/>
  <c r="N12" i="3"/>
  <c r="N16" i="3"/>
  <c r="N31" i="3"/>
  <c r="F26" i="3" l="1"/>
  <c r="M71" i="3" s="1"/>
  <c r="M82" i="3"/>
  <c r="N61" i="3"/>
  <c r="N13" i="3"/>
  <c r="G50" i="3"/>
  <c r="N60" i="3"/>
  <c r="N14" i="3" s="1"/>
  <c r="N51" i="3"/>
  <c r="G8" i="3"/>
  <c r="G14" i="3" s="1"/>
  <c r="F27" i="3" l="1"/>
  <c r="G21" i="3"/>
  <c r="G17" i="3"/>
  <c r="F30" i="3"/>
  <c r="J16" i="3"/>
  <c r="C8" i="3"/>
  <c r="C14" i="3" s="1"/>
  <c r="K16" i="3"/>
  <c r="K12" i="3"/>
  <c r="D48" i="3"/>
  <c r="D50" i="3" s="1"/>
  <c r="D36" i="3"/>
  <c r="D8" i="3"/>
  <c r="D14" i="3" s="1"/>
  <c r="L13" i="3"/>
  <c r="L42" i="3"/>
  <c r="L61" i="3" s="1"/>
  <c r="M31" i="3"/>
  <c r="L31" i="3"/>
  <c r="L60" i="3" s="1"/>
  <c r="M16" i="3"/>
  <c r="K7" i="3"/>
  <c r="E48" i="3"/>
  <c r="E50" i="3" s="1"/>
  <c r="F48" i="3"/>
  <c r="F36" i="3"/>
  <c r="C21" i="3" l="1"/>
  <c r="C17" i="3"/>
  <c r="F16" i="3"/>
  <c r="D21" i="3"/>
  <c r="D23" i="3" s="1"/>
  <c r="D26" i="3" s="1"/>
  <c r="D17" i="3"/>
  <c r="E15" i="3"/>
  <c r="G16" i="3"/>
  <c r="G25" i="3"/>
  <c r="G23" i="3"/>
  <c r="G26" i="3" s="1"/>
  <c r="G30" i="3" s="1"/>
  <c r="G15" i="3"/>
  <c r="J13" i="3"/>
  <c r="L14" i="3"/>
  <c r="K13" i="3"/>
  <c r="L51" i="3"/>
  <c r="M60" i="3"/>
  <c r="M13" i="3"/>
  <c r="E23" i="3"/>
  <c r="E26" i="3" s="1"/>
  <c r="F50" i="3"/>
  <c r="C23" i="3" l="1"/>
  <c r="C26" i="3" s="1"/>
  <c r="R60" i="3"/>
  <c r="R14" i="3"/>
  <c r="G27" i="3"/>
  <c r="M42" i="3"/>
  <c r="M14" i="3" s="1"/>
  <c r="C25" i="3"/>
  <c r="D25" i="3"/>
  <c r="D27" i="3"/>
  <c r="C27" i="3" l="1"/>
  <c r="F28" i="3"/>
  <c r="M61" i="3"/>
  <c r="S60" i="3" s="1"/>
  <c r="M51" i="3"/>
  <c r="S14" i="3"/>
  <c r="K42" i="3" l="1"/>
  <c r="K61" i="3" s="1"/>
  <c r="J42" i="3"/>
  <c r="K31" i="3"/>
  <c r="J60" i="3"/>
  <c r="J14" i="3" l="1"/>
  <c r="K51" i="3"/>
  <c r="K60" i="3"/>
  <c r="K14" i="3" s="1"/>
  <c r="J51" i="3"/>
  <c r="P14" i="3" l="1"/>
  <c r="P60" i="3"/>
  <c r="Q60" i="3"/>
  <c r="Q14" i="3"/>
  <c r="D40" i="3"/>
  <c r="D46" i="3" s="1"/>
  <c r="E40" i="3" s="1"/>
  <c r="E46" i="3" s="1"/>
  <c r="F40" i="3" s="1"/>
  <c r="F46" i="3" s="1"/>
  <c r="G46" i="3" l="1"/>
  <c r="E30" i="3"/>
  <c r="E27" i="3"/>
  <c r="F31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D15" i="3" l="1"/>
  <c r="C30" i="3" l="1"/>
  <c r="F32" i="3" s="1"/>
  <c r="D30" i="3" l="1"/>
  <c r="E31" i="3" l="1"/>
  <c r="D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PAT AFTER OCI</t>
        </r>
      </text>
    </comment>
  </commentList>
</comments>
</file>

<file path=xl/sharedStrings.xml><?xml version="1.0" encoding="utf-8"?>
<sst xmlns="http://schemas.openxmlformats.org/spreadsheetml/2006/main" count="281" uniqueCount="176">
  <si>
    <t>Growth (%)</t>
  </si>
  <si>
    <t>CAGR (%) - 3 Years</t>
  </si>
  <si>
    <t>Expenditure</t>
  </si>
  <si>
    <t>EBITDA</t>
  </si>
  <si>
    <t>EBITDA margin (%)</t>
  </si>
  <si>
    <t>Depreciation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</si>
  <si>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</si>
  <si>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</si>
  <si>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</si>
  <si>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</si>
  <si>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</si>
  <si>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</si>
  <si>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</si>
  <si>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</si>
  <si>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</si>
  <si>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</si>
  <si>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</si>
  <si>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</si>
  <si>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</si>
  <si>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</si>
  <si>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</si>
  <si>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</si>
  <si>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</si>
  <si>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</si>
  <si>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</si>
  <si>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</si>
  <si>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</si>
  <si>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</si>
  <si>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</si>
  <si>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</si>
  <si>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</si>
  <si>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</si>
  <si>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</si>
  <si>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</si>
  <si>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</si>
  <si>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</si>
  <si>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</si>
  <si>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</si>
  <si>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</si>
  <si>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</si>
  <si>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</si>
  <si>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</si>
  <si>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</si>
  <si>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</si>
  <si>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</si>
  <si>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</si>
  <si>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</si>
  <si>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</si>
  <si>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</si>
  <si>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</si>
  <si>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</si>
  <si>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</si>
  <si>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</si>
  <si>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</si>
  <si>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</si>
  <si>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</si>
  <si>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</si>
  <si>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</si>
  <si>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</si>
  <si>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</si>
  <si>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</si>
  <si>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</si>
  <si>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</si>
  <si>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</si>
  <si>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</si>
  <si>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</si>
  <si>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</si>
  <si>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</si>
  <si>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</si>
  <si>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</si>
  <si>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</si>
  <si>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</si>
  <si>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</si>
  <si>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</si>
  <si>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</si>
  <si>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</si>
  <si>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</si>
  <si>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</si>
  <si>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</si>
  <si>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</si>
  <si>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</si>
  <si>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</si>
  <si>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</si>
  <si>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</si>
  <si>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</si>
  <si>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</si>
  <si>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</si>
  <si>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</si>
  <si>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</si>
  <si>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</si>
  <si>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</si>
  <si>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</si>
  <si>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</si>
  <si>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</si>
  <si>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</si>
  <si>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</si>
  <si>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</si>
  <si>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</si>
  <si>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</si>
  <si>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</si>
  <si>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</si>
  <si>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</si>
  <si>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</si>
  <si>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</si>
  <si>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</si>
  <si>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</si>
  <si>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</si>
  <si>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</si>
  <si>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</si>
  <si>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</si>
  <si>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</si>
  <si>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</si>
  <si>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</si>
  <si>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</si>
  <si>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</si>
  <si>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</si>
  <si>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</si>
  <si>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</si>
  <si>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</si>
  <si>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</si>
  <si>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</si>
  <si>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</si>
  <si>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</si>
  <si>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</si>
  <si>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</si>
  <si>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</si>
  <si>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</si>
  <si>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</si>
  <si>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</si>
  <si>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</si>
  <si>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</si>
  <si>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</si>
  <si>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</si>
  <si>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</si>
  <si>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</si>
  <si>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</si>
  <si>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</si>
  <si>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</si>
  <si>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</si>
  <si>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</si>
  <si>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Deferred tax assets (net)</t>
  </si>
  <si>
    <t>Other non-current assets</t>
  </si>
  <si>
    <t>Financial Liabilities</t>
  </si>
  <si>
    <t xml:space="preserve">(i) Borrowings 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</si>
  <si>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</si>
  <si>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</si>
  <si>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</si>
  <si>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</si>
  <si>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</si>
  <si>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</si>
  <si>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</si>
  <si>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</si>
  <si>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</si>
  <si>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</si>
  <si>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</si>
  <si>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</si>
  <si>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</si>
  <si>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</si>
  <si>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</si>
  <si>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(i) Investments</t>
  </si>
  <si>
    <t>9M-FY26</t>
  </si>
  <si>
    <t>H1-FY26</t>
  </si>
  <si>
    <t>31st Dec 2025</t>
  </si>
  <si>
    <t>TTM</t>
  </si>
  <si>
    <t>Arisinfra Solutions Limited</t>
  </si>
  <si>
    <t xml:space="preserve">Loss allowance/(reversal of loss allowance) on trade receivables </t>
  </si>
  <si>
    <t>PBT before exceptional items</t>
  </si>
  <si>
    <t>Exceptional items</t>
  </si>
  <si>
    <t xml:space="preserve">PBT </t>
  </si>
  <si>
    <t>iii) Other non current financial liabilities</t>
  </si>
  <si>
    <t>No. of Shares (Mn)</t>
  </si>
  <si>
    <t>(iii) Lease Liabilities</t>
  </si>
  <si>
    <t>(iv) Trade payables</t>
  </si>
  <si>
    <t>(v) Other financial liabilities</t>
  </si>
  <si>
    <t>Non-current tax assets  (net)</t>
  </si>
  <si>
    <t>Deferred tax liabilities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</si>
</sst>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0" fillId="5" borderId="1" xfId="0" applyFill="1" applyBorder="1"/>
    <xf numFmtId="10" fontId="7" fillId="5" borderId="1" xfId="2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43" fontId="1" fillId="2" borderId="1" xfId="1" applyFont="1" applyFill="1" applyBorder="1"/>
    <xf numFmtId="43" fontId="0" fillId="0" borderId="0" xfId="0" applyNumberFormat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indent="1"/>
    </xf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43" fontId="0" fillId="0" borderId="1" xfId="1" applyFont="1" applyFill="1" applyBorder="1"/>
    <xf numFmtId="0" fontId="9" fillId="2" borderId="1" xfId="0" applyFont="1" applyFill="1" applyBorder="1"/>
    <xf numFmtId="43" fontId="0" fillId="2" borderId="1" xfId="0" applyNumberFormat="1" applyFill="1" applyBorder="1"/>
    <xf numFmtId="166" fontId="1" fillId="3" borderId="1" xfId="1" applyNumberFormat="1" applyFont="1" applyFill="1" applyBorder="1"/>
    <xf numFmtId="43" fontId="0" fillId="0" borderId="1" xfId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10" fillId="0" borderId="1" xfId="0" applyNumberFormat="1" applyFont="1" applyBorder="1" applyAlignment="1">
      <alignment horizontal="right"/>
    </xf>
    <xf numFmtId="43" fontId="10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2" fontId="0" fillId="0" borderId="1" xfId="0" applyNumberFormat="1" applyFill="1" applyBorder="1"/>
    <xf numFmtId="9" fontId="0" fillId="0" borderId="1" xfId="2" applyFont="1" applyFill="1" applyBorder="1"/>
    <xf numFmtId="0" fontId="0" fillId="0" borderId="0" xfId="0" applyFill="1"/>
    <xf numFmtId="0" fontId="9" fillId="0" borderId="1" xfId="0" applyFont="1" applyFill="1" applyBorder="1"/>
    <xf numFmtId="0" fontId="0" fillId="0" borderId="1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3"/>
  <sheetViews>
    <sheetView tabSelected="1" zoomScale="86" zoomScaleNormal="80" workbookViewId="0">
      <selection activeCell="C48" sqref="C48"/>
    </sheetView>
  </sheetViews>
  <sheetFormatPr defaultColWidth="8.6640625" defaultRowHeight="14.4" x14ac:dyDescent="0.3"/>
  <cols>
    <col min="2" max="2" width="61.6640625" bestFit="1" customWidth="1"/>
    <col min="3" max="3" width="12.88671875" bestFit="1" customWidth="1"/>
    <col min="4" max="4" width="13.109375" bestFit="1" customWidth="1"/>
    <col min="5" max="5" width="14.109375" bestFit="1" customWidth="1"/>
    <col min="6" max="6" width="13.109375" bestFit="1" customWidth="1"/>
    <col min="7" max="7" width="12.5546875" bestFit="1" customWidth="1"/>
    <col min="9" max="9" width="49.6640625" bestFit="1" customWidth="1"/>
    <col min="10" max="14" width="13.33203125" bestFit="1" customWidth="1"/>
    <col min="15" max="15" width="12.77734375" bestFit="1" customWidth="1"/>
    <col min="16" max="16" width="8.88671875" bestFit="1" customWidth="1"/>
    <col min="17" max="17" width="9.6640625" bestFit="1" customWidth="1"/>
  </cols>
  <sheetData>
    <row r="2" spans="2:19" ht="18" x14ac:dyDescent="0.35">
      <c r="B2" s="77" t="s">
        <v>164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9" x14ac:dyDescent="0.3">
      <c r="B3" s="72" t="s">
        <v>14</v>
      </c>
      <c r="C3" s="73"/>
      <c r="D3" s="73"/>
      <c r="E3" s="73"/>
      <c r="F3" s="73"/>
      <c r="G3" s="74"/>
      <c r="I3" s="75" t="s">
        <v>21</v>
      </c>
      <c r="J3" s="76"/>
      <c r="K3" s="76"/>
      <c r="L3" s="76"/>
      <c r="M3" s="76"/>
      <c r="N3" s="76"/>
    </row>
    <row r="4" spans="2:19" x14ac:dyDescent="0.3">
      <c r="B4" s="64" t="s">
        <v>151</v>
      </c>
      <c r="C4" s="65" t="s">
        <v>70</v>
      </c>
      <c r="D4" s="65" t="s">
        <v>122</v>
      </c>
      <c r="E4" s="65" t="s">
        <v>124</v>
      </c>
      <c r="F4" s="65" t="s">
        <v>125</v>
      </c>
      <c r="G4" s="65" t="s">
        <v>160</v>
      </c>
      <c r="I4" s="64" t="s">
        <v>151</v>
      </c>
      <c r="J4" s="65" t="s">
        <v>70</v>
      </c>
      <c r="K4" s="65" t="s">
        <v>122</v>
      </c>
      <c r="L4" s="65" t="s">
        <v>124</v>
      </c>
      <c r="M4" s="65" t="s">
        <v>125</v>
      </c>
      <c r="N4" s="65" t="s">
        <v>161</v>
      </c>
    </row>
    <row r="5" spans="2:19" x14ac:dyDescent="0.3">
      <c r="B5" s="37" t="s">
        <v>155</v>
      </c>
      <c r="C5" s="43">
        <v>4523.4799999999996</v>
      </c>
      <c r="D5" s="43">
        <v>7460.71</v>
      </c>
      <c r="E5" s="43">
        <v>6968.42</v>
      </c>
      <c r="F5" s="43">
        <v>7676.72</v>
      </c>
      <c r="G5" s="43">
        <v>7241.06</v>
      </c>
      <c r="I5" s="46" t="s">
        <v>15</v>
      </c>
      <c r="J5" s="43">
        <v>1463.05</v>
      </c>
      <c r="K5" s="43">
        <v>1463.05</v>
      </c>
      <c r="L5" s="43">
        <v>18.32</v>
      </c>
      <c r="M5" s="43">
        <v>117.1</v>
      </c>
      <c r="N5" s="43">
        <v>162.1</v>
      </c>
    </row>
    <row r="6" spans="2:19" x14ac:dyDescent="0.3">
      <c r="B6" s="35" t="s">
        <v>0</v>
      </c>
      <c r="C6" s="41">
        <v>0</v>
      </c>
      <c r="D6" s="39">
        <f>D5/C5-1</f>
        <v>0.64932971959641717</v>
      </c>
      <c r="E6" s="39">
        <f>E5/D5-1</f>
        <v>-6.5984336611394911E-2</v>
      </c>
      <c r="F6" s="39">
        <f>F5/E5-1</f>
        <v>0.10164427517285124</v>
      </c>
      <c r="G6" s="39"/>
      <c r="I6" s="46" t="s">
        <v>135</v>
      </c>
      <c r="J6" s="43">
        <v>-60.09</v>
      </c>
      <c r="K6" s="43">
        <v>-413.63</v>
      </c>
      <c r="L6" s="43">
        <v>1397.72</v>
      </c>
      <c r="M6" s="43">
        <v>2194.54</v>
      </c>
      <c r="N6" s="43">
        <v>6831.98</v>
      </c>
    </row>
    <row r="7" spans="2:19" x14ac:dyDescent="0.3">
      <c r="B7" s="35" t="s">
        <v>1</v>
      </c>
      <c r="C7" s="41">
        <v>0</v>
      </c>
      <c r="D7" s="41">
        <v>0</v>
      </c>
      <c r="E7" s="41">
        <v>0</v>
      </c>
      <c r="F7" s="41">
        <f>+((F5/C5)^(1/3)-1)</f>
        <v>0.19280012328633189</v>
      </c>
      <c r="G7" s="41"/>
      <c r="I7" s="47" t="s">
        <v>16</v>
      </c>
      <c r="J7" s="40">
        <f>J5+J6+J8</f>
        <v>1402.44</v>
      </c>
      <c r="K7" s="40">
        <f t="shared" ref="K7" si="0">K5+K6+K8</f>
        <v>1036.99</v>
      </c>
      <c r="L7" s="40">
        <f>L5+L6+L8</f>
        <v>1421.45</v>
      </c>
      <c r="M7" s="40">
        <f>M5+M6+M8</f>
        <v>2357.6099999999997</v>
      </c>
      <c r="N7" s="40">
        <f t="shared" ref="N7" si="1">N5+N6+N8</f>
        <v>7067.84</v>
      </c>
    </row>
    <row r="8" spans="2:19" x14ac:dyDescent="0.3">
      <c r="B8" s="36" t="s">
        <v>2</v>
      </c>
      <c r="C8" s="40">
        <f>SUM(C9:C13)</f>
        <v>4534.3</v>
      </c>
      <c r="D8" s="40">
        <f>SUM(D9:D13)</f>
        <v>7467.4700000000012</v>
      </c>
      <c r="E8" s="40">
        <f>SUM(E9:E13)</f>
        <v>6840.41</v>
      </c>
      <c r="F8" s="40">
        <f>SUM(F9:F13)</f>
        <v>7176.0300000000007</v>
      </c>
      <c r="G8" s="40">
        <f>SUM(G9:G13)</f>
        <v>6539.0199999999995</v>
      </c>
      <c r="I8" s="46" t="s">
        <v>10</v>
      </c>
      <c r="J8" s="43">
        <v>-0.52</v>
      </c>
      <c r="K8" s="43">
        <v>-12.43</v>
      </c>
      <c r="L8" s="43">
        <v>5.41</v>
      </c>
      <c r="M8" s="43">
        <v>45.97</v>
      </c>
      <c r="N8" s="43">
        <v>73.760000000000005</v>
      </c>
    </row>
    <row r="9" spans="2:19" x14ac:dyDescent="0.3">
      <c r="B9" s="37" t="s">
        <v>127</v>
      </c>
      <c r="C9" s="43">
        <v>4083.55</v>
      </c>
      <c r="D9" s="43">
        <v>6714.27</v>
      </c>
      <c r="E9" s="37">
        <v>6124.43</v>
      </c>
      <c r="F9" s="43">
        <v>6599.69</v>
      </c>
      <c r="G9" s="37">
        <v>6086.49</v>
      </c>
      <c r="I9" s="46" t="s">
        <v>17</v>
      </c>
      <c r="J9" s="43">
        <v>535.72</v>
      </c>
      <c r="K9" s="43">
        <v>798.13</v>
      </c>
      <c r="L9" s="43">
        <v>678.3</v>
      </c>
      <c r="M9" s="43">
        <v>30.12</v>
      </c>
      <c r="N9" s="43">
        <v>0</v>
      </c>
    </row>
    <row r="10" spans="2:19" x14ac:dyDescent="0.3">
      <c r="B10" s="37" t="s">
        <v>126</v>
      </c>
      <c r="C10" s="37">
        <v>-6.77</v>
      </c>
      <c r="D10" s="37">
        <v>-11.2</v>
      </c>
      <c r="E10" s="37">
        <v>5.29</v>
      </c>
      <c r="F10" s="37">
        <v>-3.44</v>
      </c>
      <c r="G10" s="37">
        <v>-19.52</v>
      </c>
      <c r="I10" s="46" t="s">
        <v>18</v>
      </c>
      <c r="J10" s="43">
        <v>1066.77</v>
      </c>
      <c r="K10" s="43">
        <v>1405.39</v>
      </c>
      <c r="L10" s="43">
        <v>2061.5100000000002</v>
      </c>
      <c r="M10" s="43">
        <v>3362.84</v>
      </c>
      <c r="N10" s="43">
        <v>523.11</v>
      </c>
    </row>
    <row r="11" spans="2:19" x14ac:dyDescent="0.3">
      <c r="B11" s="37" t="s">
        <v>165</v>
      </c>
      <c r="C11" s="37">
        <v>60.58</v>
      </c>
      <c r="D11" s="37">
        <v>145.25</v>
      </c>
      <c r="E11" s="37">
        <v>-3.09</v>
      </c>
      <c r="F11" s="37">
        <v>-16.989999999999998</v>
      </c>
      <c r="G11" s="37">
        <v>5.42</v>
      </c>
      <c r="I11" s="46"/>
      <c r="J11" s="43"/>
      <c r="K11" s="43"/>
      <c r="L11" s="43"/>
      <c r="M11" s="43"/>
      <c r="N11" s="43"/>
    </row>
    <row r="12" spans="2:19" x14ac:dyDescent="0.3">
      <c r="B12" s="37" t="s">
        <v>128</v>
      </c>
      <c r="C12" s="37">
        <v>46.12</v>
      </c>
      <c r="D12" s="37">
        <v>200.38</v>
      </c>
      <c r="E12" s="37">
        <v>303.02999999999997</v>
      </c>
      <c r="F12" s="37">
        <v>362.67</v>
      </c>
      <c r="G12" s="37">
        <v>288.22000000000003</v>
      </c>
      <c r="I12" s="47" t="s">
        <v>19</v>
      </c>
      <c r="J12" s="40">
        <f>J9+J10</f>
        <v>1602.49</v>
      </c>
      <c r="K12" s="40">
        <f>K9+K10</f>
        <v>2203.52</v>
      </c>
      <c r="L12" s="40">
        <f>L9+L10</f>
        <v>2739.8100000000004</v>
      </c>
      <c r="M12" s="40">
        <f>M9+M10</f>
        <v>3392.96</v>
      </c>
      <c r="N12" s="40">
        <f>N9+N10</f>
        <v>523.11</v>
      </c>
    </row>
    <row r="13" spans="2:19" x14ac:dyDescent="0.3">
      <c r="B13" s="37" t="s">
        <v>129</v>
      </c>
      <c r="C13" s="37">
        <v>350.82</v>
      </c>
      <c r="D13" s="37">
        <v>418.77</v>
      </c>
      <c r="E13" s="37">
        <v>410.75</v>
      </c>
      <c r="F13" s="37">
        <v>234.1</v>
      </c>
      <c r="G13" s="37">
        <v>178.41</v>
      </c>
      <c r="I13" s="47" t="s">
        <v>20</v>
      </c>
      <c r="J13" s="40">
        <f>+J7+J53</f>
        <v>1951.06</v>
      </c>
      <c r="K13" s="40">
        <f>+K7+K53</f>
        <v>2018.04</v>
      </c>
      <c r="L13" s="40">
        <f>+L7+L53</f>
        <v>2231.37</v>
      </c>
      <c r="M13" s="40">
        <f>+M7+M53</f>
        <v>2482.6999999999998</v>
      </c>
      <c r="N13" s="40">
        <f>+N7+N53</f>
        <v>7170.29</v>
      </c>
    </row>
    <row r="14" spans="2:19" x14ac:dyDescent="0.3">
      <c r="B14" s="36" t="s">
        <v>3</v>
      </c>
      <c r="C14" s="40">
        <f>C5-C8</f>
        <v>-10.820000000000618</v>
      </c>
      <c r="D14" s="40">
        <f>D5-D8</f>
        <v>-6.7600000000011278</v>
      </c>
      <c r="E14" s="40">
        <f>E5-E8</f>
        <v>128.01000000000022</v>
      </c>
      <c r="F14" s="40">
        <f>F5-F8</f>
        <v>500.6899999999996</v>
      </c>
      <c r="G14" s="40">
        <f>G5-G8</f>
        <v>702.04000000000087</v>
      </c>
      <c r="I14" s="47" t="s">
        <v>20</v>
      </c>
      <c r="J14" s="40">
        <f>+J60-J42</f>
        <v>1951.06</v>
      </c>
      <c r="K14" s="40">
        <f>+K60-K42</f>
        <v>2018.0399999999997</v>
      </c>
      <c r="L14" s="40">
        <f>+L60-L42</f>
        <v>2231.3700000000003</v>
      </c>
      <c r="M14" s="40">
        <f>+M60-M42</f>
        <v>2482.6999999999998</v>
      </c>
      <c r="N14" s="40">
        <f>+N60-N42</f>
        <v>7170.3</v>
      </c>
      <c r="P14" s="61">
        <f>J13-J14</f>
        <v>0</v>
      </c>
      <c r="Q14" s="61">
        <f>K13-K14</f>
        <v>0</v>
      </c>
      <c r="R14" s="61">
        <f>L13-L14</f>
        <v>0</v>
      </c>
      <c r="S14" s="61">
        <f>M13-M14</f>
        <v>0</v>
      </c>
    </row>
    <row r="15" spans="2:19" x14ac:dyDescent="0.3">
      <c r="B15" s="35" t="s">
        <v>0</v>
      </c>
      <c r="C15" s="41">
        <v>0</v>
      </c>
      <c r="D15" s="39">
        <f>D14/C14-1</f>
        <v>-0.3752310536043677</v>
      </c>
      <c r="E15" s="39">
        <f>E14/D14-1</f>
        <v>-19.936390532541253</v>
      </c>
      <c r="F15" s="39">
        <f>F14/E14-1</f>
        <v>2.9113350519490568</v>
      </c>
      <c r="G15" s="39">
        <f t="shared" ref="G15" si="2">G14/F14-1</f>
        <v>0.40214503984501682</v>
      </c>
      <c r="I15" s="37"/>
      <c r="J15" s="37"/>
      <c r="K15" s="37"/>
      <c r="L15" s="37"/>
      <c r="M15" s="37"/>
      <c r="N15" s="37"/>
    </row>
    <row r="16" spans="2:19" x14ac:dyDescent="0.3">
      <c r="B16" s="35" t="s">
        <v>1</v>
      </c>
      <c r="C16" s="41">
        <v>0</v>
      </c>
      <c r="D16" s="41">
        <v>0</v>
      </c>
      <c r="E16" s="41">
        <v>0</v>
      </c>
      <c r="F16" s="41">
        <f>+((F14/C14)^(1/3)-1)</f>
        <v>-4.5901606754556168</v>
      </c>
      <c r="G16" s="41">
        <f>+((G14/D14)^(1/3)-1)</f>
        <v>-5.7004386342685267</v>
      </c>
      <c r="I16" s="47" t="s">
        <v>22</v>
      </c>
      <c r="J16" s="40">
        <f>SUM(J17:J29)</f>
        <v>291.90999999999997</v>
      </c>
      <c r="K16" s="40">
        <f>SUM(K17:K29)</f>
        <v>336.41</v>
      </c>
      <c r="L16" s="40">
        <f>SUM(L17:L29)</f>
        <v>501.34999999999997</v>
      </c>
      <c r="M16" s="40">
        <f>SUM(M17:M29)</f>
        <v>648.49</v>
      </c>
      <c r="N16" s="40">
        <f>SUM(N17:N29)</f>
        <v>2199.77</v>
      </c>
    </row>
    <row r="17" spans="2:18" x14ac:dyDescent="0.3">
      <c r="B17" s="48" t="s">
        <v>4</v>
      </c>
      <c r="C17" s="42">
        <f>C14/C5</f>
        <v>-2.3919637093566502E-3</v>
      </c>
      <c r="D17" s="42">
        <f>D14/D5</f>
        <v>-9.0607998434480473E-4</v>
      </c>
      <c r="E17" s="42">
        <f>E14/E5</f>
        <v>1.8370017880667385E-2</v>
      </c>
      <c r="F17" s="42">
        <f>F14/F5</f>
        <v>6.5221865588428338E-2</v>
      </c>
      <c r="G17" s="42">
        <f>G14/G5</f>
        <v>9.6952656102835891E-2</v>
      </c>
      <c r="I17" s="46" t="s">
        <v>23</v>
      </c>
      <c r="J17" s="43">
        <v>13.3</v>
      </c>
      <c r="K17" s="43">
        <v>17.03</v>
      </c>
      <c r="L17" s="43">
        <v>24.02</v>
      </c>
      <c r="M17" s="43">
        <v>18.14</v>
      </c>
      <c r="N17" s="43">
        <v>16.73</v>
      </c>
    </row>
    <row r="18" spans="2:18" x14ac:dyDescent="0.3">
      <c r="B18" s="37" t="s">
        <v>130</v>
      </c>
      <c r="C18" s="37">
        <v>14.18</v>
      </c>
      <c r="D18" s="37">
        <v>83.68</v>
      </c>
      <c r="E18" s="37">
        <v>55.14</v>
      </c>
      <c r="F18" s="37">
        <v>143.1</v>
      </c>
      <c r="G18" s="37">
        <v>64.3</v>
      </c>
      <c r="I18" s="46" t="s">
        <v>67</v>
      </c>
      <c r="J18" s="43">
        <v>0</v>
      </c>
      <c r="K18" s="43">
        <v>0</v>
      </c>
      <c r="L18" s="43">
        <v>0</v>
      </c>
      <c r="M18" s="43">
        <v>0</v>
      </c>
      <c r="N18" s="43">
        <v>0.41</v>
      </c>
    </row>
    <row r="19" spans="2:18" x14ac:dyDescent="0.3">
      <c r="B19" s="37" t="s">
        <v>131</v>
      </c>
      <c r="C19" s="37">
        <v>5.13</v>
      </c>
      <c r="D19" s="37">
        <v>20.46</v>
      </c>
      <c r="E19" s="37">
        <v>28.86</v>
      </c>
      <c r="F19" s="37">
        <v>33.01</v>
      </c>
      <c r="G19" s="37">
        <v>24.85</v>
      </c>
      <c r="I19" s="46" t="s">
        <v>137</v>
      </c>
      <c r="J19" s="43">
        <v>14.42</v>
      </c>
      <c r="K19" s="43">
        <v>37.590000000000003</v>
      </c>
      <c r="L19" s="43">
        <v>14.43</v>
      </c>
      <c r="M19" s="43">
        <v>36.159999999999997</v>
      </c>
      <c r="N19" s="43">
        <v>38.979999999999997</v>
      </c>
    </row>
    <row r="20" spans="2:18" x14ac:dyDescent="0.3">
      <c r="B20" s="37" t="s">
        <v>132</v>
      </c>
      <c r="C20" s="37">
        <v>52.68</v>
      </c>
      <c r="D20" s="62">
        <v>238.82</v>
      </c>
      <c r="E20" s="37">
        <v>322.68</v>
      </c>
      <c r="F20" s="62">
        <v>414.51</v>
      </c>
      <c r="G20" s="37">
        <v>217.62</v>
      </c>
      <c r="I20" s="46" t="s">
        <v>138</v>
      </c>
      <c r="J20" s="43">
        <v>3.88</v>
      </c>
      <c r="K20" s="43">
        <v>94.39</v>
      </c>
      <c r="L20" s="43">
        <v>246.22</v>
      </c>
      <c r="M20" s="43">
        <v>414.7</v>
      </c>
      <c r="N20" s="43">
        <v>490.89</v>
      </c>
    </row>
    <row r="21" spans="2:18" x14ac:dyDescent="0.3">
      <c r="B21" s="36" t="s">
        <v>166</v>
      </c>
      <c r="C21" s="40">
        <f>C14+C18-C19-C20</f>
        <v>-54.450000000000621</v>
      </c>
      <c r="D21" s="40">
        <f>D14+D18-D19-D20</f>
        <v>-182.36000000000112</v>
      </c>
      <c r="E21" s="40">
        <f>E14+E18-E19-E20</f>
        <v>-168.38999999999982</v>
      </c>
      <c r="F21" s="40">
        <f>F14+F18-F19-F20</f>
        <v>196.26999999999964</v>
      </c>
      <c r="G21" s="40">
        <f>G14+G18-G19-G20</f>
        <v>523.8700000000008</v>
      </c>
      <c r="I21" s="63" t="s">
        <v>24</v>
      </c>
      <c r="J21" s="43"/>
      <c r="K21" s="43"/>
      <c r="L21" s="43"/>
      <c r="M21" s="43"/>
      <c r="N21" s="43"/>
    </row>
    <row r="22" spans="2:18" x14ac:dyDescent="0.3">
      <c r="B22" s="57" t="s">
        <v>167</v>
      </c>
      <c r="C22" s="60"/>
      <c r="D22" s="60"/>
      <c r="E22" s="60"/>
      <c r="F22" s="60">
        <v>73.73</v>
      </c>
      <c r="G22" s="60">
        <v>25.79</v>
      </c>
      <c r="I22" s="63"/>
      <c r="J22" s="43"/>
      <c r="K22" s="43"/>
      <c r="L22" s="43"/>
      <c r="M22" s="43"/>
      <c r="N22" s="43"/>
    </row>
    <row r="23" spans="2:18" x14ac:dyDescent="0.3">
      <c r="B23" s="36" t="s">
        <v>168</v>
      </c>
      <c r="C23" s="40">
        <f t="shared" ref="C23:E23" si="3">(C21-C22)</f>
        <v>-54.450000000000621</v>
      </c>
      <c r="D23" s="40">
        <f t="shared" si="3"/>
        <v>-182.36000000000112</v>
      </c>
      <c r="E23" s="40">
        <f t="shared" si="3"/>
        <v>-168.38999999999982</v>
      </c>
      <c r="F23" s="40">
        <f>(F21-F22)</f>
        <v>122.53999999999964</v>
      </c>
      <c r="G23" s="40">
        <f>(G21-G22)</f>
        <v>498.08000000000078</v>
      </c>
      <c r="I23" s="63"/>
      <c r="J23" s="43"/>
      <c r="K23" s="43"/>
      <c r="L23" s="43"/>
      <c r="M23" s="43"/>
      <c r="N23" s="43"/>
    </row>
    <row r="24" spans="2:18" x14ac:dyDescent="0.3">
      <c r="B24" s="37" t="s">
        <v>6</v>
      </c>
      <c r="C24" s="43">
        <v>10.42</v>
      </c>
      <c r="D24" s="43">
        <v>-28.44</v>
      </c>
      <c r="E24" s="43">
        <v>4.59</v>
      </c>
      <c r="F24" s="43">
        <v>62.41</v>
      </c>
      <c r="G24" s="43">
        <v>111.73</v>
      </c>
      <c r="I24" s="46" t="s">
        <v>159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34"/>
    </row>
    <row r="25" spans="2:18" x14ac:dyDescent="0.3">
      <c r="B25" s="35" t="s">
        <v>7</v>
      </c>
      <c r="C25" s="44">
        <f>C24/C21</f>
        <v>-0.19136822773186191</v>
      </c>
      <c r="D25" s="44">
        <f>D24/D21</f>
        <v>0.15595525334503085</v>
      </c>
      <c r="E25" s="44">
        <f>E24/E21</f>
        <v>-2.7258150721539313E-2</v>
      </c>
      <c r="F25" s="44">
        <f>-F24/F21</f>
        <v>-0.31798033321445007</v>
      </c>
      <c r="G25" s="44">
        <f>-G24/G21</f>
        <v>-0.21327810334624969</v>
      </c>
      <c r="I25" s="46" t="s">
        <v>139</v>
      </c>
      <c r="J25" s="43">
        <v>0</v>
      </c>
      <c r="K25" s="43">
        <v>0</v>
      </c>
      <c r="L25" s="43">
        <v>0</v>
      </c>
      <c r="M25" s="43">
        <v>5.38</v>
      </c>
      <c r="N25" s="43">
        <v>5.76</v>
      </c>
    </row>
    <row r="26" spans="2:18" x14ac:dyDescent="0.3">
      <c r="B26" s="36" t="s">
        <v>8</v>
      </c>
      <c r="C26" s="40">
        <f t="shared" ref="C26:E26" si="4">C23-C24</f>
        <v>-64.870000000000616</v>
      </c>
      <c r="D26" s="40">
        <f t="shared" si="4"/>
        <v>-153.92000000000112</v>
      </c>
      <c r="E26" s="40">
        <f t="shared" si="4"/>
        <v>-172.97999999999982</v>
      </c>
      <c r="F26" s="40">
        <f>F23-F24</f>
        <v>60.12999999999964</v>
      </c>
      <c r="G26" s="40">
        <f>G23-G24</f>
        <v>386.35000000000076</v>
      </c>
      <c r="I26" s="46" t="s">
        <v>136</v>
      </c>
      <c r="J26" s="43">
        <v>165.97</v>
      </c>
      <c r="K26" s="43">
        <v>77.86</v>
      </c>
      <c r="L26" s="43">
        <v>84.36</v>
      </c>
      <c r="M26" s="43">
        <v>69.19</v>
      </c>
      <c r="N26" s="43">
        <v>266.75</v>
      </c>
      <c r="P26" s="34"/>
      <c r="Q26" s="34"/>
      <c r="R26" s="34"/>
    </row>
    <row r="27" spans="2:18" x14ac:dyDescent="0.3">
      <c r="B27" s="48" t="s">
        <v>9</v>
      </c>
      <c r="C27" s="42">
        <f>C26/C5</f>
        <v>-1.4340728819404666E-2</v>
      </c>
      <c r="D27" s="42">
        <f>D26/D5</f>
        <v>-2.0630744258924569E-2</v>
      </c>
      <c r="E27" s="42">
        <f>E26/E5</f>
        <v>-2.4823417647041914E-2</v>
      </c>
      <c r="F27" s="42">
        <f>F26/F5</f>
        <v>7.8327723298491601E-3</v>
      </c>
      <c r="G27" s="42">
        <f>G26/G5</f>
        <v>5.3355447959276783E-2</v>
      </c>
      <c r="I27" s="46" t="s">
        <v>174</v>
      </c>
      <c r="J27" s="43">
        <v>0.13</v>
      </c>
      <c r="K27" s="43">
        <v>16.739999999999998</v>
      </c>
      <c r="L27" s="43">
        <v>33.770000000000003</v>
      </c>
      <c r="M27" s="43">
        <v>18.23</v>
      </c>
      <c r="N27" s="43">
        <v>32.47</v>
      </c>
    </row>
    <row r="28" spans="2:18" x14ac:dyDescent="0.3">
      <c r="B28" s="35" t="s">
        <v>1</v>
      </c>
      <c r="C28" s="41">
        <v>0</v>
      </c>
      <c r="D28" s="41">
        <v>0</v>
      </c>
      <c r="E28" s="41">
        <v>0</v>
      </c>
      <c r="F28" s="41">
        <f>+((F26/C26)^(1/3)-1)</f>
        <v>-1.9750250388997999</v>
      </c>
      <c r="G28" s="41"/>
      <c r="I28" s="46" t="s">
        <v>140</v>
      </c>
      <c r="J28" s="43">
        <v>17.54</v>
      </c>
      <c r="K28" s="43">
        <v>54.47</v>
      </c>
      <c r="L28" s="43">
        <v>60.22</v>
      </c>
      <c r="M28" s="43">
        <v>86.69</v>
      </c>
      <c r="N28" s="43">
        <v>87.78</v>
      </c>
    </row>
    <row r="29" spans="2:18" x14ac:dyDescent="0.3">
      <c r="B29" s="37" t="s">
        <v>11</v>
      </c>
      <c r="C29" s="41">
        <v>0</v>
      </c>
      <c r="D29" s="37">
        <v>-0.93</v>
      </c>
      <c r="E29" s="37">
        <v>-0.38</v>
      </c>
      <c r="F29" s="37">
        <v>5.0599999999999996</v>
      </c>
      <c r="G29" s="37">
        <v>-0.89</v>
      </c>
      <c r="I29" s="46" t="s">
        <v>141</v>
      </c>
      <c r="J29" s="43">
        <v>76.67</v>
      </c>
      <c r="K29" s="43">
        <v>38.33</v>
      </c>
      <c r="L29" s="43">
        <v>38.33</v>
      </c>
      <c r="M29" s="43">
        <v>0</v>
      </c>
      <c r="N29" s="43">
        <v>1260</v>
      </c>
    </row>
    <row r="30" spans="2:18" x14ac:dyDescent="0.3">
      <c r="B30" s="36" t="s">
        <v>158</v>
      </c>
      <c r="C30" s="40">
        <f>C26+C29</f>
        <v>-64.870000000000616</v>
      </c>
      <c r="D30" s="40">
        <f>D26+D29</f>
        <v>-154.85000000000113</v>
      </c>
      <c r="E30" s="40">
        <f>E26+E29</f>
        <v>-173.35999999999981</v>
      </c>
      <c r="F30" s="40">
        <f>F26+F29</f>
        <v>65.189999999999642</v>
      </c>
      <c r="G30" s="40">
        <f>G26+G29</f>
        <v>385.46000000000078</v>
      </c>
      <c r="I30" s="37"/>
      <c r="J30" s="37"/>
      <c r="K30" s="37"/>
      <c r="L30" s="37"/>
      <c r="M30" s="37"/>
      <c r="N30" s="37"/>
      <c r="O30" s="61"/>
    </row>
    <row r="31" spans="2:18" x14ac:dyDescent="0.3">
      <c r="B31" s="35" t="s">
        <v>0</v>
      </c>
      <c r="C31" s="41">
        <v>0</v>
      </c>
      <c r="D31" s="39">
        <f>D30/C30-1</f>
        <v>1.3870818560197264</v>
      </c>
      <c r="E31" s="39">
        <f>E30/D30-1</f>
        <v>0.11953503390376841</v>
      </c>
      <c r="F31" s="39">
        <f>F30/E30-1</f>
        <v>-1.3760383017997215</v>
      </c>
      <c r="G31" s="39"/>
      <c r="I31" s="47" t="s">
        <v>25</v>
      </c>
      <c r="J31" s="40">
        <f>SUM(J32:J40)</f>
        <v>3050.25</v>
      </c>
      <c r="K31" s="40">
        <f t="shared" ref="K31" si="5">SUM(K32:K40)</f>
        <v>3613.08</v>
      </c>
      <c r="L31" s="40">
        <f>SUM(L32:L40)</f>
        <v>4426.92</v>
      </c>
      <c r="M31" s="40">
        <f>SUM(M32:M40)</f>
        <v>6318.46</v>
      </c>
      <c r="N31" s="40">
        <f>SUM(N32:N40)</f>
        <v>6933.65</v>
      </c>
    </row>
    <row r="32" spans="2:18" x14ac:dyDescent="0.3">
      <c r="B32" s="35" t="s">
        <v>1</v>
      </c>
      <c r="C32" s="41">
        <v>0</v>
      </c>
      <c r="D32" s="41">
        <v>0</v>
      </c>
      <c r="E32" s="41">
        <v>0</v>
      </c>
      <c r="F32" s="41">
        <f>+((F30/C30)^(1/3)-1)</f>
        <v>-2.0016416178856069</v>
      </c>
      <c r="G32" s="41"/>
      <c r="I32" s="46" t="s">
        <v>26</v>
      </c>
      <c r="J32" s="43">
        <v>6.77</v>
      </c>
      <c r="K32" s="43">
        <v>19.989999999999998</v>
      </c>
      <c r="L32" s="43">
        <v>12.68</v>
      </c>
      <c r="M32" s="43">
        <v>16.12</v>
      </c>
      <c r="N32" s="43">
        <v>67.78</v>
      </c>
    </row>
    <row r="33" spans="2:18" x14ac:dyDescent="0.3">
      <c r="B33" s="49" t="s">
        <v>12</v>
      </c>
      <c r="C33" s="45"/>
      <c r="D33" s="45"/>
      <c r="E33" s="45"/>
      <c r="F33" s="45"/>
      <c r="G33" s="45"/>
      <c r="I33" s="63" t="s">
        <v>24</v>
      </c>
      <c r="J33" s="43"/>
      <c r="K33" s="43"/>
      <c r="L33" s="43"/>
      <c r="M33" s="43"/>
      <c r="N33" s="43"/>
    </row>
    <row r="34" spans="2:18" x14ac:dyDescent="0.3">
      <c r="B34" s="37" t="s">
        <v>133</v>
      </c>
      <c r="C34" s="43">
        <v>-1.78</v>
      </c>
      <c r="D34" s="43">
        <v>-4.08</v>
      </c>
      <c r="E34" s="43">
        <v>-5.3</v>
      </c>
      <c r="F34" s="43">
        <v>0.37</v>
      </c>
      <c r="G34" s="43">
        <v>4.38</v>
      </c>
      <c r="I34" s="46" t="s">
        <v>119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</row>
    <row r="35" spans="2:18" x14ac:dyDescent="0.3">
      <c r="B35" s="37" t="s">
        <v>134</v>
      </c>
      <c r="C35" s="43">
        <v>1.78</v>
      </c>
      <c r="D35" s="43">
        <v>-4.13</v>
      </c>
      <c r="E35" s="43">
        <v>-5.3</v>
      </c>
      <c r="F35" s="43">
        <v>0.36</v>
      </c>
      <c r="G35" s="43">
        <v>4.3600000000000003</v>
      </c>
      <c r="I35" s="50" t="s">
        <v>27</v>
      </c>
      <c r="J35" s="43">
        <v>2617.9499999999998</v>
      </c>
      <c r="K35" s="43">
        <v>2751.05</v>
      </c>
      <c r="L35" s="43">
        <v>3203.62</v>
      </c>
      <c r="M35" s="43">
        <v>3269.82</v>
      </c>
      <c r="N35" s="43">
        <v>3651.7</v>
      </c>
    </row>
    <row r="36" spans="2:18" x14ac:dyDescent="0.3">
      <c r="B36" s="38" t="s">
        <v>0</v>
      </c>
      <c r="C36" s="41">
        <v>0</v>
      </c>
      <c r="D36" s="39">
        <f>D35/C35-1</f>
        <v>-3.3202247191011236</v>
      </c>
      <c r="E36" s="39">
        <f>E35/D35-1</f>
        <v>0.28329297820823252</v>
      </c>
      <c r="F36" s="39">
        <f>F35/E35-1</f>
        <v>-1.0679245283018868</v>
      </c>
      <c r="G36" s="39"/>
      <c r="I36" s="50" t="s">
        <v>28</v>
      </c>
      <c r="J36" s="43">
        <v>181.07</v>
      </c>
      <c r="K36" s="43">
        <v>30.79</v>
      </c>
      <c r="L36" s="43">
        <v>5.94</v>
      </c>
      <c r="M36" s="43">
        <v>2.58</v>
      </c>
      <c r="N36" s="43">
        <v>1487.14</v>
      </c>
    </row>
    <row r="37" spans="2:18" x14ac:dyDescent="0.3">
      <c r="B37" s="38" t="s">
        <v>1</v>
      </c>
      <c r="C37" s="41">
        <v>0</v>
      </c>
      <c r="D37" s="41">
        <v>0</v>
      </c>
      <c r="E37" s="41">
        <v>0</v>
      </c>
      <c r="F37" s="41">
        <f>+((F35/C35)^(1/3)-1)</f>
        <v>-0.41301432935091642</v>
      </c>
      <c r="G37" s="41"/>
      <c r="I37" s="50" t="s">
        <v>29</v>
      </c>
      <c r="J37" s="43">
        <v>40.17</v>
      </c>
      <c r="K37" s="43">
        <v>0</v>
      </c>
      <c r="L37" s="43">
        <v>1.53</v>
      </c>
      <c r="M37" s="43">
        <v>451.58</v>
      </c>
      <c r="N37" s="43">
        <v>353.51</v>
      </c>
    </row>
    <row r="38" spans="2:18" x14ac:dyDescent="0.3">
      <c r="I38" s="50" t="s">
        <v>30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</row>
    <row r="39" spans="2:18" x14ac:dyDescent="0.3">
      <c r="B39" s="66" t="s">
        <v>152</v>
      </c>
      <c r="C39" s="65" t="s">
        <v>70</v>
      </c>
      <c r="D39" s="65" t="s">
        <v>122</v>
      </c>
      <c r="E39" s="65" t="s">
        <v>124</v>
      </c>
      <c r="F39" s="65" t="s">
        <v>125</v>
      </c>
      <c r="G39" s="65" t="s">
        <v>161</v>
      </c>
      <c r="I39" s="46" t="s">
        <v>120</v>
      </c>
      <c r="J39" s="43">
        <v>16.55</v>
      </c>
      <c r="K39" s="43">
        <v>525.17999999999995</v>
      </c>
      <c r="L39" s="43">
        <v>761.74</v>
      </c>
      <c r="M39" s="43">
        <v>847.37</v>
      </c>
      <c r="N39" s="43">
        <v>614.07000000000005</v>
      </c>
    </row>
    <row r="40" spans="2:18" x14ac:dyDescent="0.3">
      <c r="B40" s="51" t="s">
        <v>54</v>
      </c>
      <c r="C40">
        <v>29.74</v>
      </c>
      <c r="D40" s="58">
        <f>C46</f>
        <v>181.06999999999994</v>
      </c>
      <c r="E40" s="58">
        <f>D46</f>
        <v>30.789999999999907</v>
      </c>
      <c r="F40" s="58">
        <f>E46</f>
        <v>5.939999999999884</v>
      </c>
      <c r="G40" s="60">
        <v>2.58</v>
      </c>
      <c r="I40" s="46" t="s">
        <v>31</v>
      </c>
      <c r="J40" s="43">
        <v>187.74</v>
      </c>
      <c r="K40" s="43">
        <v>286.07</v>
      </c>
      <c r="L40" s="43">
        <v>441.41</v>
      </c>
      <c r="M40" s="43">
        <v>1730.99</v>
      </c>
      <c r="N40" s="43">
        <v>759.45</v>
      </c>
    </row>
    <row r="41" spans="2:18" x14ac:dyDescent="0.3">
      <c r="B41" s="37" t="s">
        <v>55</v>
      </c>
      <c r="C41" s="43">
        <v>-2690.84</v>
      </c>
      <c r="D41" s="43">
        <v>-143.26</v>
      </c>
      <c r="E41" s="43">
        <v>34.53</v>
      </c>
      <c r="F41" s="43">
        <v>-212.84</v>
      </c>
      <c r="G41" s="59">
        <v>-470.13</v>
      </c>
      <c r="I41" s="37"/>
      <c r="J41" s="37"/>
      <c r="K41" s="37"/>
      <c r="L41" s="37"/>
      <c r="M41" s="37"/>
      <c r="N41" s="37"/>
      <c r="O41" s="34"/>
    </row>
    <row r="42" spans="2:18" x14ac:dyDescent="0.3">
      <c r="B42" s="37" t="s">
        <v>56</v>
      </c>
      <c r="C42" s="43">
        <v>-70.430000000000007</v>
      </c>
      <c r="D42" s="43">
        <v>-431.6</v>
      </c>
      <c r="E42" s="43">
        <v>-367.75</v>
      </c>
      <c r="F42" s="43">
        <v>-624.46</v>
      </c>
      <c r="G42" s="59">
        <v>514.6</v>
      </c>
      <c r="I42" s="47" t="s">
        <v>32</v>
      </c>
      <c r="J42" s="40">
        <f>SUM(J43:J50)</f>
        <v>1391.1</v>
      </c>
      <c r="K42" s="40">
        <f t="shared" ref="K42" si="6">SUM(K43:K50)</f>
        <v>1931.45</v>
      </c>
      <c r="L42" s="40">
        <f>SUM(L43:L50)</f>
        <v>2696.9</v>
      </c>
      <c r="M42" s="40">
        <f>SUM(M43:M50)</f>
        <v>4484.25</v>
      </c>
      <c r="N42" s="40">
        <f>SUM(N43:N50)</f>
        <v>1963.1200000000001</v>
      </c>
    </row>
    <row r="43" spans="2:18" x14ac:dyDescent="0.3">
      <c r="B43" s="37" t="s">
        <v>57</v>
      </c>
      <c r="C43" s="43">
        <v>2912.6</v>
      </c>
      <c r="D43" s="43">
        <v>424.58</v>
      </c>
      <c r="E43" s="43">
        <v>308.37</v>
      </c>
      <c r="F43" s="43">
        <v>833.94</v>
      </c>
      <c r="G43" s="59">
        <v>1440.09</v>
      </c>
      <c r="I43" s="63" t="s">
        <v>142</v>
      </c>
      <c r="J43" s="43"/>
      <c r="K43" s="43"/>
      <c r="L43" s="43"/>
      <c r="M43" s="43"/>
      <c r="N43" s="43"/>
      <c r="P43" s="34"/>
      <c r="Q43" s="34"/>
      <c r="R43" s="34"/>
    </row>
    <row r="44" spans="2:18" x14ac:dyDescent="0.3">
      <c r="B44" s="57" t="s">
        <v>58</v>
      </c>
      <c r="C44" s="60">
        <f>C41+C42+C43</f>
        <v>151.32999999999993</v>
      </c>
      <c r="D44" s="60">
        <f>D41+D42+D43</f>
        <v>-150.28000000000003</v>
      </c>
      <c r="E44" s="60">
        <f>E41+E42+E43</f>
        <v>-24.850000000000023</v>
      </c>
      <c r="F44" s="60">
        <f>F41+F42+F43</f>
        <v>-3.3600000000000136</v>
      </c>
      <c r="G44" s="60">
        <f t="shared" ref="G44" si="7">G41+G42+G43</f>
        <v>1484.56</v>
      </c>
      <c r="I44" s="46" t="s">
        <v>143</v>
      </c>
      <c r="J44" s="59">
        <v>1006.77</v>
      </c>
      <c r="K44" s="43">
        <v>1405.39</v>
      </c>
      <c r="L44" s="43">
        <v>2061.5100000000002</v>
      </c>
      <c r="M44" s="43">
        <v>3362.84</v>
      </c>
      <c r="N44" s="43">
        <v>523.11</v>
      </c>
    </row>
    <row r="45" spans="2:18" x14ac:dyDescent="0.3">
      <c r="B45" s="57"/>
      <c r="C45" s="60"/>
      <c r="D45" s="60"/>
      <c r="E45" s="60"/>
      <c r="F45" s="60"/>
      <c r="G45" s="60"/>
      <c r="I45" s="46" t="s">
        <v>171</v>
      </c>
      <c r="J45" s="59">
        <v>2.94</v>
      </c>
      <c r="K45" s="43">
        <v>23.54</v>
      </c>
      <c r="L45" s="43">
        <v>10.83</v>
      </c>
      <c r="M45" s="43">
        <v>22.52</v>
      </c>
      <c r="N45">
        <v>23.26</v>
      </c>
    </row>
    <row r="46" spans="2:18" x14ac:dyDescent="0.3">
      <c r="B46" s="36" t="s">
        <v>59</v>
      </c>
      <c r="C46" s="40">
        <f>C40+C44</f>
        <v>181.06999999999994</v>
      </c>
      <c r="D46" s="40">
        <f>D40+D44</f>
        <v>30.789999999999907</v>
      </c>
      <c r="E46" s="40">
        <f>E40+E44</f>
        <v>5.939999999999884</v>
      </c>
      <c r="F46" s="40">
        <f>F40+F44</f>
        <v>2.5799999999998704</v>
      </c>
      <c r="G46" s="40">
        <f>G40+G44</f>
        <v>1487.1399999999999</v>
      </c>
      <c r="I46" s="46" t="s">
        <v>172</v>
      </c>
      <c r="J46" s="43">
        <v>254.98</v>
      </c>
      <c r="K46" s="43">
        <v>309.07</v>
      </c>
      <c r="L46" s="43">
        <v>448.86</v>
      </c>
      <c r="M46" s="43">
        <v>701.14</v>
      </c>
      <c r="N46" s="43">
        <v>1091.82</v>
      </c>
    </row>
    <row r="47" spans="2:18" x14ac:dyDescent="0.3">
      <c r="B47" s="66" t="s">
        <v>150</v>
      </c>
      <c r="C47" s="65" t="s">
        <v>70</v>
      </c>
      <c r="D47" s="65" t="s">
        <v>122</v>
      </c>
      <c r="E47" s="65" t="s">
        <v>124</v>
      </c>
      <c r="F47" s="65" t="s">
        <v>125</v>
      </c>
      <c r="G47" s="65" t="s">
        <v>161</v>
      </c>
      <c r="I47" s="46" t="s">
        <v>173</v>
      </c>
      <c r="J47" s="43">
        <v>89.59</v>
      </c>
      <c r="K47" s="43">
        <v>146.81</v>
      </c>
      <c r="L47" s="43">
        <v>75.97</v>
      </c>
      <c r="M47" s="43">
        <v>153.46</v>
      </c>
      <c r="N47" s="43">
        <v>167.75</v>
      </c>
    </row>
    <row r="48" spans="2:18" x14ac:dyDescent="0.3">
      <c r="B48" s="68" t="s">
        <v>60</v>
      </c>
      <c r="C48" s="59">
        <f>C41</f>
        <v>-2690.84</v>
      </c>
      <c r="D48" s="59">
        <f>D41</f>
        <v>-143.26</v>
      </c>
      <c r="E48" s="59">
        <f>E41</f>
        <v>34.53</v>
      </c>
      <c r="F48" s="69">
        <f>F41</f>
        <v>-212.84</v>
      </c>
      <c r="G48" s="69">
        <f>G41</f>
        <v>-470.13</v>
      </c>
      <c r="I48" s="46" t="s">
        <v>144</v>
      </c>
      <c r="J48" s="43">
        <v>5.71</v>
      </c>
      <c r="K48" s="43">
        <v>0</v>
      </c>
      <c r="L48" s="43">
        <v>0</v>
      </c>
      <c r="M48" s="43">
        <v>50.72</v>
      </c>
      <c r="N48" s="43">
        <v>22.84</v>
      </c>
    </row>
    <row r="49" spans="2:19" x14ac:dyDescent="0.3">
      <c r="B49" s="93" t="s">
        <v>61</v>
      </c>
      <c r="C49" s="67">
        <f>-14.72</f>
        <v>-14.72</v>
      </c>
      <c r="D49" s="67">
        <f>-7.52+0.04</f>
        <v>-7.4799999999999995</v>
      </c>
      <c r="E49" s="67">
        <f>-13.05+1.07</f>
        <v>-11.98</v>
      </c>
      <c r="F49" s="94">
        <f>-3.75</f>
        <v>-3.75</v>
      </c>
      <c r="G49" s="94">
        <f>-2.81+0.34</f>
        <v>-2.4700000000000002</v>
      </c>
      <c r="I49" s="46" t="s">
        <v>68</v>
      </c>
      <c r="J49" s="43">
        <v>1.06</v>
      </c>
      <c r="K49" s="43">
        <v>4.96</v>
      </c>
      <c r="L49" s="43">
        <v>10.07</v>
      </c>
      <c r="M49" s="43">
        <v>5.53</v>
      </c>
      <c r="N49" s="43">
        <v>8.19</v>
      </c>
      <c r="O49" s="34"/>
    </row>
    <row r="50" spans="2:19" x14ac:dyDescent="0.3">
      <c r="B50" s="56" t="s">
        <v>149</v>
      </c>
      <c r="C50" s="40">
        <f>C48+C49</f>
        <v>-2705.56</v>
      </c>
      <c r="D50" s="40">
        <f t="shared" ref="D50:F50" si="8">D48+D49</f>
        <v>-150.73999999999998</v>
      </c>
      <c r="E50" s="40">
        <f t="shared" si="8"/>
        <v>22.55</v>
      </c>
      <c r="F50" s="40">
        <f t="shared" si="8"/>
        <v>-216.59</v>
      </c>
      <c r="G50" s="40">
        <f t="shared" ref="G50" si="9">G48+G49</f>
        <v>-472.6</v>
      </c>
      <c r="I50" s="46" t="s">
        <v>145</v>
      </c>
      <c r="J50" s="43">
        <v>30.05</v>
      </c>
      <c r="K50" s="43">
        <v>41.68</v>
      </c>
      <c r="L50" s="43">
        <v>89.66</v>
      </c>
      <c r="M50" s="43">
        <v>188.04</v>
      </c>
      <c r="N50" s="43">
        <v>126.15</v>
      </c>
    </row>
    <row r="51" spans="2:19" x14ac:dyDescent="0.3">
      <c r="I51" s="47" t="s">
        <v>33</v>
      </c>
      <c r="J51" s="40">
        <f>J31-J42</f>
        <v>1659.15</v>
      </c>
      <c r="K51" s="40">
        <f>K31-K42</f>
        <v>1681.6299999999999</v>
      </c>
      <c r="L51" s="40">
        <f>L31-L42</f>
        <v>1730.02</v>
      </c>
      <c r="M51" s="40">
        <f>M31-M42</f>
        <v>1834.21</v>
      </c>
      <c r="N51" s="40">
        <f>N31-N42</f>
        <v>4970.53</v>
      </c>
      <c r="P51" s="34"/>
      <c r="Q51" s="34"/>
      <c r="R51" s="34"/>
    </row>
    <row r="52" spans="2:19" x14ac:dyDescent="0.3">
      <c r="B52" s="66" t="s">
        <v>154</v>
      </c>
      <c r="C52" s="65" t="s">
        <v>70</v>
      </c>
      <c r="D52" s="65" t="s">
        <v>122</v>
      </c>
      <c r="E52" s="65" t="s">
        <v>124</v>
      </c>
      <c r="F52" s="65" t="s">
        <v>125</v>
      </c>
      <c r="G52" s="65" t="s">
        <v>160</v>
      </c>
      <c r="I52" s="37"/>
      <c r="J52" s="37"/>
      <c r="K52" s="37"/>
      <c r="L52" s="37"/>
      <c r="M52" s="37"/>
      <c r="N52" s="37"/>
    </row>
    <row r="53" spans="2:19" x14ac:dyDescent="0.3">
      <c r="B53" s="28" t="s">
        <v>170</v>
      </c>
      <c r="C53" s="83" t="s">
        <v>157</v>
      </c>
      <c r="D53" s="83" t="s">
        <v>157</v>
      </c>
      <c r="E53" s="83" t="s">
        <v>157</v>
      </c>
      <c r="F53" s="83" t="s">
        <v>157</v>
      </c>
      <c r="G53" s="84">
        <f>81448906/10^6</f>
        <v>81.448905999999994</v>
      </c>
      <c r="I53" s="47" t="s">
        <v>121</v>
      </c>
      <c r="J53" s="40">
        <f>SUM(J55:J59)</f>
        <v>548.62</v>
      </c>
      <c r="K53" s="40">
        <f>SUM(K55:K59)</f>
        <v>981.05</v>
      </c>
      <c r="L53" s="40">
        <f>SUM(L55:L59)</f>
        <v>809.92</v>
      </c>
      <c r="M53" s="40">
        <f>SUM(M55:M59)</f>
        <v>125.09</v>
      </c>
      <c r="N53" s="40">
        <f>SUM(N55:N59)</f>
        <v>102.45</v>
      </c>
    </row>
    <row r="54" spans="2:19" x14ac:dyDescent="0.3">
      <c r="B54" s="52" t="s">
        <v>123</v>
      </c>
      <c r="C54" s="83" t="s">
        <v>157</v>
      </c>
      <c r="D54" s="83" t="s">
        <v>157</v>
      </c>
      <c r="E54" s="83" t="s">
        <v>157</v>
      </c>
      <c r="F54" s="83" t="s">
        <v>157</v>
      </c>
      <c r="G54" s="85">
        <v>10490.6</v>
      </c>
      <c r="I54" s="63" t="s">
        <v>146</v>
      </c>
      <c r="J54" s="43"/>
      <c r="K54" s="43"/>
      <c r="L54" s="43"/>
      <c r="M54" s="43"/>
      <c r="N54" s="43"/>
    </row>
    <row r="55" spans="2:19" x14ac:dyDescent="0.3">
      <c r="B55" s="37" t="s">
        <v>64</v>
      </c>
      <c r="C55" s="83">
        <f t="shared" ref="C55:F55" si="10">J12</f>
        <v>1602.49</v>
      </c>
      <c r="D55" s="83">
        <f t="shared" si="10"/>
        <v>2203.52</v>
      </c>
      <c r="E55" s="83">
        <f t="shared" si="10"/>
        <v>2739.8100000000004</v>
      </c>
      <c r="F55" s="83">
        <f t="shared" si="10"/>
        <v>3392.96</v>
      </c>
      <c r="G55" s="85">
        <f>N12</f>
        <v>523.11</v>
      </c>
      <c r="I55" s="46" t="s">
        <v>147</v>
      </c>
      <c r="J55" s="43">
        <v>535.72</v>
      </c>
      <c r="K55" s="43">
        <v>798.13</v>
      </c>
      <c r="L55" s="43">
        <v>678.3</v>
      </c>
      <c r="M55" s="43">
        <v>30.12</v>
      </c>
      <c r="N55" s="71" t="s">
        <v>69</v>
      </c>
    </row>
    <row r="56" spans="2:19" x14ac:dyDescent="0.3">
      <c r="B56" s="37" t="s">
        <v>65</v>
      </c>
      <c r="C56" s="83">
        <f t="shared" ref="C56:F56" si="11">J36+J37</f>
        <v>221.24</v>
      </c>
      <c r="D56" s="83">
        <f t="shared" si="11"/>
        <v>30.79</v>
      </c>
      <c r="E56" s="83">
        <f t="shared" si="11"/>
        <v>7.4700000000000006</v>
      </c>
      <c r="F56" s="83">
        <f t="shared" si="11"/>
        <v>454.15999999999997</v>
      </c>
      <c r="G56" s="85">
        <f>N36+N37</f>
        <v>1840.65</v>
      </c>
      <c r="I56" s="46" t="s">
        <v>148</v>
      </c>
      <c r="J56" s="43">
        <v>12.43</v>
      </c>
      <c r="K56" s="43">
        <v>13.95</v>
      </c>
      <c r="L56" s="43">
        <v>4.4800000000000004</v>
      </c>
      <c r="M56" s="43">
        <v>15.13</v>
      </c>
      <c r="N56" s="43">
        <v>12.72</v>
      </c>
    </row>
    <row r="57" spans="2:19" x14ac:dyDescent="0.3">
      <c r="B57" s="52" t="s">
        <v>66</v>
      </c>
      <c r="C57" s="83" t="s">
        <v>157</v>
      </c>
      <c r="D57" s="83" t="s">
        <v>157</v>
      </c>
      <c r="E57" s="83" t="s">
        <v>157</v>
      </c>
      <c r="F57" s="83" t="s">
        <v>157</v>
      </c>
      <c r="G57" s="85">
        <f>G54+G55-G56</f>
        <v>9173.0600000000013</v>
      </c>
      <c r="I57" s="46" t="s">
        <v>169</v>
      </c>
      <c r="J57" s="71" t="s">
        <v>69</v>
      </c>
      <c r="K57" s="43">
        <v>162.66</v>
      </c>
      <c r="L57" s="43">
        <v>115.56</v>
      </c>
      <c r="M57" s="43">
        <v>61.92</v>
      </c>
      <c r="N57" s="43">
        <v>68</v>
      </c>
    </row>
    <row r="58" spans="2:19" x14ac:dyDescent="0.3">
      <c r="G58" s="92"/>
      <c r="I58" s="46" t="s">
        <v>68</v>
      </c>
      <c r="J58" s="43">
        <v>0.47</v>
      </c>
      <c r="K58" s="43">
        <v>6.29</v>
      </c>
      <c r="L58" s="43">
        <v>11.58</v>
      </c>
      <c r="M58" s="43">
        <v>17.920000000000002</v>
      </c>
      <c r="N58" s="43">
        <v>21.73</v>
      </c>
    </row>
    <row r="59" spans="2:19" x14ac:dyDescent="0.3">
      <c r="I59" s="46" t="s">
        <v>175</v>
      </c>
      <c r="J59" s="43"/>
      <c r="K59" s="43">
        <v>0.02</v>
      </c>
      <c r="L59" s="43"/>
      <c r="M59" s="43"/>
      <c r="N59" s="43"/>
    </row>
    <row r="60" spans="2:19" x14ac:dyDescent="0.3">
      <c r="I60" s="47" t="s">
        <v>34</v>
      </c>
      <c r="J60" s="40">
        <f>J31+J16</f>
        <v>3342.16</v>
      </c>
      <c r="K60" s="40">
        <f>K31+K16</f>
        <v>3949.49</v>
      </c>
      <c r="L60" s="40">
        <f>L31+L16</f>
        <v>4928.2700000000004</v>
      </c>
      <c r="M60" s="40">
        <f>M31+M16</f>
        <v>6966.95</v>
      </c>
      <c r="N60" s="70">
        <f>N31+N16</f>
        <v>9133.42</v>
      </c>
      <c r="P60" s="61">
        <f>J60-J61</f>
        <v>0</v>
      </c>
      <c r="Q60" s="61">
        <f t="shared" ref="Q60:S60" si="12">K60-K61</f>
        <v>0</v>
      </c>
      <c r="R60" s="61">
        <f t="shared" si="12"/>
        <v>0</v>
      </c>
      <c r="S60" s="61">
        <f t="shared" si="12"/>
        <v>0</v>
      </c>
    </row>
    <row r="61" spans="2:19" x14ac:dyDescent="0.3">
      <c r="I61" s="47" t="s">
        <v>156</v>
      </c>
      <c r="J61" s="40">
        <f>J42+J53+J7</f>
        <v>3342.16</v>
      </c>
      <c r="K61" s="40">
        <f>K42+K53+K7</f>
        <v>3949.49</v>
      </c>
      <c r="L61" s="40">
        <f>L42+L53+L7</f>
        <v>4928.2700000000004</v>
      </c>
      <c r="M61" s="40">
        <f>M42+M53+M7</f>
        <v>6966.95</v>
      </c>
      <c r="N61" s="70">
        <f>N42+N53+N7</f>
        <v>9133.41</v>
      </c>
    </row>
    <row r="63" spans="2:19" x14ac:dyDescent="0.3">
      <c r="I63" s="64" t="s">
        <v>153</v>
      </c>
      <c r="J63" s="65" t="s">
        <v>70</v>
      </c>
      <c r="K63" s="65" t="s">
        <v>122</v>
      </c>
      <c r="L63" s="65" t="s">
        <v>124</v>
      </c>
      <c r="M63" s="65" t="s">
        <v>125</v>
      </c>
      <c r="N63" s="65" t="s">
        <v>160</v>
      </c>
    </row>
    <row r="64" spans="2:19" x14ac:dyDescent="0.3">
      <c r="I64" s="53" t="s">
        <v>35</v>
      </c>
      <c r="J64" s="86" t="s">
        <v>157</v>
      </c>
      <c r="K64" s="86" t="s">
        <v>157</v>
      </c>
      <c r="L64" s="86" t="s">
        <v>157</v>
      </c>
      <c r="M64" s="86" t="s">
        <v>157</v>
      </c>
      <c r="N64" s="86">
        <v>128.80000000000001</v>
      </c>
      <c r="O64" s="34" t="s">
        <v>162</v>
      </c>
    </row>
    <row r="65" spans="9:18" x14ac:dyDescent="0.3">
      <c r="I65" s="53" t="s">
        <v>36</v>
      </c>
      <c r="J65" s="86">
        <f>C35</f>
        <v>1.78</v>
      </c>
      <c r="K65" s="86">
        <f t="shared" ref="K65:N65" si="13">D35</f>
        <v>-4.13</v>
      </c>
      <c r="L65" s="86">
        <f t="shared" si="13"/>
        <v>-5.3</v>
      </c>
      <c r="M65" s="86">
        <f t="shared" si="13"/>
        <v>0.36</v>
      </c>
      <c r="N65" s="86">
        <f>F35+G35-0.61</f>
        <v>4.1100000000000003</v>
      </c>
      <c r="O65" t="s">
        <v>163</v>
      </c>
      <c r="P65" s="34"/>
      <c r="Q65" s="34"/>
      <c r="R65" s="34"/>
    </row>
    <row r="66" spans="9:18" x14ac:dyDescent="0.3">
      <c r="I66" s="53" t="s">
        <v>37</v>
      </c>
      <c r="J66" s="86" t="s">
        <v>157</v>
      </c>
      <c r="K66" s="86" t="s">
        <v>157</v>
      </c>
      <c r="L66" s="86" t="s">
        <v>157</v>
      </c>
      <c r="M66" s="86" t="s">
        <v>157</v>
      </c>
      <c r="N66" s="86">
        <f>(N7/G53)</f>
        <v>86.776365050256175</v>
      </c>
    </row>
    <row r="67" spans="9:18" x14ac:dyDescent="0.3">
      <c r="I67" s="53" t="s">
        <v>38</v>
      </c>
      <c r="J67" s="86" t="s">
        <v>157</v>
      </c>
      <c r="K67" s="86" t="s">
        <v>157</v>
      </c>
      <c r="L67" s="86" t="s">
        <v>157</v>
      </c>
      <c r="M67" s="86" t="s">
        <v>157</v>
      </c>
      <c r="N67" s="86" t="s">
        <v>157</v>
      </c>
    </row>
    <row r="68" spans="9:18" x14ac:dyDescent="0.3">
      <c r="I68" s="53" t="s">
        <v>39</v>
      </c>
      <c r="J68" s="86" t="s">
        <v>157</v>
      </c>
      <c r="K68" s="86" t="s">
        <v>157</v>
      </c>
      <c r="L68" s="86" t="s">
        <v>157</v>
      </c>
      <c r="M68" s="86" t="s">
        <v>157</v>
      </c>
      <c r="N68" s="86">
        <f>N64/N65</f>
        <v>31.338199513381994</v>
      </c>
    </row>
    <row r="69" spans="9:18" x14ac:dyDescent="0.3">
      <c r="I69" s="53" t="s">
        <v>40</v>
      </c>
      <c r="J69" s="86" t="s">
        <v>157</v>
      </c>
      <c r="K69" s="86" t="s">
        <v>157</v>
      </c>
      <c r="L69" s="86" t="s">
        <v>157</v>
      </c>
      <c r="M69" s="86" t="s">
        <v>157</v>
      </c>
      <c r="N69" s="86">
        <f>N64/N66</f>
        <v>1.4842751240548739</v>
      </c>
    </row>
    <row r="70" spans="9:18" x14ac:dyDescent="0.3">
      <c r="I70" s="53" t="s">
        <v>41</v>
      </c>
      <c r="J70" s="86" t="s">
        <v>157</v>
      </c>
      <c r="K70" s="86" t="s">
        <v>157</v>
      </c>
      <c r="L70" s="86" t="s">
        <v>157</v>
      </c>
      <c r="M70" s="86" t="s">
        <v>157</v>
      </c>
      <c r="N70" s="86">
        <f>G57</f>
        <v>9173.0600000000013</v>
      </c>
    </row>
    <row r="71" spans="9:18" x14ac:dyDescent="0.3">
      <c r="I71" s="54" t="s">
        <v>42</v>
      </c>
      <c r="J71" s="87">
        <f>C26/J7</f>
        <v>-4.6255098257323386E-2</v>
      </c>
      <c r="K71" s="87">
        <f t="shared" ref="K71:N71" si="14">D26/K7</f>
        <v>-0.14842958948495272</v>
      </c>
      <c r="L71" s="87">
        <f t="shared" si="14"/>
        <v>-0.12169263779943003</v>
      </c>
      <c r="M71" s="87">
        <f t="shared" si="14"/>
        <v>2.5504642413291277E-2</v>
      </c>
      <c r="N71" s="87" t="s">
        <v>157</v>
      </c>
    </row>
    <row r="72" spans="9:18" x14ac:dyDescent="0.3">
      <c r="I72" s="54" t="s">
        <v>43</v>
      </c>
      <c r="J72" s="88">
        <f>(C14-C18)/J13</f>
        <v>-1.2813547507509055E-2</v>
      </c>
      <c r="K72" s="88">
        <f t="shared" ref="K72:N72" si="15">(D14-D18)/K13</f>
        <v>-4.4815761828309222E-2</v>
      </c>
      <c r="L72" s="88">
        <f t="shared" si="15"/>
        <v>3.2657067182941521E-2</v>
      </c>
      <c r="M72" s="88">
        <f t="shared" si="15"/>
        <v>0.14403270632778814</v>
      </c>
      <c r="N72" s="87" t="s">
        <v>157</v>
      </c>
    </row>
    <row r="73" spans="9:18" x14ac:dyDescent="0.3">
      <c r="I73" s="53" t="s">
        <v>44</v>
      </c>
      <c r="J73" s="89">
        <f>J12/J7</f>
        <v>1.1426442485953052</v>
      </c>
      <c r="K73" s="89">
        <f t="shared" ref="K73:M73" si="16">K12/K7</f>
        <v>2.1249192374082679</v>
      </c>
      <c r="L73" s="89">
        <f t="shared" si="16"/>
        <v>1.9274754651939923</v>
      </c>
      <c r="M73" s="89">
        <f t="shared" si="16"/>
        <v>1.4391523619258488</v>
      </c>
      <c r="N73" s="89">
        <f t="shared" ref="N73" si="17">N12/N7</f>
        <v>7.4012711097025397E-2</v>
      </c>
    </row>
    <row r="74" spans="9:18" x14ac:dyDescent="0.3">
      <c r="I74" s="53" t="s">
        <v>45</v>
      </c>
      <c r="J74" s="90">
        <f>(J12-C56)/J7</f>
        <v>0.98489061920652576</v>
      </c>
      <c r="K74" s="90">
        <f t="shared" ref="K74:N74" si="18">(K12-D56)/K7</f>
        <v>2.0952275335345569</v>
      </c>
      <c r="L74" s="90">
        <f t="shared" si="18"/>
        <v>1.9222202680361606</v>
      </c>
      <c r="M74" s="90">
        <f t="shared" si="18"/>
        <v>1.2465165994375662</v>
      </c>
      <c r="N74" s="90">
        <f t="shared" si="18"/>
        <v>-0.1864133879657717</v>
      </c>
    </row>
    <row r="75" spans="9:18" x14ac:dyDescent="0.3">
      <c r="I75" s="53" t="s">
        <v>46</v>
      </c>
      <c r="J75" s="86" t="s">
        <v>157</v>
      </c>
      <c r="K75" s="86" t="s">
        <v>157</v>
      </c>
      <c r="L75" s="86" t="s">
        <v>157</v>
      </c>
      <c r="M75" s="86" t="s">
        <v>157</v>
      </c>
      <c r="N75" s="90">
        <v>0</v>
      </c>
    </row>
    <row r="76" spans="9:18" x14ac:dyDescent="0.3">
      <c r="I76" s="53" t="s">
        <v>47</v>
      </c>
      <c r="J76" s="90">
        <f>(J35/C5)*365</f>
        <v>211.24261630426133</v>
      </c>
      <c r="K76" s="90">
        <f>(AVERAGE(J35:K35)/D5)*365</f>
        <v>131.33368003849498</v>
      </c>
      <c r="L76" s="90">
        <f t="shared" ref="L76:M76" si="19">(AVERAGE(K35:L35)/E5)*365</f>
        <v>155.9503122659082</v>
      </c>
      <c r="M76" s="90">
        <f t="shared" si="19"/>
        <v>153.89421523775781</v>
      </c>
      <c r="N76" s="86" t="s">
        <v>157</v>
      </c>
    </row>
    <row r="77" spans="9:18" x14ac:dyDescent="0.3">
      <c r="I77" s="53" t="s">
        <v>48</v>
      </c>
      <c r="J77" s="90">
        <f>(AVERAGE(J46:J46)/C5)*365</f>
        <v>20.574358679600664</v>
      </c>
      <c r="K77" s="90">
        <f>(AVERAGE(J46:K46)/D5)*365</f>
        <v>13.797497155096497</v>
      </c>
      <c r="L77" s="90">
        <f t="shared" ref="L77:M77" si="20">(AVERAGE(K46:L46)/E5)*365</f>
        <v>19.849869123847302</v>
      </c>
      <c r="M77" s="90">
        <f t="shared" si="20"/>
        <v>27.339150053668753</v>
      </c>
      <c r="N77" s="86" t="s">
        <v>157</v>
      </c>
    </row>
    <row r="78" spans="9:18" x14ac:dyDescent="0.3">
      <c r="I78" s="53" t="s">
        <v>49</v>
      </c>
      <c r="J78" s="90">
        <f>(AVERAGE(J32)/SUM(C9:C10))*365</f>
        <v>0.60612787543109992</v>
      </c>
      <c r="K78" s="90">
        <f>(AVERAGE(J32:K32)/SUM(D9:D10))*365</f>
        <v>0.72857660743510044</v>
      </c>
      <c r="L78" s="90">
        <f>(AVERAGE(K32:L32)/SUM(E9:E10))*365</f>
        <v>0.97268309156046273</v>
      </c>
      <c r="M78" s="90">
        <f>(AVERAGE(L32:M32)/SUM(F9:F10))*365</f>
        <v>0.79681637293916996</v>
      </c>
      <c r="N78" s="86" t="s">
        <v>157</v>
      </c>
    </row>
    <row r="79" spans="9:18" x14ac:dyDescent="0.3">
      <c r="I79" s="53" t="s">
        <v>50</v>
      </c>
      <c r="J79" s="90">
        <f>J76+J78-J77</f>
        <v>191.27438550009177</v>
      </c>
      <c r="K79" s="90">
        <f t="shared" ref="K79:M79" si="21">K76+K78-K77</f>
        <v>118.26475949083357</v>
      </c>
      <c r="L79" s="90">
        <f t="shared" si="21"/>
        <v>137.07312623362137</v>
      </c>
      <c r="M79" s="90">
        <f t="shared" si="21"/>
        <v>127.35188155702821</v>
      </c>
      <c r="N79" s="86" t="s">
        <v>157</v>
      </c>
    </row>
    <row r="80" spans="9:18" x14ac:dyDescent="0.3">
      <c r="I80" s="53" t="s">
        <v>51</v>
      </c>
      <c r="J80" s="90">
        <f>(J51/C5)*365</f>
        <v>133.87695977433307</v>
      </c>
      <c r="K80" s="90">
        <f t="shared" ref="K80:M80" si="22">(K51/D5)*365</f>
        <v>82.270313415211149</v>
      </c>
      <c r="L80" s="90">
        <f t="shared" si="22"/>
        <v>90.616997827341066</v>
      </c>
      <c r="M80" s="90">
        <f t="shared" si="22"/>
        <v>87.209986817286548</v>
      </c>
      <c r="N80" s="86" t="s">
        <v>157</v>
      </c>
    </row>
    <row r="81" spans="9:14" x14ac:dyDescent="0.3">
      <c r="I81" s="55" t="s">
        <v>52</v>
      </c>
      <c r="J81" s="91">
        <f>C20/J12</f>
        <v>3.2873840086365597E-2</v>
      </c>
      <c r="K81" s="91">
        <f>D20/(AVERAGE(J12:K12))</f>
        <v>0.12549625460784389</v>
      </c>
      <c r="L81" s="91">
        <f t="shared" ref="L81:M81" si="23">E20/(AVERAGE(K12:L12))</f>
        <v>0.13055167265790468</v>
      </c>
      <c r="M81" s="91">
        <f t="shared" si="23"/>
        <v>0.13517872021941144</v>
      </c>
      <c r="N81" s="86" t="s">
        <v>157</v>
      </c>
    </row>
    <row r="82" spans="9:14" x14ac:dyDescent="0.3">
      <c r="I82" s="46" t="s">
        <v>53</v>
      </c>
      <c r="J82" s="90">
        <f>(C23+C20)/C20</f>
        <v>-3.359908883828059E-2</v>
      </c>
      <c r="K82" s="90">
        <f t="shared" ref="K82:M82" si="24">(D23+D20)/D20</f>
        <v>0.23641236077379982</v>
      </c>
      <c r="L82" s="90">
        <f t="shared" si="24"/>
        <v>0.47815172926738625</v>
      </c>
      <c r="M82" s="90">
        <f t="shared" si="24"/>
        <v>1.2956261610093838</v>
      </c>
      <c r="N82" s="86" t="s">
        <v>157</v>
      </c>
    </row>
    <row r="83" spans="9:14" x14ac:dyDescent="0.3">
      <c r="I83" s="55" t="s">
        <v>118</v>
      </c>
      <c r="J83" s="90">
        <f>C5/J60</f>
        <v>1.3534600378198529</v>
      </c>
      <c r="K83" s="90">
        <f>D5/AVERAGE(J60:K60)</f>
        <v>2.0463708488476544</v>
      </c>
      <c r="L83" s="90">
        <f t="shared" ref="L83:M83" si="25">E5/AVERAGE(K60:L60)</f>
        <v>1.569859964675774</v>
      </c>
      <c r="M83" s="90">
        <f t="shared" si="25"/>
        <v>1.2907235007002813</v>
      </c>
      <c r="N83" s="86" t="s">
        <v>157</v>
      </c>
    </row>
  </sheetData>
  <mergeCells count="3">
    <mergeCell ref="B3:G3"/>
    <mergeCell ref="I3:N3"/>
    <mergeCell ref="B2:N2"/>
  </mergeCells>
  <phoneticPr fontId="15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K53" formula="1"/>
    <ignoredError sqref="K76:L78 J78 M76:M7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ColWidth="8.6640625" defaultRowHeight="14.4" x14ac:dyDescent="0.3"/>
  <cols>
    <col min="1" max="1" width="45" customWidth="1"/>
    <col min="2" max="10" width="15.109375" customWidth="1"/>
  </cols>
  <sheetData>
    <row r="1" spans="1:11" x14ac:dyDescent="0.3">
      <c r="B1" s="1" t="s">
        <v>13</v>
      </c>
      <c r="C1" s="1" t="s">
        <v>70</v>
      </c>
      <c r="D1" s="1" t="s">
        <v>13</v>
      </c>
      <c r="E1" s="1" t="s">
        <v>70</v>
      </c>
      <c r="F1" s="1" t="s">
        <v>13</v>
      </c>
      <c r="G1" s="1" t="s">
        <v>70</v>
      </c>
      <c r="H1" s="1" t="s">
        <v>13</v>
      </c>
      <c r="I1" s="1" t="s">
        <v>70</v>
      </c>
      <c r="J1" s="1" t="s">
        <v>13</v>
      </c>
      <c r="K1" s="1" t="s">
        <v>70</v>
      </c>
    </row>
    <row r="2" spans="1:11" x14ac:dyDescent="0.3">
      <c r="A2" s="2" t="s">
        <v>71</v>
      </c>
      <c r="B2" s="79" t="s">
        <v>114</v>
      </c>
      <c r="C2" s="80"/>
      <c r="D2" s="79" t="s">
        <v>115</v>
      </c>
      <c r="E2" s="80"/>
      <c r="F2" s="79" t="s">
        <v>116</v>
      </c>
      <c r="G2" s="80"/>
      <c r="H2" s="81" t="s">
        <v>117</v>
      </c>
      <c r="I2" s="82"/>
      <c r="J2" s="79" t="s">
        <v>72</v>
      </c>
      <c r="K2" s="80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">
      <c r="A4" s="5" t="s">
        <v>73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">
      <c r="A5" s="3" t="s">
        <v>74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">
      <c r="A6" s="3" t="s">
        <v>75</v>
      </c>
      <c r="B6" s="6"/>
      <c r="C6" s="9" t="s">
        <v>69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">
      <c r="A7" s="3" t="s">
        <v>76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">
      <c r="A8" s="3" t="s">
        <v>77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">
      <c r="A9" s="3" t="s">
        <v>78</v>
      </c>
      <c r="B9" s="6"/>
      <c r="C9" s="9" t="s">
        <v>69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">
      <c r="A10" s="3" t="s">
        <v>76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">
      <c r="A11" s="3" t="s">
        <v>79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">
      <c r="A12" s="3" t="s">
        <v>8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">
      <c r="A13" s="3" t="s">
        <v>80</v>
      </c>
      <c r="B13" s="6"/>
      <c r="C13" s="9" t="s">
        <v>69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">
      <c r="A14" s="3" t="s">
        <v>76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">
      <c r="A15" s="3" t="s">
        <v>81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">
      <c r="A16" s="3" t="s">
        <v>12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">
      <c r="A18" s="5" t="s">
        <v>82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">
      <c r="A19" s="3" t="s">
        <v>83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">
      <c r="A20" s="3" t="s">
        <v>64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">
      <c r="A21" s="3" t="s">
        <v>84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">
      <c r="A22" s="3" t="s">
        <v>85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">
      <c r="A24" s="5" t="s">
        <v>86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">
      <c r="A25" s="3" t="s">
        <v>87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">
      <c r="A26" s="3" t="s">
        <v>62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">
      <c r="A27" s="3" t="s">
        <v>88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">
      <c r="A29" s="3" t="s">
        <v>89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">
      <c r="A30" s="3" t="s">
        <v>63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">
      <c r="A31" s="3" t="s">
        <v>90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">
      <c r="A32" s="3" t="s">
        <v>91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">
      <c r="A34" s="3" t="s">
        <v>92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">
      <c r="A35" s="3" t="s">
        <v>46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">
      <c r="A36" s="3" t="s">
        <v>93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">
      <c r="A37" s="3" t="s">
        <v>94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">
      <c r="A38" s="3" t="s">
        <v>95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">
      <c r="A40" s="5" t="s">
        <v>96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">
      <c r="A41" s="3" t="s">
        <v>97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">
      <c r="A42" s="3" t="s">
        <v>98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">
      <c r="A43" s="3" t="s">
        <v>99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">
      <c r="A44" s="3" t="s">
        <v>100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">
      <c r="A45" s="3" t="s">
        <v>101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">
      <c r="A46" s="3" t="s">
        <v>102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">
      <c r="A48" s="3" t="s">
        <v>103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">
      <c r="A49" s="3" t="s">
        <v>104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">
      <c r="A50" s="3" t="s">
        <v>105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">
      <c r="A51" s="3" t="s">
        <v>106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">
      <c r="A52" s="3" t="s">
        <v>107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">
      <c r="A53" s="3" t="s">
        <v>108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">
      <c r="A54" s="3" t="s">
        <v>109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">
      <c r="A55" s="3" t="s">
        <v>110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">
      <c r="A56" s="3" t="s">
        <v>111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">
      <c r="A57" s="3" t="s">
        <v>102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">
      <c r="A58" s="3" t="s">
        <v>112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">
      <c r="A59" s="28" t="s">
        <v>113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Lenovo</cp:lastModifiedBy>
  <cp:lastPrinted>2024-03-06T13:13:44Z</cp:lastPrinted>
  <dcterms:created xsi:type="dcterms:W3CDTF">2022-02-14T05:39:32Z</dcterms:created>
  <dcterms:modified xsi:type="dcterms:W3CDTF">2026-03-18T13:27:04Z</dcterms:modified>
</cp:coreProperties>
</file>