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46EFEDD-3F53-444E-BB0A-798B6FA3E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2" i="1" l="1"/>
  <c r="W72" i="1"/>
  <c r="S72" i="1"/>
  <c r="R72" i="1"/>
  <c r="W65" i="1"/>
  <c r="V71" i="1"/>
  <c r="W71" i="1"/>
  <c r="Y15" i="1"/>
  <c r="Z15" i="1"/>
  <c r="W67" i="1"/>
  <c r="V67" i="1"/>
  <c r="L37" i="1"/>
  <c r="L36" i="1"/>
  <c r="L33" i="1"/>
  <c r="L32" i="1"/>
  <c r="L24" i="1"/>
  <c r="L23" i="1"/>
  <c r="L15" i="1"/>
  <c r="L14" i="1"/>
  <c r="L6" i="1"/>
  <c r="L5" i="1"/>
  <c r="L54" i="1"/>
  <c r="L55" i="1"/>
  <c r="L56" i="1"/>
  <c r="L57" i="1"/>
  <c r="W48" i="1"/>
  <c r="W74" i="1"/>
  <c r="L58" i="1"/>
  <c r="K56" i="1"/>
  <c r="W69" i="1"/>
  <c r="V69" i="1"/>
  <c r="W68" i="1"/>
  <c r="V68" i="1"/>
  <c r="W79" i="1"/>
  <c r="W75" i="1"/>
  <c r="W77" i="1"/>
  <c r="W76" i="1"/>
  <c r="W78" i="1"/>
  <c r="W73" i="1"/>
  <c r="W10" i="1"/>
  <c r="W44" i="1"/>
  <c r="W34" i="1"/>
  <c r="W24" i="1"/>
  <c r="W51" i="1"/>
  <c r="L45" i="1"/>
  <c r="L28" i="1"/>
  <c r="W6" i="1"/>
  <c r="L7" i="1"/>
  <c r="L13" i="1"/>
  <c r="L20" i="1"/>
  <c r="L29" i="1"/>
  <c r="L16" i="1"/>
  <c r="AD64" i="1"/>
  <c r="L48" i="1"/>
  <c r="L49" i="1"/>
  <c r="L50" i="1"/>
  <c r="W35" i="1"/>
  <c r="W14" i="1"/>
  <c r="W50" i="1"/>
  <c r="W11" i="1"/>
  <c r="V64" i="1"/>
  <c r="V74" i="1"/>
  <c r="V14" i="1"/>
  <c r="V24" i="1"/>
  <c r="V51" i="1"/>
  <c r="V6" i="1"/>
  <c r="V65" i="1"/>
  <c r="T77" i="1"/>
  <c r="U77" i="1"/>
  <c r="V77" i="1"/>
  <c r="S77" i="1"/>
  <c r="R77" i="1"/>
  <c r="T76" i="1"/>
  <c r="S76" i="1"/>
  <c r="R76" i="1"/>
  <c r="R75" i="1"/>
  <c r="S40" i="1"/>
  <c r="X38" i="1"/>
  <c r="U37" i="1"/>
  <c r="U76" i="1"/>
  <c r="K37" i="1"/>
  <c r="J37" i="1"/>
  <c r="V10" i="1"/>
  <c r="K54" i="1"/>
  <c r="K6" i="1"/>
  <c r="J6" i="1"/>
  <c r="H5" i="1"/>
  <c r="J7" i="1"/>
  <c r="G27" i="1"/>
  <c r="V76" i="1"/>
  <c r="W52" i="1"/>
  <c r="W53" i="1"/>
  <c r="R78" i="1"/>
  <c r="J13" i="1"/>
  <c r="K7" i="1"/>
  <c r="K13" i="1"/>
  <c r="I7" i="1"/>
  <c r="I13" i="1"/>
  <c r="H7" i="1"/>
  <c r="H13" i="1"/>
  <c r="G7" i="1"/>
  <c r="G13" i="1"/>
  <c r="H14" i="1"/>
  <c r="K20" i="1"/>
  <c r="K16" i="1"/>
  <c r="K15" i="1"/>
  <c r="K14" i="1"/>
  <c r="J15" i="1"/>
  <c r="J20" i="1"/>
  <c r="J16" i="1"/>
  <c r="G20" i="1"/>
  <c r="G16" i="1"/>
  <c r="G45" i="1"/>
  <c r="T74" i="1"/>
  <c r="R79" i="1"/>
  <c r="G48" i="1"/>
  <c r="G54" i="1"/>
  <c r="J49" i="1"/>
  <c r="I49" i="1"/>
  <c r="H49" i="1"/>
  <c r="G49" i="1"/>
  <c r="K49" i="1"/>
  <c r="H55" i="1"/>
  <c r="K55" i="1"/>
  <c r="J55" i="1"/>
  <c r="I55" i="1"/>
  <c r="G55" i="1"/>
  <c r="G57" i="1"/>
  <c r="G56" i="1"/>
  <c r="S79" i="1"/>
  <c r="G58" i="1"/>
  <c r="R69" i="1"/>
  <c r="G50" i="1"/>
  <c r="U64" i="1"/>
  <c r="T64" i="1"/>
  <c r="T67" i="1"/>
  <c r="S64" i="1"/>
  <c r="S67" i="1"/>
  <c r="R64" i="1"/>
  <c r="R67" i="1"/>
  <c r="S35" i="1"/>
  <c r="T44" i="1"/>
  <c r="K36" i="1"/>
  <c r="G36" i="1"/>
  <c r="J36" i="1"/>
  <c r="I36" i="1"/>
  <c r="H36" i="1"/>
  <c r="U14" i="1"/>
  <c r="D13" i="1"/>
  <c r="C13" i="1"/>
  <c r="C20" i="1"/>
  <c r="E13" i="1"/>
  <c r="E48" i="1"/>
  <c r="K5" i="1"/>
  <c r="C5" i="1"/>
  <c r="D5" i="1"/>
  <c r="E5" i="1"/>
  <c r="F5" i="1"/>
  <c r="I5" i="1"/>
  <c r="J5" i="1"/>
  <c r="F6" i="1"/>
  <c r="P6" i="1"/>
  <c r="P10" i="1"/>
  <c r="Q6" i="1"/>
  <c r="Q10" i="1"/>
  <c r="R6" i="1"/>
  <c r="S6" i="1"/>
  <c r="T6" i="1"/>
  <c r="U6" i="1"/>
  <c r="U10" i="1"/>
  <c r="E20" i="1"/>
  <c r="F13" i="1"/>
  <c r="F15" i="1"/>
  <c r="I20" i="1"/>
  <c r="I22" i="1"/>
  <c r="J22" i="1"/>
  <c r="J14" i="1"/>
  <c r="P14" i="1"/>
  <c r="Q14" i="1"/>
  <c r="R14" i="1"/>
  <c r="S14" i="1"/>
  <c r="T14" i="1"/>
  <c r="P24" i="1"/>
  <c r="Q24" i="1"/>
  <c r="R24" i="1"/>
  <c r="S24" i="1"/>
  <c r="T24" i="1"/>
  <c r="U24" i="1"/>
  <c r="U51" i="1"/>
  <c r="C27" i="1"/>
  <c r="D27" i="1"/>
  <c r="E27" i="1"/>
  <c r="H27" i="1"/>
  <c r="I27" i="1"/>
  <c r="J27" i="1"/>
  <c r="K27" i="1"/>
  <c r="L27" i="1"/>
  <c r="C29" i="1"/>
  <c r="D29" i="1"/>
  <c r="D31" i="1"/>
  <c r="P35" i="1"/>
  <c r="Q35" i="1"/>
  <c r="Q52" i="1"/>
  <c r="R35" i="1"/>
  <c r="T35" i="1"/>
  <c r="U35" i="1"/>
  <c r="V35" i="1"/>
  <c r="V50" i="1"/>
  <c r="D36" i="1"/>
  <c r="E36" i="1"/>
  <c r="F36" i="1"/>
  <c r="R44" i="1"/>
  <c r="S44" i="1"/>
  <c r="U44" i="1"/>
  <c r="V44" i="1"/>
  <c r="C45" i="1"/>
  <c r="D45" i="1"/>
  <c r="E45" i="1"/>
  <c r="F45" i="1"/>
  <c r="H45" i="1"/>
  <c r="I45" i="1"/>
  <c r="J45" i="1"/>
  <c r="K45" i="1"/>
  <c r="C48" i="1"/>
  <c r="C50" i="1"/>
  <c r="D48" i="1"/>
  <c r="D50" i="1"/>
  <c r="F48" i="1"/>
  <c r="F50" i="1"/>
  <c r="H48" i="1"/>
  <c r="H50" i="1"/>
  <c r="I48" i="1"/>
  <c r="I50" i="1"/>
  <c r="J48" i="1"/>
  <c r="J50" i="1"/>
  <c r="K48" i="1"/>
  <c r="E50" i="1"/>
  <c r="C54" i="1"/>
  <c r="D54" i="1"/>
  <c r="E54" i="1"/>
  <c r="F54" i="1"/>
  <c r="H54" i="1"/>
  <c r="I54" i="1"/>
  <c r="C55" i="1"/>
  <c r="D55" i="1"/>
  <c r="E55" i="1"/>
  <c r="F55" i="1"/>
  <c r="C56" i="1"/>
  <c r="D56" i="1"/>
  <c r="E56" i="1"/>
  <c r="F56" i="1"/>
  <c r="H56" i="1"/>
  <c r="I56" i="1"/>
  <c r="J56" i="1"/>
  <c r="C57" i="1"/>
  <c r="D57" i="1"/>
  <c r="E57" i="1"/>
  <c r="F57" i="1"/>
  <c r="H57" i="1"/>
  <c r="I57" i="1"/>
  <c r="J57" i="1"/>
  <c r="K57" i="1"/>
  <c r="V79" i="1"/>
  <c r="V75" i="1"/>
  <c r="U52" i="1"/>
  <c r="G22" i="1"/>
  <c r="J24" i="1"/>
  <c r="R73" i="1"/>
  <c r="S51" i="1"/>
  <c r="T51" i="1"/>
  <c r="T11" i="1"/>
  <c r="P52" i="1"/>
  <c r="H58" i="1"/>
  <c r="J28" i="1"/>
  <c r="J31" i="1"/>
  <c r="J29" i="1"/>
  <c r="G28" i="1"/>
  <c r="V73" i="1"/>
  <c r="T73" i="1"/>
  <c r="T72" i="1"/>
  <c r="R10" i="1"/>
  <c r="R71" i="1"/>
  <c r="T52" i="1"/>
  <c r="H20" i="1"/>
  <c r="H22" i="1"/>
  <c r="H23" i="1"/>
  <c r="T10" i="1"/>
  <c r="U72" i="1"/>
  <c r="U73" i="1"/>
  <c r="S10" i="1"/>
  <c r="S73" i="1"/>
  <c r="L31" i="1"/>
  <c r="V52" i="1"/>
  <c r="R52" i="1"/>
  <c r="R50" i="1"/>
  <c r="S11" i="1"/>
  <c r="S52" i="1"/>
  <c r="U53" i="1"/>
  <c r="V53" i="1"/>
  <c r="K50" i="1"/>
  <c r="D14" i="1"/>
  <c r="D20" i="1"/>
  <c r="D22" i="1"/>
  <c r="F20" i="1"/>
  <c r="F22" i="1"/>
  <c r="F28" i="1"/>
  <c r="U11" i="1"/>
  <c r="Q51" i="1"/>
  <c r="Q11" i="1"/>
  <c r="T50" i="1"/>
  <c r="P50" i="1"/>
  <c r="F16" i="1"/>
  <c r="F14" i="1"/>
  <c r="U50" i="1"/>
  <c r="S50" i="1"/>
  <c r="Q50" i="1"/>
  <c r="H16" i="1"/>
  <c r="D16" i="1"/>
  <c r="R51" i="1"/>
  <c r="R11" i="1"/>
  <c r="P51" i="1"/>
  <c r="P11" i="1"/>
  <c r="I14" i="1"/>
  <c r="E14" i="1"/>
  <c r="K22" i="1"/>
  <c r="I28" i="1"/>
  <c r="E22" i="1"/>
  <c r="E28" i="1"/>
  <c r="C22" i="1"/>
  <c r="C31" i="1"/>
  <c r="D32" i="1"/>
  <c r="I16" i="1"/>
  <c r="E16" i="1"/>
  <c r="C16" i="1"/>
  <c r="K58" i="1"/>
  <c r="U79" i="1"/>
  <c r="J58" i="1"/>
  <c r="K24" i="1"/>
  <c r="T53" i="1"/>
  <c r="K28" i="1"/>
  <c r="K31" i="1"/>
  <c r="K29" i="1"/>
  <c r="I31" i="1"/>
  <c r="I29" i="1"/>
  <c r="H28" i="1"/>
  <c r="V11" i="1"/>
  <c r="S53" i="1"/>
  <c r="E29" i="1"/>
  <c r="E31" i="1"/>
  <c r="F31" i="1"/>
  <c r="F29" i="1"/>
  <c r="F23" i="1"/>
  <c r="R53" i="1"/>
  <c r="I23" i="1"/>
  <c r="J23" i="1"/>
  <c r="K23" i="1"/>
  <c r="D23" i="1"/>
  <c r="H29" i="1"/>
  <c r="H31" i="1"/>
  <c r="J32" i="1"/>
  <c r="I32" i="1"/>
  <c r="K32" i="1"/>
  <c r="K33" i="1"/>
  <c r="F32" i="1"/>
  <c r="G31" i="1"/>
  <c r="G29" i="1"/>
  <c r="V78" i="1"/>
  <c r="H32" i="1"/>
  <c r="J33" i="1"/>
  <c r="G32" i="1"/>
  <c r="U75" i="1"/>
  <c r="U65" i="1"/>
  <c r="U68" i="1"/>
  <c r="U69" i="1"/>
  <c r="T79" i="1"/>
  <c r="T75" i="1"/>
  <c r="F70" i="1"/>
  <c r="G70" i="1"/>
  <c r="H70" i="1"/>
  <c r="F58" i="1"/>
  <c r="I58" i="1"/>
  <c r="U71" i="1"/>
  <c r="U78" i="1"/>
  <c r="T69" i="1"/>
  <c r="T78" i="1"/>
  <c r="T65" i="1"/>
  <c r="T68" i="1"/>
  <c r="T71" i="1"/>
  <c r="T70" i="1"/>
  <c r="S75" i="1"/>
  <c r="S74" i="1"/>
  <c r="Q74" i="1"/>
  <c r="R74" i="1"/>
  <c r="P74" i="1"/>
  <c r="P79" i="1"/>
  <c r="P75" i="1"/>
  <c r="S65" i="1"/>
  <c r="S68" i="1"/>
  <c r="S69" i="1"/>
  <c r="S71" i="1"/>
  <c r="Q79" i="1"/>
  <c r="S70" i="1"/>
  <c r="Q75" i="1"/>
  <c r="Q64" i="1"/>
  <c r="Q67" i="1"/>
  <c r="P64" i="1"/>
  <c r="P67" i="1"/>
  <c r="S78" i="1"/>
  <c r="C70" i="1"/>
  <c r="E58" i="1"/>
  <c r="D58" i="1"/>
  <c r="C58" i="1"/>
  <c r="D70" i="1"/>
  <c r="E70" i="1"/>
  <c r="P73" i="1"/>
  <c r="Q73" i="1"/>
  <c r="R65" i="1"/>
  <c r="R68" i="1"/>
  <c r="Q65" i="1"/>
  <c r="Q68" i="1"/>
  <c r="P72" i="1"/>
  <c r="P65" i="1"/>
  <c r="P68" i="1"/>
  <c r="Q72" i="1"/>
  <c r="P69" i="1"/>
  <c r="P76" i="1"/>
  <c r="P77" i="1"/>
  <c r="Q69" i="1"/>
  <c r="Q77" i="1"/>
  <c r="Q76" i="1"/>
  <c r="Q70" i="1"/>
  <c r="P78" i="1"/>
  <c r="P70" i="1"/>
  <c r="P71" i="1"/>
  <c r="Q78" i="1"/>
  <c r="Q71" i="1"/>
  <c r="R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P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<sst xmlns="http://schemas.openxmlformats.org/spreadsheetml/2006/main" count="195" uniqueCount="131">
  <si>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</si>
  <si>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</si>
  <si>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</si>
  <si>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</si>
  <si>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</si>
  <si>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</si>
  <si>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</si>
  <si>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</si>
  <si>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</si>
  <si>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</si>
  <si>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</si>
  <si>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</si>
  <si>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</si>
  <si>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</si>
  <si>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</si>
  <si>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</si>
  <si>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</si>
  <si>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</si>
  <si>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</si>
  <si>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</si>
  <si>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</si>
  <si>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</si>
  <si>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Other Comprehensive Income</t>
  </si>
  <si>
    <t>Total Comprehensive Income</t>
  </si>
  <si>
    <t>CAGR (%) - 3 Years</t>
  </si>
  <si>
    <t>EPS</t>
  </si>
  <si>
    <t>Purchases of stock-in-trade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</si>
  <si>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</si>
  <si>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</si>
  <si>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</si>
  <si>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</si>
  <si>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</si>
  <si>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</si>
  <si>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</si>
  <si>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</si>
  <si>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</si>
  <si>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</si>
  <si>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</si>
  <si>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</si>
  <si>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</si>
  <si>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</si>
  <si>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</si>
  <si>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</si>
  <si>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</si>
  <si>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</si>
  <si>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</si>
  <si>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</si>
  <si>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</si>
  <si>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</si>
  <si>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</si>
  <si>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</si>
  <si>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</si>
  <si>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</si>
  <si>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</si>
  <si>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</si>
  <si>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</si>
  <si>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</si>
  <si>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</si>
  <si>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</si>
  <si>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</si>
  <si>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</si>
  <si>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</si>
  <si>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</si>
  <si>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</si>
  <si>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</si>
  <si>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</si>
  <si>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</si>
  <si>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</si>
  <si>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</si>
  <si>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</si>
  <si>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</si>
  <si>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</si>
  <si>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</si>
  <si>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</si>
  <si>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</si>
  <si>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</si>
  <si>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</si>
  <si>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</si>
  <si>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</si>
  <si>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</si>
  <si>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</si>
  <si>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</si>
  <si>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</si>
  <si>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</si>
  <si>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</si>
  <si>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</si>
  <si>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</si>
  <si>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</si>
  <si>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</si>
  <si>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</si>
  <si>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</si>
  <si>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</si>
  <si>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</si>
  <si>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</si>
  <si>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</si>
  <si>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</si>
  <si>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</si>
  <si>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</si>
  <si>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</si>
  <si>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</si>
  <si>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</si>
  <si>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</si>
  <si>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</si>
  <si>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</si>
  <si>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</si>
  <si>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>FY23</t>
  </si>
  <si>
    <t>(ii) Other financial assets + Investments</t>
  </si>
  <si>
    <t>Other financial libilities</t>
  </si>
  <si>
    <t>Income tax assets (net)</t>
  </si>
  <si>
    <t>Check</t>
  </si>
  <si>
    <t>(i) Investments</t>
  </si>
  <si>
    <t>NON-CURRENT LIABILITIES</t>
  </si>
  <si>
    <t>FY24</t>
  </si>
  <si>
    <t>TTM EPS</t>
  </si>
  <si>
    <t>PE Based on TTM</t>
  </si>
  <si>
    <t>FY25</t>
  </si>
  <si>
    <t>Q1-FY26</t>
  </si>
  <si>
    <t>Q4-FY25</t>
  </si>
  <si>
    <t>Q3-FY25</t>
  </si>
  <si>
    <t>Fill this data</t>
  </si>
  <si>
    <t>Tax</t>
  </si>
  <si>
    <t>Profit After Tax from Continuing Operations</t>
  </si>
  <si>
    <t>Profit/ (Loss) Before Tax from Discontinuing Operations</t>
  </si>
  <si>
    <t>Profit/ (Loss) After Tax from Discontinuing Operations</t>
  </si>
  <si>
    <t>Net Profit for the period</t>
  </si>
  <si>
    <t>PAT Margins (%)</t>
  </si>
  <si>
    <t>NA</t>
  </si>
  <si>
    <t>Khaitan Chemicals &amp; Fertilizers Ltd</t>
  </si>
  <si>
    <t>FY26</t>
  </si>
  <si>
    <t>Q2-FY26</t>
  </si>
  <si>
    <t>Q3-FY26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</si>
</sst>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  <numFmt numFmtId="167" formatCode="0.0000"/>
    <numFmt numFmtId="168" formatCode="_ * #,##0.000_ ;_ * \-#,##0.00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0"/>
      <color rgb="FF000000"/>
      <name val="MyFirstFont"/>
    </font>
    <font>
      <sz val="11"/>
      <color rgb="FF000000"/>
      <name val="Calibri"/>
      <family val="2"/>
      <scheme val="minor"/>
    </font>
    <font>
      <b/>
      <sz val="10"/>
      <color rgb="FF22222F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167" fontId="0" fillId="0" borderId="0" xfId="0" applyNumberFormat="1"/>
    <xf numFmtId="0" fontId="2" fillId="0" borderId="1" xfId="0" applyFont="1" applyBorder="1" applyAlignment="1">
      <alignment horizontal="right"/>
    </xf>
    <xf numFmtId="0" fontId="8" fillId="0" borderId="0" xfId="0" applyFont="1"/>
    <xf numFmtId="43" fontId="0" fillId="0" borderId="1" xfId="2" applyFont="1" applyBorder="1"/>
    <xf numFmtId="43" fontId="0" fillId="0" borderId="1" xfId="2" applyFont="1" applyFill="1" applyBorder="1"/>
    <xf numFmtId="165" fontId="0" fillId="0" borderId="1" xfId="2" applyNumberFormat="1" applyFont="1" applyBorder="1"/>
    <xf numFmtId="3" fontId="9" fillId="0" borderId="1" xfId="0" applyNumberFormat="1" applyFont="1" applyBorder="1"/>
    <xf numFmtId="3" fontId="9" fillId="0" borderId="0" xfId="0" applyNumberFormat="1" applyFont="1"/>
    <xf numFmtId="0" fontId="8" fillId="0" borderId="1" xfId="0" applyFont="1" applyBorder="1"/>
    <xf numFmtId="43" fontId="0" fillId="4" borderId="1" xfId="0" applyNumberForma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4" borderId="1" xfId="0" applyFont="1" applyFill="1" applyBorder="1" applyAlignment="1">
      <alignment horizontal="center"/>
    </xf>
    <xf numFmtId="168" fontId="2" fillId="2" borderId="1" xfId="0" applyNumberFormat="1" applyFont="1" applyFill="1" applyBorder="1"/>
    <xf numFmtId="166" fontId="0" fillId="0" borderId="1" xfId="0" applyNumberFormat="1" applyBorder="1"/>
    <xf numFmtId="2" fontId="0" fillId="5" borderId="0" xfId="0" applyNumberFormat="1" applyFill="1"/>
    <xf numFmtId="2" fontId="4" fillId="0" borderId="1" xfId="0" applyNumberFormat="1" applyFont="1" applyBorder="1" applyAlignment="1">
      <alignment horizontal="right"/>
    </xf>
    <xf numFmtId="0" fontId="2" fillId="0" borderId="0" xfId="0" applyFont="1"/>
    <xf numFmtId="9" fontId="2" fillId="2" borderId="1" xfId="0" applyNumberFormat="1" applyFont="1" applyFill="1" applyBorder="1"/>
    <xf numFmtId="10" fontId="2" fillId="2" borderId="1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92"/>
  <sheetViews>
    <sheetView tabSelected="1" topLeftCell="K46" zoomScale="87" zoomScaleNormal="70" workbookViewId="0">
      <selection activeCell="N59" sqref="N59"/>
    </sheetView>
  </sheetViews>
  <sheetFormatPr defaultRowHeight="15"/>
  <cols>
    <col min="2" max="2" width="58.85546875" customWidth="1"/>
    <col min="3" max="4" width="0.140625" customWidth="1"/>
    <col min="5" max="5" width="0.28515625" hidden="1" customWidth="1"/>
    <col min="6" max="6" width="2.42578125" hidden="1" customWidth="1"/>
    <col min="7" max="7" width="14.28515625" bestFit="1" customWidth="1"/>
    <col min="8" max="9" width="14.5703125" bestFit="1" customWidth="1"/>
    <col min="10" max="12" width="13.5703125" customWidth="1"/>
    <col min="14" max="14" width="55.7109375" bestFit="1" customWidth="1"/>
    <col min="15" max="15" width="10.85546875" hidden="1" customWidth="1"/>
    <col min="16" max="16" width="2.85546875" hidden="1" customWidth="1"/>
    <col min="17" max="17" width="5.7109375" hidden="1" customWidth="1"/>
    <col min="18" max="19" width="14.28515625" bestFit="1" customWidth="1"/>
    <col min="20" max="20" width="14.5703125" bestFit="1" customWidth="1"/>
    <col min="21" max="23" width="14.28515625" bestFit="1" customWidth="1"/>
    <col min="24" max="24" width="15.28515625" customWidth="1"/>
    <col min="25" max="25" width="10.5703125" bestFit="1" customWidth="1"/>
    <col min="26" max="26" width="12.7109375" customWidth="1"/>
  </cols>
  <sheetData>
    <row r="1" spans="2:26">
      <c r="B1" s="58" t="s">
        <v>127</v>
      </c>
      <c r="C1" s="59"/>
      <c r="D1" s="59"/>
      <c r="E1" s="59"/>
      <c r="F1" s="59"/>
      <c r="G1" s="59"/>
    </row>
    <row r="2" spans="2:26">
      <c r="B2" s="68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70"/>
      <c r="N2" s="74" t="s">
        <v>27</v>
      </c>
      <c r="O2" s="75"/>
      <c r="P2" s="75"/>
      <c r="Q2" s="75"/>
      <c r="R2" s="75"/>
      <c r="S2" s="75"/>
      <c r="T2" s="75"/>
      <c r="U2" s="75"/>
      <c r="V2" s="75"/>
      <c r="W2" s="75"/>
    </row>
    <row r="3" spans="2:26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103</v>
      </c>
      <c r="I3" s="2" t="s">
        <v>105</v>
      </c>
      <c r="J3" s="2" t="s">
        <v>112</v>
      </c>
      <c r="K3" s="2" t="s">
        <v>115</v>
      </c>
      <c r="L3" s="2" t="s">
        <v>128</v>
      </c>
      <c r="N3" s="1" t="s">
        <v>1</v>
      </c>
      <c r="O3" s="2" t="s">
        <v>100</v>
      </c>
      <c r="P3" s="2" t="s">
        <v>2</v>
      </c>
      <c r="Q3" s="21" t="s">
        <v>3</v>
      </c>
      <c r="R3" s="21" t="s">
        <v>6</v>
      </c>
      <c r="S3" s="21" t="s">
        <v>103</v>
      </c>
      <c r="T3" s="2" t="s">
        <v>105</v>
      </c>
      <c r="U3" s="60" t="s">
        <v>112</v>
      </c>
      <c r="V3" s="60" t="s">
        <v>115</v>
      </c>
      <c r="W3" s="60" t="s">
        <v>128</v>
      </c>
    </row>
    <row r="4" spans="2:26">
      <c r="B4" s="1" t="s">
        <v>7</v>
      </c>
      <c r="C4" s="7">
        <v>3643.4540000000002</v>
      </c>
      <c r="D4" s="7">
        <v>3548.3679999999999</v>
      </c>
      <c r="E4" s="7">
        <v>3725.9830000000002</v>
      </c>
      <c r="F4" s="7">
        <v>4371.1310000000003</v>
      </c>
      <c r="G4" s="7">
        <v>4808.3819999999996</v>
      </c>
      <c r="H4" s="7">
        <v>8237.7790000000005</v>
      </c>
      <c r="I4" s="7">
        <v>8878.1610000000001</v>
      </c>
      <c r="J4" s="7">
        <v>5358.4759999999997</v>
      </c>
      <c r="K4" s="7">
        <v>7201.6769999999997</v>
      </c>
      <c r="L4" s="7">
        <v>10016.294</v>
      </c>
      <c r="N4" s="22" t="s">
        <v>28</v>
      </c>
      <c r="O4" s="22"/>
      <c r="P4" s="23"/>
      <c r="Q4" s="23"/>
      <c r="R4" s="23">
        <v>96.989000000000004</v>
      </c>
      <c r="S4" s="23">
        <v>96.989000000000004</v>
      </c>
      <c r="T4" s="23">
        <v>96.989000000000004</v>
      </c>
      <c r="U4" s="57">
        <v>96.989000000000004</v>
      </c>
      <c r="V4" s="57">
        <v>96.989000000000004</v>
      </c>
      <c r="W4" s="23">
        <v>96.989000000000004</v>
      </c>
    </row>
    <row r="5" spans="2:26">
      <c r="B5" s="24" t="s">
        <v>8</v>
      </c>
      <c r="C5" s="25" t="e">
        <f t="shared" ref="C5" si="0">C4/B4-1</f>
        <v>#VALUE!</v>
      </c>
      <c r="D5" s="25">
        <f t="shared" ref="D5" si="1">D4/C4-1</f>
        <v>-2.6097763276275776E-2</v>
      </c>
      <c r="E5" s="25">
        <f t="shared" ref="E5" si="2">E4/D4-1</f>
        <v>5.0055405752729154E-2</v>
      </c>
      <c r="F5" s="25">
        <f t="shared" ref="F5" si="3">F4/E4-1</f>
        <v>0.17314840137488563</v>
      </c>
      <c r="G5" s="25"/>
      <c r="H5" s="25">
        <f>H4/G4-1</f>
        <v>0.7132122614218257</v>
      </c>
      <c r="I5" s="25">
        <f t="shared" ref="I5:J5" si="4">I4/H4-1</f>
        <v>7.7737215334375831E-2</v>
      </c>
      <c r="J5" s="25">
        <f t="shared" si="4"/>
        <v>-0.39644302463088921</v>
      </c>
      <c r="K5" s="25">
        <f>K4/J4-1</f>
        <v>0.34397858644883361</v>
      </c>
      <c r="L5" s="25">
        <f>L4/K4-1</f>
        <v>0.39082799742337793</v>
      </c>
      <c r="N5" s="22" t="s">
        <v>29</v>
      </c>
      <c r="O5" s="22"/>
      <c r="P5" s="9"/>
      <c r="Q5" s="9"/>
      <c r="R5" s="9">
        <v>1645.2249999999999</v>
      </c>
      <c r="S5" s="22">
        <v>2425.5659999999998</v>
      </c>
      <c r="T5" s="9">
        <v>2840.61</v>
      </c>
      <c r="U5" s="29">
        <v>2107.902</v>
      </c>
      <c r="V5" s="29">
        <v>2129.395</v>
      </c>
      <c r="W5" s="29">
        <v>2809.4989999999998</v>
      </c>
    </row>
    <row r="6" spans="2:26">
      <c r="B6" s="24" t="s">
        <v>9</v>
      </c>
      <c r="C6" s="26"/>
      <c r="D6" s="26"/>
      <c r="E6" s="25"/>
      <c r="F6" s="25">
        <f t="shared" ref="F6" si="5">(F4/C4)^(1/3)-1</f>
        <v>6.257642745840819E-2</v>
      </c>
      <c r="G6" s="25"/>
      <c r="H6" s="25"/>
      <c r="I6" s="25"/>
      <c r="J6" s="25">
        <f>(J4/G4)^(1/3)-1</f>
        <v>3.6766070050367805E-2</v>
      </c>
      <c r="K6" s="25">
        <f>(K4/H4)^(1/3)-1</f>
        <v>-4.3816671143056096E-2</v>
      </c>
      <c r="L6" s="25">
        <f>(L4/I4)^(1/3)-1</f>
        <v>4.1025455225322194E-2</v>
      </c>
      <c r="N6" s="3" t="s">
        <v>30</v>
      </c>
      <c r="O6" s="3"/>
      <c r="P6" s="8">
        <f t="shared" ref="P6:T6" si="6">P4+P5</f>
        <v>0</v>
      </c>
      <c r="Q6" s="8">
        <f t="shared" si="6"/>
        <v>0</v>
      </c>
      <c r="R6" s="8">
        <f t="shared" si="6"/>
        <v>1742.2139999999999</v>
      </c>
      <c r="S6" s="8">
        <f t="shared" si="6"/>
        <v>2522.5549999999998</v>
      </c>
      <c r="T6" s="8">
        <f t="shared" si="6"/>
        <v>2937.5990000000002</v>
      </c>
      <c r="U6" s="61">
        <f>U4+U5</f>
        <v>2204.8910000000001</v>
      </c>
      <c r="V6" s="8">
        <f>V4+V5</f>
        <v>2226.384</v>
      </c>
      <c r="W6" s="8">
        <f>W4+W5</f>
        <v>2906.4879999999998</v>
      </c>
    </row>
    <row r="7" spans="2:26">
      <c r="B7" s="3" t="s">
        <v>10</v>
      </c>
      <c r="C7" s="8">
        <v>3655.3609999999999</v>
      </c>
      <c r="D7" s="8">
        <v>3538.6759999999999</v>
      </c>
      <c r="E7" s="8">
        <v>3606.3090000000002</v>
      </c>
      <c r="F7" s="8">
        <v>4178.2030000000004</v>
      </c>
      <c r="G7" s="8">
        <f>SUM(G8:G12)</f>
        <v>4194.8289999999997</v>
      </c>
      <c r="H7" s="8">
        <f t="shared" ref="H7:L7" si="7">SUM(H8:H12)</f>
        <v>7021.8850000000011</v>
      </c>
      <c r="I7" s="8">
        <f t="shared" si="7"/>
        <v>8098.8640000000005</v>
      </c>
      <c r="J7" s="8">
        <f>SUM(J8:J12)</f>
        <v>5660.3870000000006</v>
      </c>
      <c r="K7" s="8">
        <f t="shared" si="7"/>
        <v>6971.0919999999996</v>
      </c>
      <c r="L7" s="8">
        <f t="shared" si="7"/>
        <v>8686.3160000000007</v>
      </c>
      <c r="N7" s="22" t="s">
        <v>31</v>
      </c>
      <c r="O7" s="22"/>
      <c r="P7" s="23"/>
      <c r="Q7" s="23"/>
      <c r="R7" s="23"/>
      <c r="S7" s="22"/>
      <c r="T7" s="22"/>
      <c r="U7" s="22"/>
      <c r="V7" s="22"/>
      <c r="W7" s="22"/>
    </row>
    <row r="8" spans="2:26">
      <c r="B8" s="22" t="s">
        <v>11</v>
      </c>
      <c r="C8" s="23"/>
      <c r="D8" s="23"/>
      <c r="E8" s="23">
        <v>2236.1379999999999</v>
      </c>
      <c r="F8" s="23">
        <v>2568.7890000000002</v>
      </c>
      <c r="G8" s="23">
        <v>2506.306</v>
      </c>
      <c r="H8" s="23">
        <v>5202.8230000000003</v>
      </c>
      <c r="I8" s="23">
        <v>6197.7309999999998</v>
      </c>
      <c r="J8" s="23">
        <v>4703.2030000000004</v>
      </c>
      <c r="K8" s="23">
        <v>4280.5929999999998</v>
      </c>
      <c r="L8" s="23">
        <v>6256.5929999999998</v>
      </c>
      <c r="N8" s="22" t="s">
        <v>32</v>
      </c>
      <c r="O8" s="22"/>
      <c r="P8" s="9"/>
      <c r="Q8" s="9"/>
      <c r="R8" s="9">
        <v>190.42</v>
      </c>
      <c r="S8" s="22">
        <v>71.093000000000004</v>
      </c>
      <c r="T8" s="9">
        <v>242.97</v>
      </c>
      <c r="U8" s="29">
        <v>167.31100000000001</v>
      </c>
      <c r="V8" s="29">
        <v>310.90600000000001</v>
      </c>
      <c r="W8" s="29">
        <v>235.50700000000001</v>
      </c>
    </row>
    <row r="9" spans="2:26">
      <c r="B9" s="22" t="s">
        <v>26</v>
      </c>
      <c r="C9" s="23"/>
      <c r="D9" s="23"/>
      <c r="E9" s="23">
        <v>1.534</v>
      </c>
      <c r="F9" s="23">
        <v>333.10300000000001</v>
      </c>
      <c r="G9" s="23">
        <v>1.26</v>
      </c>
      <c r="H9" s="23">
        <v>1.9E-2</v>
      </c>
      <c r="I9" s="23">
        <v>0</v>
      </c>
      <c r="J9" s="23">
        <v>154.768</v>
      </c>
      <c r="K9" s="23">
        <v>0</v>
      </c>
      <c r="L9" s="23">
        <v>50.457000000000001</v>
      </c>
      <c r="N9" s="22" t="s">
        <v>33</v>
      </c>
      <c r="O9" s="22"/>
      <c r="P9" s="10"/>
      <c r="Q9" s="10"/>
      <c r="R9" s="9">
        <v>588.46600000000001</v>
      </c>
      <c r="S9" s="22">
        <v>1285.1120000000001</v>
      </c>
      <c r="T9" s="22">
        <v>1968.5309999999999</v>
      </c>
      <c r="U9" s="29">
        <v>2923.268</v>
      </c>
      <c r="V9" s="29">
        <v>2817.107</v>
      </c>
      <c r="W9" s="29">
        <v>2777.498</v>
      </c>
      <c r="Y9" s="38"/>
    </row>
    <row r="10" spans="2:26">
      <c r="B10" s="27" t="s">
        <v>12</v>
      </c>
      <c r="C10" s="23"/>
      <c r="D10" s="23"/>
      <c r="E10" s="23">
        <v>-19.832000000000001</v>
      </c>
      <c r="F10" s="23">
        <v>-331.33499999999998</v>
      </c>
      <c r="G10" s="23">
        <v>129.94999999999999</v>
      </c>
      <c r="H10" s="23">
        <v>-359.45</v>
      </c>
      <c r="I10" s="23">
        <v>-391.25799999999998</v>
      </c>
      <c r="J10" s="23">
        <v>-815.66600000000005</v>
      </c>
      <c r="K10" s="23">
        <v>797.08299999999997</v>
      </c>
      <c r="L10" s="23">
        <v>97.242999999999995</v>
      </c>
      <c r="N10" s="3" t="s">
        <v>34</v>
      </c>
      <c r="O10" s="3"/>
      <c r="P10" s="8">
        <f t="shared" ref="P10:U10" si="8">P6+P7+P8+SUM(P45:P49)</f>
        <v>0</v>
      </c>
      <c r="Q10" s="8">
        <f t="shared" si="8"/>
        <v>0</v>
      </c>
      <c r="R10" s="8">
        <f t="shared" si="8"/>
        <v>2104.1109999999999</v>
      </c>
      <c r="S10" s="8">
        <f t="shared" si="8"/>
        <v>2775.4439999999995</v>
      </c>
      <c r="T10" s="8">
        <f t="shared" si="8"/>
        <v>3347.578</v>
      </c>
      <c r="U10" s="8">
        <f t="shared" si="8"/>
        <v>2534.7150000000001</v>
      </c>
      <c r="V10" s="8">
        <f>V6+V7+V8+SUM(V45:V49)</f>
        <v>2605.4389999999999</v>
      </c>
      <c r="W10" s="8">
        <f>W6+W7+W8+SUM(W45:W49)</f>
        <v>3188.248</v>
      </c>
    </row>
    <row r="11" spans="2:26">
      <c r="B11" s="22" t="s">
        <v>13</v>
      </c>
      <c r="C11" s="23"/>
      <c r="D11" s="23"/>
      <c r="E11" s="23">
        <v>187.11600000000001</v>
      </c>
      <c r="F11" s="23">
        <v>224.84299999999999</v>
      </c>
      <c r="G11" s="23">
        <v>263.74400000000003</v>
      </c>
      <c r="H11" s="23">
        <v>310.21100000000001</v>
      </c>
      <c r="I11" s="23">
        <v>339.22500000000002</v>
      </c>
      <c r="J11" s="23">
        <v>330.08</v>
      </c>
      <c r="K11" s="23">
        <v>257.14800000000002</v>
      </c>
      <c r="L11" s="23">
        <v>101.11499999999999</v>
      </c>
      <c r="N11" s="3" t="s">
        <v>34</v>
      </c>
      <c r="O11" s="3"/>
      <c r="P11" s="8">
        <f>P51-P35-P9</f>
        <v>0</v>
      </c>
      <c r="Q11" s="8">
        <f>Q51-Q35-Q9</f>
        <v>0</v>
      </c>
      <c r="R11" s="8">
        <f>R51-R35</f>
        <v>2104.1109999999999</v>
      </c>
      <c r="S11" s="8">
        <f>S51-S35</f>
        <v>2775.4440000000004</v>
      </c>
      <c r="T11" s="8">
        <f>T51-T35</f>
        <v>3347.5780000000004</v>
      </c>
      <c r="U11" s="8">
        <f>U51-U35</f>
        <v>2534.7149999999997</v>
      </c>
      <c r="V11" s="8">
        <f>V51-V35</f>
        <v>2605.4389999999994</v>
      </c>
      <c r="W11" s="8">
        <f>W7+W8+W9+SUM(W46:W50)</f>
        <v>4831.3870000000006</v>
      </c>
    </row>
    <row r="12" spans="2:26">
      <c r="B12" s="22" t="s">
        <v>14</v>
      </c>
      <c r="C12" s="23"/>
      <c r="D12" s="23"/>
      <c r="E12" s="23">
        <v>893.66099999999994</v>
      </c>
      <c r="F12" s="23">
        <v>1116.604</v>
      </c>
      <c r="G12" s="23">
        <v>1293.569</v>
      </c>
      <c r="H12" s="23">
        <v>1868.2819999999999</v>
      </c>
      <c r="I12" s="23">
        <v>1953.1659999999999</v>
      </c>
      <c r="J12" s="23">
        <v>1288.002</v>
      </c>
      <c r="K12" s="23">
        <v>1636.268</v>
      </c>
      <c r="L12" s="23">
        <v>2180.9079999999999</v>
      </c>
      <c r="N12" s="22"/>
      <c r="O12" s="22"/>
      <c r="P12" s="23"/>
      <c r="Q12" s="23"/>
      <c r="R12" s="23"/>
      <c r="S12" s="22"/>
      <c r="T12" s="22"/>
      <c r="U12" s="22"/>
      <c r="V12" s="22"/>
      <c r="W12" s="22"/>
    </row>
    <row r="13" spans="2:26">
      <c r="B13" s="3" t="s">
        <v>15</v>
      </c>
      <c r="C13" s="8">
        <f t="shared" ref="C13:D13" si="9">C4-C7+SUM(C17:C18)</f>
        <v>380.82100000000031</v>
      </c>
      <c r="D13" s="8">
        <f t="shared" si="9"/>
        <v>112.744</v>
      </c>
      <c r="E13" s="8">
        <f>E4-E7+SUM(E17:E18)</f>
        <v>339.79999999999995</v>
      </c>
      <c r="F13" s="8">
        <f t="shared" ref="F13" si="10">F4-F7+SUM(F17:F18)</f>
        <v>459.12599999999986</v>
      </c>
      <c r="G13" s="8">
        <f>G4-G7</f>
        <v>613.55299999999988</v>
      </c>
      <c r="H13" s="8">
        <f t="shared" ref="H13:J13" si="11">H4-H7</f>
        <v>1215.8939999999993</v>
      </c>
      <c r="I13" s="8">
        <f t="shared" si="11"/>
        <v>779.29699999999957</v>
      </c>
      <c r="J13" s="8">
        <f t="shared" si="11"/>
        <v>-301.91100000000097</v>
      </c>
      <c r="K13" s="8">
        <f>K4-K7</f>
        <v>230.58500000000004</v>
      </c>
      <c r="L13" s="8">
        <f>L4-L7</f>
        <v>1329.9779999999992</v>
      </c>
      <c r="N13" s="22"/>
      <c r="O13" s="22"/>
      <c r="P13" s="23"/>
      <c r="Q13" s="23"/>
      <c r="R13" s="23"/>
      <c r="S13" s="22"/>
      <c r="T13" s="22"/>
      <c r="U13" s="22"/>
      <c r="V13" s="22"/>
      <c r="W13" s="22"/>
    </row>
    <row r="14" spans="2:26">
      <c r="B14" s="24" t="s">
        <v>8</v>
      </c>
      <c r="C14" s="25"/>
      <c r="D14" s="25">
        <f t="shared" ref="D14:J14" si="12">D13/C13-1</f>
        <v>-0.70394489799669691</v>
      </c>
      <c r="E14" s="25">
        <f t="shared" si="12"/>
        <v>2.0139076137089331</v>
      </c>
      <c r="F14" s="25">
        <f t="shared" si="12"/>
        <v>0.35116539140670966</v>
      </c>
      <c r="G14" s="25"/>
      <c r="H14" s="25">
        <f>H13/G13-1</f>
        <v>0.98172611005080168</v>
      </c>
      <c r="I14" s="25">
        <f t="shared" si="12"/>
        <v>-0.35907488646214225</v>
      </c>
      <c r="J14" s="25">
        <f t="shared" si="12"/>
        <v>-1.3874145543996719</v>
      </c>
      <c r="K14" s="25">
        <f>K13/J13-1</f>
        <v>-1.7637515691710448</v>
      </c>
      <c r="L14" s="25">
        <f>L13/K13-1</f>
        <v>4.76784266105774</v>
      </c>
      <c r="N14" s="3" t="s">
        <v>35</v>
      </c>
      <c r="O14" s="3"/>
      <c r="P14" s="8">
        <f t="shared" ref="P14:T14" si="13">SUM(P15:P23)</f>
        <v>0</v>
      </c>
      <c r="Q14" s="8">
        <f t="shared" si="13"/>
        <v>0</v>
      </c>
      <c r="R14" s="8">
        <f t="shared" si="13"/>
        <v>1057.0260000000001</v>
      </c>
      <c r="S14" s="8">
        <f t="shared" si="13"/>
        <v>1245.7939999999999</v>
      </c>
      <c r="T14" s="61">
        <f t="shared" si="13"/>
        <v>1460.0730000000001</v>
      </c>
      <c r="U14" s="8">
        <f>SUM(U15:U23)</f>
        <v>1418.6479999999997</v>
      </c>
      <c r="V14" s="8">
        <f>SUM(V15:V23)</f>
        <v>1447.7719999999999</v>
      </c>
      <c r="W14" s="8">
        <f>SUM(W15:W23)</f>
        <v>1412.2769999999998</v>
      </c>
    </row>
    <row r="15" spans="2:26">
      <c r="B15" s="24" t="s">
        <v>9</v>
      </c>
      <c r="C15" s="25"/>
      <c r="D15" s="25"/>
      <c r="E15" s="25"/>
      <c r="F15" s="25">
        <f>(F13/C13)^(1/3)-1</f>
        <v>6.4315367021909209E-2</v>
      </c>
      <c r="G15" s="25"/>
      <c r="H15" s="25"/>
      <c r="I15" s="25"/>
      <c r="J15" s="25">
        <f t="shared" ref="J15" si="14">(J13/G13)^(1/3)-1</f>
        <v>-1.7894820937711029</v>
      </c>
      <c r="K15" s="25">
        <f>(K13/H13)^(1/3)-1</f>
        <v>-0.42547123302615375</v>
      </c>
      <c r="L15" s="25">
        <f>(L13/I13)^(1/3)-1</f>
        <v>0.19503461261737076</v>
      </c>
      <c r="N15" s="22" t="s">
        <v>36</v>
      </c>
      <c r="O15" s="22">
        <v>3313.2420000000002</v>
      </c>
      <c r="P15" s="9"/>
      <c r="Q15" s="9"/>
      <c r="R15" s="23">
        <v>990.39599999999996</v>
      </c>
      <c r="S15" s="23">
        <v>954.11599999999999</v>
      </c>
      <c r="T15" s="23">
        <v>1227.3050000000001</v>
      </c>
      <c r="U15" s="29">
        <v>1266.855</v>
      </c>
      <c r="V15" s="29">
        <v>1231.7560000000001</v>
      </c>
      <c r="W15" s="29">
        <v>1149.5640000000001</v>
      </c>
      <c r="X15" s="38"/>
      <c r="Y15" s="38">
        <f>L13-L17</f>
        <v>1231.2169999999992</v>
      </c>
      <c r="Z15">
        <f>Y15/L18</f>
        <v>9.5476484044821763</v>
      </c>
    </row>
    <row r="16" spans="2:26">
      <c r="B16" s="3" t="s">
        <v>16</v>
      </c>
      <c r="C16" s="4">
        <f t="shared" ref="C16:I16" si="15">C13/C4</f>
        <v>0.10452197283127501</v>
      </c>
      <c r="D16" s="4">
        <f t="shared" si="15"/>
        <v>3.1773480090001936E-2</v>
      </c>
      <c r="E16" s="4">
        <f t="shared" si="15"/>
        <v>9.1197410186788272E-2</v>
      </c>
      <c r="F16" s="4">
        <f t="shared" si="15"/>
        <v>0.10503597352721751</v>
      </c>
      <c r="G16" s="4">
        <f>G13/G4</f>
        <v>0.12760071891126784</v>
      </c>
      <c r="H16" s="4">
        <f t="shared" si="15"/>
        <v>0.14759973531700707</v>
      </c>
      <c r="I16" s="4">
        <f t="shared" si="15"/>
        <v>8.7776849282188013E-2</v>
      </c>
      <c r="J16" s="4">
        <f>J13/J4</f>
        <v>-5.6342698931562067E-2</v>
      </c>
      <c r="K16" s="4">
        <f>K13/K4</f>
        <v>3.2018236863441671E-2</v>
      </c>
      <c r="L16" s="4">
        <f>L13/L4</f>
        <v>0.13278144591203087</v>
      </c>
      <c r="N16" s="22" t="s">
        <v>37</v>
      </c>
      <c r="O16" s="22"/>
      <c r="P16" s="9"/>
      <c r="Q16" s="9"/>
      <c r="R16" s="9">
        <v>0.107</v>
      </c>
      <c r="S16" s="23">
        <v>0</v>
      </c>
      <c r="T16" s="23">
        <v>0</v>
      </c>
      <c r="U16" s="22">
        <v>0.44700000000000001</v>
      </c>
      <c r="V16" s="22">
        <v>1.8919999999999999</v>
      </c>
      <c r="W16" s="22">
        <v>1.7529999999999999</v>
      </c>
    </row>
    <row r="17" spans="2:26">
      <c r="B17" s="22" t="s">
        <v>17</v>
      </c>
      <c r="C17" s="23">
        <v>82.322000000000003</v>
      </c>
      <c r="D17" s="23">
        <v>15.987</v>
      </c>
      <c r="E17" s="23">
        <v>0</v>
      </c>
      <c r="F17" s="23">
        <v>85.152000000000001</v>
      </c>
      <c r="G17" s="23">
        <v>65.751999999999995</v>
      </c>
      <c r="H17" s="23">
        <v>73.376000000000005</v>
      </c>
      <c r="I17" s="23">
        <v>90.619</v>
      </c>
      <c r="J17" s="23">
        <v>115.178</v>
      </c>
      <c r="K17" s="23">
        <v>106.09399999999999</v>
      </c>
      <c r="L17" s="23">
        <v>98.760999999999996</v>
      </c>
      <c r="N17" s="22" t="s">
        <v>38</v>
      </c>
      <c r="O17" s="22"/>
      <c r="P17" s="9"/>
      <c r="Q17" s="9"/>
      <c r="R17" s="9">
        <v>4.2619999999999996</v>
      </c>
      <c r="S17" s="23">
        <v>52.597999999999999</v>
      </c>
      <c r="T17" s="23">
        <v>34.643999999999998</v>
      </c>
      <c r="U17" s="29">
        <v>18.097000000000001</v>
      </c>
      <c r="V17" s="22">
        <v>9.4320000000000004</v>
      </c>
      <c r="W17" s="22">
        <v>28.78</v>
      </c>
    </row>
    <row r="18" spans="2:26">
      <c r="B18" s="22" t="s">
        <v>18</v>
      </c>
      <c r="C18" s="23">
        <v>310.40600000000001</v>
      </c>
      <c r="D18" s="23">
        <v>87.064999999999998</v>
      </c>
      <c r="E18" s="23">
        <v>220.126</v>
      </c>
      <c r="F18" s="23">
        <v>181.04599999999999</v>
      </c>
      <c r="G18" s="23">
        <v>135.49600000000001</v>
      </c>
      <c r="H18" s="23">
        <v>126.242</v>
      </c>
      <c r="I18" s="23">
        <v>193.142</v>
      </c>
      <c r="J18" s="23">
        <v>316.97699999999998</v>
      </c>
      <c r="K18" s="23">
        <v>298.07</v>
      </c>
      <c r="L18" s="23">
        <v>128.95500000000001</v>
      </c>
      <c r="N18" s="22" t="s">
        <v>64</v>
      </c>
      <c r="O18" s="22"/>
      <c r="P18" s="23"/>
      <c r="Q18" s="23"/>
      <c r="R18" s="23">
        <v>4.7910000000000004</v>
      </c>
      <c r="S18" s="23">
        <v>61.771000000000001</v>
      </c>
      <c r="T18" s="23">
        <v>66.766000000000005</v>
      </c>
      <c r="U18" s="29">
        <v>56.003999999999998</v>
      </c>
      <c r="V18" s="29">
        <v>40.11</v>
      </c>
      <c r="W18" s="29">
        <v>32.347000000000001</v>
      </c>
    </row>
    <row r="19" spans="2:26">
      <c r="B19" s="22" t="s">
        <v>19</v>
      </c>
      <c r="C19" s="23">
        <v>330.08300000000003</v>
      </c>
      <c r="D19" s="23"/>
      <c r="E19" s="23">
        <v>6.0510000000000002</v>
      </c>
      <c r="F19" s="23">
        <v>22.664000000000001</v>
      </c>
      <c r="G19" s="23">
        <v>5.375</v>
      </c>
      <c r="H19" s="23">
        <v>12.587</v>
      </c>
      <c r="I19" s="23">
        <v>14.768000000000001</v>
      </c>
      <c r="J19" s="23">
        <v>15.47</v>
      </c>
      <c r="K19" s="23">
        <v>8.5809999999999995</v>
      </c>
      <c r="L19" s="23">
        <v>15.013</v>
      </c>
      <c r="N19" s="22" t="s">
        <v>39</v>
      </c>
      <c r="O19" s="22"/>
      <c r="P19" s="23"/>
      <c r="Q19" s="23"/>
      <c r="R19" s="23"/>
      <c r="S19" s="23"/>
      <c r="T19" s="23"/>
      <c r="U19" s="22"/>
      <c r="V19" s="22"/>
      <c r="W19" s="22"/>
    </row>
    <row r="20" spans="2:26">
      <c r="B20" s="1" t="s">
        <v>20</v>
      </c>
      <c r="C20" s="7">
        <f>C13+C19-SUM(C17:C18)</f>
        <v>318.17600000000033</v>
      </c>
      <c r="D20" s="7">
        <f t="shared" ref="D20:I20" si="16">D13-SUM(D17:D18)+D19</f>
        <v>9.6920000000000073</v>
      </c>
      <c r="E20" s="7">
        <f t="shared" si="16"/>
        <v>125.72499999999995</v>
      </c>
      <c r="F20" s="7">
        <f t="shared" si="16"/>
        <v>215.59199999999987</v>
      </c>
      <c r="G20" s="7">
        <f>G13-SUM(G17:G18)+G19</f>
        <v>417.67999999999989</v>
      </c>
      <c r="H20" s="7">
        <f t="shared" si="16"/>
        <v>1028.8629999999994</v>
      </c>
      <c r="I20" s="7">
        <f t="shared" si="16"/>
        <v>510.30399999999963</v>
      </c>
      <c r="J20" s="7">
        <f>J13-SUM(J17:J18)+J19</f>
        <v>-718.59600000000091</v>
      </c>
      <c r="K20" s="7">
        <f>K13-SUM(K17:K18)+K19</f>
        <v>-164.99799999999996</v>
      </c>
      <c r="L20" s="7">
        <f>L13-SUM(L17:L18)+L19</f>
        <v>1117.2749999999992</v>
      </c>
      <c r="N20" s="28" t="s">
        <v>50</v>
      </c>
      <c r="O20" s="28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 t="s">
        <v>104</v>
      </c>
      <c r="Z20" s="38"/>
    </row>
    <row r="21" spans="2:26">
      <c r="B21" s="22" t="s">
        <v>21</v>
      </c>
      <c r="C21" s="23"/>
      <c r="D21" s="23"/>
      <c r="E21" s="23">
        <v>46.750999999999998</v>
      </c>
      <c r="F21" s="23">
        <v>64.787000000000006</v>
      </c>
      <c r="G21" s="57">
        <v>148.22499999999999</v>
      </c>
      <c r="H21" s="23">
        <v>227.17699999999999</v>
      </c>
      <c r="I21" s="23">
        <v>136.726</v>
      </c>
      <c r="J21" s="23">
        <v>-13.696999999999999</v>
      </c>
      <c r="K21" s="23">
        <v>-178.989</v>
      </c>
      <c r="L21" s="23">
        <v>29.687999999999999</v>
      </c>
      <c r="N21" s="28" t="s">
        <v>106</v>
      </c>
      <c r="O21" s="28"/>
      <c r="P21" s="10"/>
      <c r="Q21" s="9"/>
      <c r="R21" s="9">
        <v>53.039000000000001</v>
      </c>
      <c r="S21" s="23">
        <v>76.932000000000002</v>
      </c>
      <c r="T21" s="23">
        <v>57.091000000000001</v>
      </c>
      <c r="U21" s="29">
        <v>54.481000000000002</v>
      </c>
      <c r="V21" s="29">
        <v>62.362000000000002</v>
      </c>
      <c r="W21" s="29">
        <v>109.176</v>
      </c>
    </row>
    <row r="22" spans="2:26">
      <c r="B22" s="3" t="s">
        <v>121</v>
      </c>
      <c r="C22" s="8">
        <f>C20-C21</f>
        <v>318.17600000000033</v>
      </c>
      <c r="D22" s="8">
        <f t="shared" ref="D22:K22" si="17">D20-D21</f>
        <v>9.6920000000000073</v>
      </c>
      <c r="E22" s="8">
        <f t="shared" si="17"/>
        <v>78.973999999999961</v>
      </c>
      <c r="F22" s="8">
        <f t="shared" si="17"/>
        <v>150.80499999999986</v>
      </c>
      <c r="G22" s="8">
        <f t="shared" si="17"/>
        <v>269.45499999999993</v>
      </c>
      <c r="H22" s="8">
        <f t="shared" si="17"/>
        <v>801.68599999999935</v>
      </c>
      <c r="I22" s="8">
        <f>I20-I21</f>
        <v>373.57799999999963</v>
      </c>
      <c r="J22" s="8">
        <f>J20-J21</f>
        <v>-704.89900000000091</v>
      </c>
      <c r="K22" s="8">
        <f t="shared" si="17"/>
        <v>13.991000000000042</v>
      </c>
      <c r="L22" s="8">
        <v>687.59500000000003</v>
      </c>
      <c r="N22" s="22" t="s">
        <v>108</v>
      </c>
      <c r="O22" s="22"/>
      <c r="P22" s="22"/>
      <c r="Q22" s="22"/>
      <c r="R22" s="9">
        <v>4.431</v>
      </c>
      <c r="S22" s="22">
        <v>33.090000000000003</v>
      </c>
      <c r="T22" s="23">
        <v>18.462</v>
      </c>
      <c r="U22" s="29">
        <v>21.821000000000002</v>
      </c>
      <c r="V22" s="29">
        <v>102.20599999999999</v>
      </c>
      <c r="W22" s="29">
        <v>27.634</v>
      </c>
    </row>
    <row r="23" spans="2:26">
      <c r="B23" s="24" t="s">
        <v>8</v>
      </c>
      <c r="C23" s="25"/>
      <c r="D23" s="25">
        <f>D22/C22-1</f>
        <v>-0.96953887156793728</v>
      </c>
      <c r="E23" s="25"/>
      <c r="F23" s="25">
        <f t="shared" ref="F23:L23" si="18">F22/E22-1</f>
        <v>0.90955251095297118</v>
      </c>
      <c r="G23" s="25"/>
      <c r="H23" s="25">
        <f>H22/G22-1</f>
        <v>1.9752129298027485</v>
      </c>
      <c r="I23" s="25">
        <f t="shared" si="18"/>
        <v>-0.5340095748210647</v>
      </c>
      <c r="J23" s="25">
        <f t="shared" si="18"/>
        <v>-2.8868857373828267</v>
      </c>
      <c r="K23" s="25">
        <f t="shared" si="18"/>
        <v>-1.0198482335767252</v>
      </c>
      <c r="L23" s="25">
        <f t="shared" si="18"/>
        <v>48.145522121363584</v>
      </c>
      <c r="N23" s="22" t="s">
        <v>40</v>
      </c>
      <c r="O23" s="22"/>
      <c r="P23" s="9"/>
      <c r="Q23" s="9"/>
      <c r="R23" s="9">
        <v>0</v>
      </c>
      <c r="S23" s="23">
        <v>67.287000000000006</v>
      </c>
      <c r="T23" s="23">
        <v>55.805</v>
      </c>
      <c r="U23" s="29">
        <v>0.94299999999999995</v>
      </c>
      <c r="V23" s="22">
        <v>1.4E-2</v>
      </c>
      <c r="W23" s="22">
        <v>63.023000000000003</v>
      </c>
    </row>
    <row r="24" spans="2:26">
      <c r="B24" s="24" t="s">
        <v>9</v>
      </c>
      <c r="C24" s="25"/>
      <c r="D24" s="25"/>
      <c r="E24" s="25"/>
      <c r="F24" s="25"/>
      <c r="G24" s="25"/>
      <c r="H24" s="25"/>
      <c r="I24" s="25"/>
      <c r="J24" s="25">
        <f>(J22/G22)^(1/3)-1</f>
        <v>-2.3778868303514651</v>
      </c>
      <c r="K24" s="25">
        <f>(K22/H22)^(1/3)-1</f>
        <v>-0.74061303218409147</v>
      </c>
      <c r="L24" s="25">
        <f>(L22/I22)^(1/3)-1</f>
        <v>0.22551078924467971</v>
      </c>
      <c r="N24" s="3" t="s">
        <v>41</v>
      </c>
      <c r="O24" s="3"/>
      <c r="P24" s="8">
        <f>SUM(P25:P34)</f>
        <v>0</v>
      </c>
      <c r="Q24" s="8">
        <f>SUM(Q25:Q34)</f>
        <v>0</v>
      </c>
      <c r="R24" s="8">
        <f t="shared" ref="R24:U24" si="19">SUM(R25:R34)</f>
        <v>2485.8130000000001</v>
      </c>
      <c r="S24" s="8">
        <f t="shared" si="19"/>
        <v>4461.97</v>
      </c>
      <c r="T24" s="8">
        <f t="shared" si="19"/>
        <v>5610.0439999999999</v>
      </c>
      <c r="U24" s="8">
        <f t="shared" si="19"/>
        <v>4811.9670000000006</v>
      </c>
      <c r="V24" s="8">
        <f>SUM(V25:V34)</f>
        <v>4747.2569999999996</v>
      </c>
      <c r="W24" s="8">
        <f>SUM(W25:W34)</f>
        <v>5403.0219999999999</v>
      </c>
    </row>
    <row r="25" spans="2:26">
      <c r="B25" s="22" t="s">
        <v>122</v>
      </c>
      <c r="C25" s="22"/>
      <c r="D25" s="22"/>
      <c r="E25" s="22"/>
      <c r="F25" s="23">
        <v>0</v>
      </c>
      <c r="G25" s="23">
        <v>-31.95</v>
      </c>
      <c r="H25" s="22">
        <v>-8.9860000000000007</v>
      </c>
      <c r="I25" s="22">
        <v>63.706000000000003</v>
      </c>
      <c r="J25" s="22"/>
      <c r="K25" s="22"/>
      <c r="L25" s="22">
        <v>-41.616</v>
      </c>
      <c r="N25" s="22" t="s">
        <v>42</v>
      </c>
      <c r="O25" s="29">
        <v>1814.442</v>
      </c>
      <c r="P25" s="10"/>
      <c r="Q25" s="10"/>
      <c r="R25" s="9">
        <v>1121.694</v>
      </c>
      <c r="S25" s="22">
        <v>2092.8270000000002</v>
      </c>
      <c r="T25" s="29">
        <v>2520.942</v>
      </c>
      <c r="U25" s="29">
        <v>2828.4650000000001</v>
      </c>
      <c r="V25" s="29">
        <v>2166.66</v>
      </c>
      <c r="W25" s="29">
        <v>2234.3820000000001</v>
      </c>
    </row>
    <row r="26" spans="2:26">
      <c r="B26" s="22" t="s">
        <v>120</v>
      </c>
      <c r="C26" s="22"/>
      <c r="D26" s="22"/>
      <c r="E26" s="22"/>
      <c r="F26" s="23">
        <v>0</v>
      </c>
      <c r="G26" s="23">
        <v>-11.164999999999999</v>
      </c>
      <c r="H26" s="22">
        <v>-2.262</v>
      </c>
      <c r="I26" s="22">
        <v>16.033000000000001</v>
      </c>
      <c r="J26" s="22"/>
      <c r="K26" s="22"/>
      <c r="L26" s="22"/>
      <c r="N26" s="22" t="s">
        <v>39</v>
      </c>
      <c r="O26" s="22"/>
      <c r="P26" s="23"/>
      <c r="Q26" s="23"/>
      <c r="R26" s="23"/>
      <c r="S26" s="22"/>
      <c r="T26" s="29"/>
      <c r="U26" s="22"/>
      <c r="V26" s="22"/>
      <c r="W26" s="22"/>
    </row>
    <row r="27" spans="2:26">
      <c r="B27" s="22" t="s">
        <v>123</v>
      </c>
      <c r="C27" s="22">
        <f>C25-C26</f>
        <v>0</v>
      </c>
      <c r="D27" s="22">
        <f t="shared" ref="D27:L27" si="20">D25-D26</f>
        <v>0</v>
      </c>
      <c r="E27" s="22">
        <f t="shared" si="20"/>
        <v>0</v>
      </c>
      <c r="F27" s="23">
        <v>0</v>
      </c>
      <c r="G27" s="23">
        <f>G25-G26</f>
        <v>-20.785</v>
      </c>
      <c r="H27" s="22">
        <f t="shared" si="20"/>
        <v>-6.7240000000000002</v>
      </c>
      <c r="I27" s="22">
        <f t="shared" si="20"/>
        <v>47.673000000000002</v>
      </c>
      <c r="J27" s="22">
        <f t="shared" si="20"/>
        <v>0</v>
      </c>
      <c r="K27" s="22">
        <f t="shared" si="20"/>
        <v>0</v>
      </c>
      <c r="L27" s="22">
        <f t="shared" si="20"/>
        <v>-41.616</v>
      </c>
      <c r="N27" s="22" t="s">
        <v>110</v>
      </c>
      <c r="O27" s="22"/>
      <c r="P27" s="23"/>
      <c r="Q27" s="23"/>
      <c r="R27" s="23">
        <v>0</v>
      </c>
      <c r="S27" s="22">
        <v>0</v>
      </c>
      <c r="T27" s="29">
        <v>0</v>
      </c>
      <c r="U27" s="22">
        <v>0</v>
      </c>
      <c r="V27" s="22">
        <v>0</v>
      </c>
      <c r="W27" s="22">
        <v>0</v>
      </c>
      <c r="Y27" s="38"/>
    </row>
    <row r="28" spans="2:26">
      <c r="B28" s="24" t="s">
        <v>124</v>
      </c>
      <c r="C28" s="24"/>
      <c r="D28" s="24"/>
      <c r="E28" s="43">
        <f t="shared" ref="E28:H28" si="21">E27+E22</f>
        <v>78.973999999999961</v>
      </c>
      <c r="F28" s="43">
        <f t="shared" si="21"/>
        <v>150.80499999999986</v>
      </c>
      <c r="G28" s="43">
        <f>G27+G22</f>
        <v>248.66999999999993</v>
      </c>
      <c r="H28" s="43">
        <f t="shared" si="21"/>
        <v>794.96199999999931</v>
      </c>
      <c r="I28" s="43">
        <f>I27+I22</f>
        <v>421.25099999999964</v>
      </c>
      <c r="J28" s="43">
        <f>J22</f>
        <v>-704.89900000000091</v>
      </c>
      <c r="K28" s="43">
        <f t="shared" ref="K28" si="22">K22</f>
        <v>13.991000000000042</v>
      </c>
      <c r="L28" s="43">
        <f>L22+L27</f>
        <v>645.97900000000004</v>
      </c>
      <c r="N28" s="31" t="s">
        <v>51</v>
      </c>
      <c r="O28" s="32">
        <v>2811.6170000000002</v>
      </c>
      <c r="P28" s="9"/>
      <c r="Q28" s="9"/>
      <c r="R28" s="9">
        <v>436.22899999999998</v>
      </c>
      <c r="S28" s="22">
        <v>380.17099999999999</v>
      </c>
      <c r="T28" s="29">
        <v>650.85500000000002</v>
      </c>
      <c r="U28" s="29">
        <v>489.55799999999999</v>
      </c>
      <c r="V28" s="29">
        <v>722.91200000000003</v>
      </c>
      <c r="W28" s="29">
        <v>623.84500000000003</v>
      </c>
    </row>
    <row r="29" spans="2:26">
      <c r="B29" s="3" t="s">
        <v>125</v>
      </c>
      <c r="C29" s="3">
        <f>C28/C4</f>
        <v>0</v>
      </c>
      <c r="D29" s="3">
        <f t="shared" ref="D29:I29" si="23">D28/D4</f>
        <v>0</v>
      </c>
      <c r="E29" s="3">
        <f t="shared" si="23"/>
        <v>2.11954804946775E-2</v>
      </c>
      <c r="F29" s="66">
        <f t="shared" si="23"/>
        <v>3.4500224312654974E-2</v>
      </c>
      <c r="G29" s="67">
        <f t="shared" si="23"/>
        <v>5.1715941037962447E-2</v>
      </c>
      <c r="H29" s="67">
        <f>H28/H4</f>
        <v>9.6501981905559656E-2</v>
      </c>
      <c r="I29" s="67">
        <f t="shared" si="23"/>
        <v>4.744800190039352E-2</v>
      </c>
      <c r="J29" s="67">
        <f t="shared" ref="J29" si="24">J22/J4</f>
        <v>-0.13154841040624254</v>
      </c>
      <c r="K29" s="67">
        <f>K22/K4</f>
        <v>1.9427419474658532E-3</v>
      </c>
      <c r="L29" s="67">
        <f>L22/L4</f>
        <v>6.8647645526379322E-2</v>
      </c>
      <c r="N29" s="31" t="s">
        <v>52</v>
      </c>
      <c r="O29" s="31"/>
      <c r="P29" s="9"/>
      <c r="Q29" s="9"/>
      <c r="R29" s="9">
        <v>3.39</v>
      </c>
      <c r="S29" s="22">
        <v>471.85700000000003</v>
      </c>
      <c r="T29" s="18">
        <v>1.55</v>
      </c>
      <c r="U29" s="29">
        <v>0.54200000000000004</v>
      </c>
      <c r="V29" s="29">
        <v>0.79700000000000004</v>
      </c>
      <c r="W29" s="29">
        <v>0.59099999999999997</v>
      </c>
    </row>
    <row r="30" spans="2:26">
      <c r="B30" s="22" t="s">
        <v>22</v>
      </c>
      <c r="C30" s="30"/>
      <c r="D30" s="30"/>
      <c r="E30" s="30">
        <v>4.7679999999999998</v>
      </c>
      <c r="F30" s="30">
        <v>4.7774000000000001</v>
      </c>
      <c r="G30" s="30">
        <v>-7.9189999999999996</v>
      </c>
      <c r="H30" s="22">
        <v>-3.8519999999999999</v>
      </c>
      <c r="I30" s="22">
        <v>8.34</v>
      </c>
      <c r="J30" s="29">
        <v>1.29</v>
      </c>
      <c r="K30" s="29">
        <v>7.5019999999999998</v>
      </c>
      <c r="L30" s="23">
        <v>33.107999999999997</v>
      </c>
      <c r="N30" s="31" t="s">
        <v>53</v>
      </c>
      <c r="O30" s="31"/>
      <c r="P30" s="10"/>
      <c r="Q30" s="9"/>
      <c r="R30" s="9">
        <v>58.963999999999999</v>
      </c>
      <c r="S30" s="22">
        <v>128.184</v>
      </c>
      <c r="T30" s="18">
        <v>162.24299999999999</v>
      </c>
      <c r="U30" s="29">
        <v>36.540999999999997</v>
      </c>
      <c r="V30" s="29">
        <v>161.56399999999999</v>
      </c>
      <c r="W30" s="29">
        <v>137.108</v>
      </c>
    </row>
    <row r="31" spans="2:26">
      <c r="B31" s="3" t="s">
        <v>23</v>
      </c>
      <c r="C31" s="8">
        <f>SUM(C22+C30)</f>
        <v>318.17600000000033</v>
      </c>
      <c r="D31" s="8">
        <f>D30+D28</f>
        <v>0</v>
      </c>
      <c r="E31" s="8">
        <f t="shared" ref="E31:L31" si="25">E30+E28</f>
        <v>83.741999999999962</v>
      </c>
      <c r="F31" s="8">
        <f t="shared" si="25"/>
        <v>155.58239999999986</v>
      </c>
      <c r="G31" s="8">
        <f t="shared" si="25"/>
        <v>240.75099999999992</v>
      </c>
      <c r="H31" s="8">
        <f t="shared" si="25"/>
        <v>791.10999999999933</v>
      </c>
      <c r="I31" s="8">
        <f t="shared" si="25"/>
        <v>429.59099999999961</v>
      </c>
      <c r="J31" s="8">
        <f t="shared" si="25"/>
        <v>-703.60900000000095</v>
      </c>
      <c r="K31" s="8">
        <f t="shared" si="25"/>
        <v>21.493000000000041</v>
      </c>
      <c r="L31" s="8">
        <f t="shared" si="25"/>
        <v>679.08699999999999</v>
      </c>
      <c r="N31" s="22" t="s">
        <v>54</v>
      </c>
      <c r="O31" s="22"/>
      <c r="P31" s="10"/>
      <c r="Q31" s="9"/>
      <c r="R31" s="9">
        <v>0.79300000000000004</v>
      </c>
      <c r="S31" s="22">
        <v>3.2549999999999999</v>
      </c>
      <c r="T31" s="29">
        <v>0.92800000000000005</v>
      </c>
      <c r="U31" s="29">
        <v>0.64</v>
      </c>
      <c r="V31" s="29">
        <v>0.41899999999999998</v>
      </c>
      <c r="W31" s="29">
        <v>0.52700000000000002</v>
      </c>
    </row>
    <row r="32" spans="2:26">
      <c r="B32" s="33" t="s">
        <v>8</v>
      </c>
      <c r="C32" s="24"/>
      <c r="D32" s="25">
        <f>D31/C31-1</f>
        <v>-1</v>
      </c>
      <c r="E32" s="25"/>
      <c r="F32" s="25">
        <f t="shared" ref="F32:L32" si="26">F31/E31-1</f>
        <v>0.85787776742852961</v>
      </c>
      <c r="G32" s="25">
        <f t="shared" si="26"/>
        <v>0.54741795987206854</v>
      </c>
      <c r="H32" s="25">
        <f>H31/G31-1</f>
        <v>2.2860091962234823</v>
      </c>
      <c r="I32" s="25">
        <f t="shared" si="26"/>
        <v>-0.45697690586644091</v>
      </c>
      <c r="J32" s="25">
        <f t="shared" si="26"/>
        <v>-2.6378578694618873</v>
      </c>
      <c r="K32" s="25">
        <f t="shared" si="26"/>
        <v>-1.0305467951660652</v>
      </c>
      <c r="L32" s="25">
        <f t="shared" si="26"/>
        <v>30.595728841948482</v>
      </c>
      <c r="N32" s="31" t="s">
        <v>55</v>
      </c>
      <c r="O32" s="31"/>
      <c r="P32" s="9"/>
      <c r="Q32" s="9"/>
      <c r="R32" s="9">
        <v>31.416</v>
      </c>
      <c r="S32" s="22">
        <v>30.356999999999999</v>
      </c>
      <c r="T32" s="29">
        <v>32.435000000000002</v>
      </c>
      <c r="U32" s="22">
        <v>38.225999999999999</v>
      </c>
      <c r="V32" s="22">
        <v>37.456000000000003</v>
      </c>
      <c r="W32" s="22">
        <v>89.304000000000002</v>
      </c>
      <c r="Y32" s="44"/>
    </row>
    <row r="33" spans="2:24">
      <c r="B33" s="33" t="s">
        <v>24</v>
      </c>
      <c r="C33" s="24"/>
      <c r="D33" s="24"/>
      <c r="E33" s="24"/>
      <c r="F33" s="25"/>
      <c r="G33" s="25"/>
      <c r="H33" s="25"/>
      <c r="I33" s="25"/>
      <c r="J33" s="25">
        <f>(J31/G31)^(1/3)-1</f>
        <v>-2.4297313125006217</v>
      </c>
      <c r="K33" s="25">
        <f>(K31/H31)^(1/3)-1</f>
        <v>-0.6993784879796201</v>
      </c>
      <c r="L33" s="25">
        <f>(L31/I31)^(1/3)-1</f>
        <v>0.16490385055529355</v>
      </c>
      <c r="N33" s="22" t="s">
        <v>56</v>
      </c>
      <c r="O33" s="22"/>
      <c r="P33" s="23"/>
      <c r="Q33" s="23"/>
      <c r="R33" s="23"/>
      <c r="S33" s="22"/>
      <c r="T33" s="23">
        <v>0</v>
      </c>
      <c r="U33" s="23">
        <v>0</v>
      </c>
      <c r="V33" s="23">
        <v>0</v>
      </c>
      <c r="W33" s="23" t="s">
        <v>104</v>
      </c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N34" s="22" t="s">
        <v>57</v>
      </c>
      <c r="O34" s="22"/>
      <c r="P34" s="23"/>
      <c r="Q34" s="23"/>
      <c r="R34" s="23">
        <v>833.327</v>
      </c>
      <c r="S34" s="22">
        <v>1355.319</v>
      </c>
      <c r="T34" s="62">
        <v>2241.0909999999999</v>
      </c>
      <c r="U34" s="29">
        <v>1417.9949999999999</v>
      </c>
      <c r="V34" s="29">
        <v>1657.4490000000001</v>
      </c>
      <c r="W34" s="29">
        <f>2273.75+43.515</f>
        <v>2317.2649999999999</v>
      </c>
      <c r="X34" s="48"/>
    </row>
    <row r="35" spans="2:24">
      <c r="B35" s="3" t="s">
        <v>25</v>
      </c>
      <c r="C35" s="5"/>
      <c r="D35" s="5">
        <v>1</v>
      </c>
      <c r="E35" s="5">
        <v>0.81</v>
      </c>
      <c r="F35" s="5">
        <v>1.55</v>
      </c>
      <c r="G35" s="6">
        <v>2.56</v>
      </c>
      <c r="H35" s="6">
        <v>8.1999999999999993</v>
      </c>
      <c r="I35" s="6">
        <v>4.34</v>
      </c>
      <c r="J35" s="6">
        <v>-7.27</v>
      </c>
      <c r="K35" s="6">
        <v>0.14000000000000001</v>
      </c>
      <c r="L35" s="6">
        <v>6.66</v>
      </c>
      <c r="N35" s="3" t="s">
        <v>43</v>
      </c>
      <c r="O35" s="3"/>
      <c r="P35" s="8">
        <f>SUM(P37:P43)</f>
        <v>0</v>
      </c>
      <c r="Q35" s="8">
        <f>SUM(Q37:Q43)</f>
        <v>0</v>
      </c>
      <c r="R35" s="8">
        <f t="shared" ref="R35:V35" si="27">SUM(R37:R43)+R9</f>
        <v>1438.7280000000001</v>
      </c>
      <c r="S35" s="61">
        <f t="shared" si="27"/>
        <v>2932.3199999999997</v>
      </c>
      <c r="T35" s="61">
        <f t="shared" si="27"/>
        <v>3722.5389999999998</v>
      </c>
      <c r="U35" s="8">
        <f t="shared" si="27"/>
        <v>3695.9</v>
      </c>
      <c r="V35" s="8">
        <f t="shared" si="27"/>
        <v>3589.59</v>
      </c>
      <c r="W35" s="8">
        <f>SUM(W37:W43)+W9</f>
        <v>3627.0529999999999</v>
      </c>
    </row>
    <row r="36" spans="2:24" ht="14.1" customHeight="1">
      <c r="B36" s="24" t="s">
        <v>8</v>
      </c>
      <c r="C36" s="25"/>
      <c r="D36" s="25" t="e">
        <f>D35/C36-1</f>
        <v>#DIV/0!</v>
      </c>
      <c r="E36" s="25" t="e">
        <f t="shared" ref="E36:F36" si="28">E35/D36-1</f>
        <v>#DIV/0!</v>
      </c>
      <c r="F36" s="25" t="e">
        <f t="shared" si="28"/>
        <v>#DIV/0!</v>
      </c>
      <c r="G36" s="25">
        <f>G35/F35-1</f>
        <v>0.65161290322580645</v>
      </c>
      <c r="H36" s="25">
        <f>H35/G35-1</f>
        <v>2.2031249999999996</v>
      </c>
      <c r="I36" s="25">
        <f t="shared" ref="I36:J36" si="29">I35/H35-1</f>
        <v>-0.47073170731707314</v>
      </c>
      <c r="J36" s="25">
        <f t="shared" si="29"/>
        <v>-2.6751152073732718</v>
      </c>
      <c r="K36" s="25">
        <f>K35/J35-1</f>
        <v>-1.0192572214580469</v>
      </c>
      <c r="L36" s="25">
        <f>L35/K35-1</f>
        <v>46.571428571428569</v>
      </c>
      <c r="N36" s="22" t="s">
        <v>60</v>
      </c>
      <c r="O36" s="22"/>
      <c r="P36" s="23"/>
      <c r="Q36" s="23"/>
      <c r="R36" s="23"/>
      <c r="S36" s="22"/>
      <c r="T36" s="22"/>
      <c r="U36" s="22"/>
      <c r="V36" s="22"/>
      <c r="W36" s="22"/>
    </row>
    <row r="37" spans="2:24" ht="14.25" customHeight="1">
      <c r="B37" s="24" t="s">
        <v>9</v>
      </c>
      <c r="C37" s="25"/>
      <c r="D37" s="25"/>
      <c r="E37" s="25"/>
      <c r="F37" s="25"/>
      <c r="G37" s="25"/>
      <c r="H37" s="25"/>
      <c r="I37" s="25"/>
      <c r="J37" s="25">
        <f>(J35/G35)^(1/3)-1</f>
        <v>-2.4161137788679365</v>
      </c>
      <c r="K37" s="25">
        <f>(K35/H35)^(1/3)-1</f>
        <v>-0.74250346197908068</v>
      </c>
      <c r="L37" s="25">
        <f>(L35/I35)^(1/3)-1</f>
        <v>0.15343953532432852</v>
      </c>
      <c r="N37" s="22" t="s">
        <v>61</v>
      </c>
      <c r="O37" s="22">
        <v>4127.42</v>
      </c>
      <c r="P37" s="9"/>
      <c r="Q37" s="9"/>
      <c r="R37" s="9">
        <v>476.77699999999999</v>
      </c>
      <c r="S37" s="29">
        <v>988.65300000000002</v>
      </c>
      <c r="T37" s="29">
        <v>1182.521</v>
      </c>
      <c r="U37" s="29">
        <f>522.266+0.024</f>
        <v>522.29</v>
      </c>
      <c r="V37" s="29">
        <v>419.63200000000001</v>
      </c>
      <c r="W37" s="29">
        <v>551.31600000000003</v>
      </c>
    </row>
    <row r="38" spans="2:24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N38" s="22" t="s">
        <v>62</v>
      </c>
      <c r="O38" s="22"/>
      <c r="P38" s="10"/>
      <c r="Q38" s="9"/>
      <c r="R38" s="9">
        <v>156.917</v>
      </c>
      <c r="S38" s="22">
        <v>145.31100000000001</v>
      </c>
      <c r="T38" s="29">
        <v>165.76599999999999</v>
      </c>
      <c r="U38" s="29">
        <v>104.25700000000001</v>
      </c>
      <c r="V38" s="29">
        <v>94.573999999999998</v>
      </c>
      <c r="W38" s="29">
        <v>174.44900000000001</v>
      </c>
      <c r="X38">
        <f>1180.431+2.09</f>
        <v>1182.521</v>
      </c>
    </row>
    <row r="39" spans="2:24">
      <c r="B39" s="1" t="s">
        <v>67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103</v>
      </c>
      <c r="I39" s="2" t="s">
        <v>105</v>
      </c>
      <c r="J39" s="2" t="s">
        <v>112</v>
      </c>
      <c r="K39" s="2" t="s">
        <v>115</v>
      </c>
      <c r="L39" s="2" t="s">
        <v>128</v>
      </c>
      <c r="N39" s="22" t="s">
        <v>66</v>
      </c>
      <c r="O39" s="22"/>
      <c r="P39" s="23"/>
      <c r="Q39" s="23"/>
      <c r="R39" s="23"/>
      <c r="S39" s="22">
        <v>8.32</v>
      </c>
      <c r="T39" s="29">
        <v>18.364999999999998</v>
      </c>
      <c r="U39" s="29">
        <v>14.178000000000001</v>
      </c>
      <c r="V39" s="29">
        <v>6.7309999999999999</v>
      </c>
      <c r="W39" s="29">
        <v>7.83</v>
      </c>
    </row>
    <row r="40" spans="2:24">
      <c r="B40" s="34" t="s">
        <v>68</v>
      </c>
      <c r="C40" s="29"/>
      <c r="D40" s="22"/>
      <c r="E40" s="23"/>
      <c r="F40" s="23"/>
      <c r="G40" s="23">
        <v>3.6989999999999998</v>
      </c>
      <c r="H40" s="29">
        <v>3.39</v>
      </c>
      <c r="I40" s="29">
        <v>471.85700000000003</v>
      </c>
      <c r="J40" s="29">
        <v>1.55</v>
      </c>
      <c r="K40" s="29">
        <v>0.54200000000000004</v>
      </c>
      <c r="L40" s="23">
        <v>0.79700000000000004</v>
      </c>
      <c r="N40" s="22" t="s">
        <v>44</v>
      </c>
      <c r="O40" s="22"/>
      <c r="P40" s="9"/>
      <c r="Q40" s="9"/>
      <c r="R40" s="9">
        <v>209.91499999999999</v>
      </c>
      <c r="S40" s="22">
        <f>501.783+0.738</f>
        <v>502.52100000000002</v>
      </c>
      <c r="T40" s="29">
        <v>324.06700000000001</v>
      </c>
      <c r="U40" s="29">
        <v>130.03200000000001</v>
      </c>
      <c r="V40" s="29">
        <v>249.33199999999999</v>
      </c>
      <c r="W40" s="29">
        <v>113.449</v>
      </c>
      <c r="X40" s="39"/>
    </row>
    <row r="41" spans="2:24">
      <c r="B41" s="22" t="s">
        <v>69</v>
      </c>
      <c r="C41" s="23"/>
      <c r="D41" s="23"/>
      <c r="E41" s="23"/>
      <c r="F41" s="23"/>
      <c r="G41" s="23">
        <v>843.47299999999996</v>
      </c>
      <c r="H41" s="29">
        <v>269.71100000000001</v>
      </c>
      <c r="I41" s="29">
        <v>-881.55200000000002</v>
      </c>
      <c r="J41" s="29">
        <v>-553.92399999999998</v>
      </c>
      <c r="K41" s="29">
        <v>441.26600000000002</v>
      </c>
      <c r="L41" s="29">
        <v>442.69600000000003</v>
      </c>
      <c r="N41" s="22" t="s">
        <v>45</v>
      </c>
      <c r="O41" s="22"/>
      <c r="P41" s="10"/>
      <c r="Q41" s="9"/>
      <c r="R41" s="9">
        <v>6.6529999999999996</v>
      </c>
      <c r="S41" s="22">
        <v>2.403</v>
      </c>
      <c r="T41" s="29">
        <v>63.289000000000001</v>
      </c>
      <c r="U41" s="29">
        <v>1.875</v>
      </c>
      <c r="V41" s="29">
        <v>2.214</v>
      </c>
      <c r="W41" s="29">
        <v>2.5110000000000001</v>
      </c>
    </row>
    <row r="42" spans="2:24">
      <c r="B42" s="22" t="s">
        <v>70</v>
      </c>
      <c r="C42" s="23"/>
      <c r="D42" s="23"/>
      <c r="E42" s="23"/>
      <c r="F42" s="23"/>
      <c r="G42" s="23">
        <v>-55.694000000000003</v>
      </c>
      <c r="H42" s="22">
        <v>-198.255</v>
      </c>
      <c r="I42" s="29">
        <v>-221.666</v>
      </c>
      <c r="J42" s="29">
        <v>17.96</v>
      </c>
      <c r="K42" s="29">
        <v>-166.197</v>
      </c>
      <c r="L42" s="29">
        <v>-42.252000000000002</v>
      </c>
      <c r="N42" s="22" t="s">
        <v>108</v>
      </c>
      <c r="O42" s="22"/>
      <c r="P42" s="22"/>
      <c r="Q42" s="22"/>
      <c r="R42" s="22"/>
      <c r="S42" s="22"/>
      <c r="T42" s="22"/>
      <c r="U42" s="22"/>
      <c r="V42" s="22"/>
      <c r="W42" s="22"/>
    </row>
    <row r="43" spans="2:24">
      <c r="B43" s="22" t="s">
        <v>71</v>
      </c>
      <c r="C43" s="23"/>
      <c r="D43" s="23"/>
      <c r="E43" s="23"/>
      <c r="F43" s="23"/>
      <c r="G43" s="23">
        <v>-788.08900000000006</v>
      </c>
      <c r="H43" s="22">
        <v>397.01100000000002</v>
      </c>
      <c r="I43" s="22">
        <v>632.91099999999994</v>
      </c>
      <c r="J43" s="29">
        <v>534.95600000000002</v>
      </c>
      <c r="K43" s="29">
        <v>-274.81400000000002</v>
      </c>
      <c r="L43" s="29">
        <v>-400.65</v>
      </c>
      <c r="N43" s="22" t="s">
        <v>63</v>
      </c>
      <c r="O43" s="22"/>
      <c r="P43" s="23"/>
      <c r="Q43" s="23"/>
      <c r="R43" s="23"/>
      <c r="S43" s="22"/>
      <c r="T43" s="29"/>
      <c r="U43" s="22"/>
      <c r="V43" s="22"/>
      <c r="W43" s="22"/>
    </row>
    <row r="44" spans="2:24">
      <c r="B44" s="1" t="s">
        <v>72</v>
      </c>
      <c r="C44" s="23"/>
      <c r="D44" s="23"/>
      <c r="E44" s="23"/>
      <c r="F44" s="23"/>
      <c r="G44" s="23">
        <v>-0.309</v>
      </c>
      <c r="H44" s="23">
        <v>468.46699999999998</v>
      </c>
      <c r="I44" s="23">
        <v>-470.30700000000002</v>
      </c>
      <c r="J44" s="23">
        <v>-1.008</v>
      </c>
      <c r="K44" s="23">
        <v>0.255</v>
      </c>
      <c r="L44" s="22">
        <v>-0.20599999999999999</v>
      </c>
      <c r="N44" s="3" t="s">
        <v>111</v>
      </c>
      <c r="O44" s="3"/>
      <c r="P44" s="3"/>
      <c r="Q44" s="3"/>
      <c r="R44" s="8">
        <f t="shared" ref="R44:V44" si="30">SUM(R45:R49)+R8</f>
        <v>361.89699999999999</v>
      </c>
      <c r="S44" s="8">
        <f t="shared" si="30"/>
        <v>252.88900000000001</v>
      </c>
      <c r="T44" s="8">
        <f t="shared" si="30"/>
        <v>409.97900000000004</v>
      </c>
      <c r="U44" s="8">
        <f t="shared" si="30"/>
        <v>329.82400000000001</v>
      </c>
      <c r="V44" s="8">
        <f t="shared" si="30"/>
        <v>379.05500000000001</v>
      </c>
      <c r="W44" s="8">
        <f>SUM(W45:W49)+W8</f>
        <v>281.76</v>
      </c>
    </row>
    <row r="45" spans="2:24">
      <c r="B45" s="3" t="s">
        <v>73</v>
      </c>
      <c r="C45" s="8">
        <f>C40+C44</f>
        <v>0</v>
      </c>
      <c r="D45" s="8">
        <f>D40+D44</f>
        <v>0</v>
      </c>
      <c r="E45" s="8">
        <f>E40-E44</f>
        <v>0</v>
      </c>
      <c r="F45" s="8">
        <f t="shared" ref="F45:L45" si="31">F40+F44</f>
        <v>0</v>
      </c>
      <c r="G45" s="8">
        <f>G40+G44</f>
        <v>3.3899999999999997</v>
      </c>
      <c r="H45" s="8">
        <f t="shared" si="31"/>
        <v>471.85699999999997</v>
      </c>
      <c r="I45" s="8">
        <f t="shared" si="31"/>
        <v>1.5500000000000114</v>
      </c>
      <c r="J45" s="8">
        <f t="shared" si="31"/>
        <v>0.54200000000000004</v>
      </c>
      <c r="K45" s="8">
        <f t="shared" si="31"/>
        <v>0.79700000000000004</v>
      </c>
      <c r="L45" s="8">
        <f t="shared" si="31"/>
        <v>0.59100000000000008</v>
      </c>
      <c r="N45" s="22" t="s">
        <v>47</v>
      </c>
      <c r="O45" s="22"/>
      <c r="P45" s="9"/>
      <c r="Q45" s="9"/>
      <c r="R45" s="9">
        <v>12.773</v>
      </c>
      <c r="S45" s="22">
        <v>5.0720000000000001</v>
      </c>
      <c r="T45" s="22">
        <v>3.8050000000000002</v>
      </c>
      <c r="U45" s="29">
        <v>3.0409999999999999</v>
      </c>
      <c r="V45" s="29">
        <v>2.8450000000000002</v>
      </c>
      <c r="W45" s="29">
        <v>3.84</v>
      </c>
    </row>
    <row r="46" spans="2:24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N46" s="22" t="s">
        <v>59</v>
      </c>
      <c r="O46" s="22"/>
      <c r="P46" s="9"/>
      <c r="Q46" s="9"/>
      <c r="R46" s="22">
        <v>0</v>
      </c>
      <c r="S46" s="22">
        <v>0</v>
      </c>
      <c r="T46" s="22">
        <v>0</v>
      </c>
      <c r="U46" s="29">
        <v>0</v>
      </c>
      <c r="V46" s="29">
        <v>0</v>
      </c>
      <c r="W46" s="29">
        <v>0</v>
      </c>
    </row>
    <row r="47" spans="2:24">
      <c r="B47" s="11" t="s">
        <v>74</v>
      </c>
      <c r="C47" s="21" t="s">
        <v>2</v>
      </c>
      <c r="D47" s="21" t="s">
        <v>3</v>
      </c>
      <c r="E47" s="21" t="s">
        <v>4</v>
      </c>
      <c r="F47" s="21" t="s">
        <v>5</v>
      </c>
      <c r="G47" s="21" t="s">
        <v>6</v>
      </c>
      <c r="H47" s="21" t="s">
        <v>103</v>
      </c>
      <c r="I47" s="21" t="s">
        <v>105</v>
      </c>
      <c r="J47" s="2" t="s">
        <v>112</v>
      </c>
      <c r="K47" s="2" t="s">
        <v>115</v>
      </c>
      <c r="L47" s="2" t="s">
        <v>128</v>
      </c>
      <c r="N47" s="22" t="s">
        <v>65</v>
      </c>
      <c r="O47" s="22"/>
      <c r="P47" s="23"/>
      <c r="Q47" s="23"/>
      <c r="R47" s="23">
        <v>5.36</v>
      </c>
      <c r="S47" s="29">
        <v>56.677</v>
      </c>
      <c r="T47" s="29">
        <v>55.46</v>
      </c>
      <c r="U47" s="29">
        <v>51.944000000000003</v>
      </c>
      <c r="V47" s="29">
        <v>45.213000000000001</v>
      </c>
      <c r="W47" s="29">
        <v>37.383000000000003</v>
      </c>
    </row>
    <row r="48" spans="2:24">
      <c r="B48" s="11" t="s">
        <v>75</v>
      </c>
      <c r="C48" s="16">
        <f t="shared" ref="C48:L48" si="32">C41</f>
        <v>0</v>
      </c>
      <c r="D48" s="16">
        <f t="shared" si="32"/>
        <v>0</v>
      </c>
      <c r="E48" s="16">
        <f>E41</f>
        <v>0</v>
      </c>
      <c r="F48" s="16">
        <f t="shared" si="32"/>
        <v>0</v>
      </c>
      <c r="G48" s="16">
        <f>G41</f>
        <v>843.47299999999996</v>
      </c>
      <c r="H48" s="16">
        <f t="shared" si="32"/>
        <v>269.71100000000001</v>
      </c>
      <c r="I48" s="16">
        <f t="shared" si="32"/>
        <v>-881.55200000000002</v>
      </c>
      <c r="J48" s="16">
        <f t="shared" si="32"/>
        <v>-553.92399999999998</v>
      </c>
      <c r="K48" s="16">
        <f t="shared" si="32"/>
        <v>441.26600000000002</v>
      </c>
      <c r="L48" s="16">
        <f t="shared" si="32"/>
        <v>442.69600000000003</v>
      </c>
      <c r="N48" s="22" t="s">
        <v>107</v>
      </c>
      <c r="O48" s="22"/>
      <c r="P48" s="22"/>
      <c r="Q48" s="22"/>
      <c r="R48" s="22">
        <v>5.5060000000000002</v>
      </c>
      <c r="S48" s="22">
        <v>4.6909999999999998</v>
      </c>
      <c r="T48" s="22">
        <v>5.157</v>
      </c>
      <c r="U48" s="22">
        <v>5.6760000000000002</v>
      </c>
      <c r="V48" s="22">
        <v>20.091000000000001</v>
      </c>
      <c r="W48" s="29">
        <f>3.84+1.19</f>
        <v>5.0299999999999994</v>
      </c>
    </row>
    <row r="49" spans="2:32">
      <c r="B49" s="12" t="s">
        <v>76</v>
      </c>
      <c r="C49" s="15"/>
      <c r="D49" s="15"/>
      <c r="E49" s="15">
        <v>302.38</v>
      </c>
      <c r="F49" s="15">
        <v>155.46700000000001</v>
      </c>
      <c r="G49" s="47">
        <f t="shared" ref="G49:J49" si="33">G42</f>
        <v>-55.694000000000003</v>
      </c>
      <c r="H49" s="47">
        <f t="shared" si="33"/>
        <v>-198.255</v>
      </c>
      <c r="I49" s="47">
        <f t="shared" si="33"/>
        <v>-221.666</v>
      </c>
      <c r="J49" s="47">
        <f t="shared" si="33"/>
        <v>17.96</v>
      </c>
      <c r="K49" s="47">
        <f>K42</f>
        <v>-166.197</v>
      </c>
      <c r="L49" s="47">
        <f>L42</f>
        <v>-42.252000000000002</v>
      </c>
      <c r="N49" s="22" t="s">
        <v>58</v>
      </c>
      <c r="O49" s="22"/>
      <c r="P49" s="23"/>
      <c r="Q49" s="23"/>
      <c r="R49" s="23">
        <v>147.83799999999999</v>
      </c>
      <c r="S49" s="22">
        <v>115.35599999999999</v>
      </c>
      <c r="T49" s="29">
        <v>102.587</v>
      </c>
      <c r="U49" s="29">
        <v>101.852</v>
      </c>
      <c r="V49" s="29">
        <v>0</v>
      </c>
      <c r="W49" s="29">
        <v>0</v>
      </c>
    </row>
    <row r="50" spans="2:32">
      <c r="B50" s="13" t="s">
        <v>77</v>
      </c>
      <c r="C50" s="17">
        <f t="shared" ref="C50:L50" si="34">C48-C49</f>
        <v>0</v>
      </c>
      <c r="D50" s="17">
        <f t="shared" si="34"/>
        <v>0</v>
      </c>
      <c r="E50" s="17">
        <f t="shared" si="34"/>
        <v>-302.38</v>
      </c>
      <c r="F50" s="17">
        <f t="shared" si="34"/>
        <v>-155.46700000000001</v>
      </c>
      <c r="G50" s="17">
        <f>G48-G49</f>
        <v>899.16699999999992</v>
      </c>
      <c r="H50" s="17">
        <f t="shared" si="34"/>
        <v>467.96600000000001</v>
      </c>
      <c r="I50" s="17">
        <f t="shared" si="34"/>
        <v>-659.88599999999997</v>
      </c>
      <c r="J50" s="17">
        <f t="shared" si="34"/>
        <v>-571.88400000000001</v>
      </c>
      <c r="K50" s="17">
        <f t="shared" si="34"/>
        <v>607.46299999999997</v>
      </c>
      <c r="L50" s="17">
        <f t="shared" si="34"/>
        <v>484.94800000000004</v>
      </c>
      <c r="N50" s="3" t="s">
        <v>46</v>
      </c>
      <c r="O50" s="3"/>
      <c r="P50" s="8">
        <f t="shared" ref="P50:S50" si="35">P24-P35</f>
        <v>0</v>
      </c>
      <c r="Q50" s="8">
        <f t="shared" si="35"/>
        <v>0</v>
      </c>
      <c r="R50" s="8">
        <f t="shared" si="35"/>
        <v>1047.085</v>
      </c>
      <c r="S50" s="8">
        <f t="shared" si="35"/>
        <v>1529.6500000000005</v>
      </c>
      <c r="T50" s="8">
        <f t="shared" ref="T50" si="36">T24-T35</f>
        <v>1887.5050000000001</v>
      </c>
      <c r="U50" s="8">
        <f>U24-U35</f>
        <v>1116.0670000000005</v>
      </c>
      <c r="V50" s="8">
        <f>V24-V35</f>
        <v>1157.6669999999995</v>
      </c>
      <c r="W50" s="8">
        <f>W24-W35</f>
        <v>1775.9690000000001</v>
      </c>
    </row>
    <row r="51" spans="2:32"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3" t="s">
        <v>48</v>
      </c>
      <c r="O51" s="3"/>
      <c r="P51" s="8">
        <f t="shared" ref="P51:R51" si="37">SUM(P14+P24)</f>
        <v>0</v>
      </c>
      <c r="Q51" s="8">
        <f t="shared" si="37"/>
        <v>0</v>
      </c>
      <c r="R51" s="61">
        <f t="shared" si="37"/>
        <v>3542.8389999999999</v>
      </c>
      <c r="S51" s="61">
        <f>SUM(S14+S24)</f>
        <v>5707.7640000000001</v>
      </c>
      <c r="T51" s="61">
        <f>SUM(T14+T24)</f>
        <v>7070.1170000000002</v>
      </c>
      <c r="U51" s="61">
        <f>SUM(U14+U24)</f>
        <v>6230.6149999999998</v>
      </c>
      <c r="V51" s="61">
        <f>SUM(V14+V24)</f>
        <v>6195.0289999999995</v>
      </c>
      <c r="W51" s="61">
        <f>SUM(W14+W24)</f>
        <v>6815.299</v>
      </c>
    </row>
    <row r="52" spans="2:32">
      <c r="B52" s="11" t="s">
        <v>74</v>
      </c>
      <c r="C52" s="21" t="s">
        <v>2</v>
      </c>
      <c r="D52" s="21" t="s">
        <v>3</v>
      </c>
      <c r="E52" s="21" t="s">
        <v>4</v>
      </c>
      <c r="F52" s="21" t="s">
        <v>5</v>
      </c>
      <c r="G52" s="21" t="s">
        <v>6</v>
      </c>
      <c r="H52" s="21" t="s">
        <v>103</v>
      </c>
      <c r="I52" s="21" t="s">
        <v>105</v>
      </c>
      <c r="J52" s="2" t="s">
        <v>112</v>
      </c>
      <c r="K52" s="2" t="s">
        <v>115</v>
      </c>
      <c r="L52" s="2" t="s">
        <v>128</v>
      </c>
      <c r="N52" s="3" t="s">
        <v>49</v>
      </c>
      <c r="O52" s="3"/>
      <c r="P52" s="8">
        <f>SUM(P35+P6+P45+P46+P47+P49)</f>
        <v>0</v>
      </c>
      <c r="Q52" s="8">
        <f>SUM(Q35+Q6+Q45+Q46+Q47+Q49)</f>
        <v>0</v>
      </c>
      <c r="R52" s="61">
        <f t="shared" ref="R52:W52" si="38">R35+R44+R6</f>
        <v>3542.8389999999999</v>
      </c>
      <c r="S52" s="61">
        <f t="shared" si="38"/>
        <v>5707.7639999999992</v>
      </c>
      <c r="T52" s="61">
        <f t="shared" si="38"/>
        <v>7070.1170000000002</v>
      </c>
      <c r="U52" s="61">
        <f t="shared" si="38"/>
        <v>6230.6149999999998</v>
      </c>
      <c r="V52" s="8">
        <f t="shared" si="38"/>
        <v>6195.0290000000005</v>
      </c>
      <c r="W52" s="8">
        <f t="shared" si="38"/>
        <v>6815.3009999999995</v>
      </c>
    </row>
    <row r="53" spans="2:32">
      <c r="B53" s="22" t="s">
        <v>78</v>
      </c>
      <c r="C53" s="35">
        <v>96501958</v>
      </c>
      <c r="D53" s="35">
        <v>96501958</v>
      </c>
      <c r="E53" s="35">
        <v>220987407</v>
      </c>
      <c r="F53" s="35">
        <v>261030371</v>
      </c>
      <c r="G53" s="54">
        <v>96989200</v>
      </c>
      <c r="H53" s="54">
        <v>96989200</v>
      </c>
      <c r="I53" s="54">
        <v>96989200</v>
      </c>
      <c r="J53" s="54">
        <v>96989200</v>
      </c>
      <c r="K53" s="55">
        <v>96989200</v>
      </c>
      <c r="L53" s="55">
        <v>96989200</v>
      </c>
      <c r="N53" s="3" t="s">
        <v>109</v>
      </c>
      <c r="O53" s="24"/>
      <c r="P53" s="24"/>
      <c r="Q53" s="24"/>
      <c r="R53" s="43">
        <f t="shared" ref="R53:S53" si="39">R52-R51</f>
        <v>0</v>
      </c>
      <c r="S53" s="43">
        <f t="shared" si="39"/>
        <v>0</v>
      </c>
      <c r="T53" s="43">
        <f>T52-T51</f>
        <v>0</v>
      </c>
      <c r="U53" s="43">
        <f>U52-U51</f>
        <v>0</v>
      </c>
      <c r="V53" s="43">
        <f t="shared" ref="V53:W53" si="40">V52-V51</f>
        <v>0</v>
      </c>
      <c r="W53" s="43">
        <f t="shared" si="40"/>
        <v>1.9999999994979589E-3</v>
      </c>
    </row>
    <row r="54" spans="2:32">
      <c r="B54" s="22" t="s">
        <v>79</v>
      </c>
      <c r="C54" s="36">
        <f>P63*C53/1000000</f>
        <v>0</v>
      </c>
      <c r="D54" s="36">
        <f>Q63*D53/1000000</f>
        <v>0</v>
      </c>
      <c r="E54" s="36" t="e">
        <f>#REF!*E53/1000000</f>
        <v>#REF!</v>
      </c>
      <c r="F54" s="36" t="e">
        <f>#REF!*F53/1000000</f>
        <v>#REF!</v>
      </c>
      <c r="G54" s="51">
        <f>R63*G53/1000000</f>
        <v>2036.7732000000001</v>
      </c>
      <c r="H54" s="51">
        <f>S63*H53/1000000</f>
        <v>12220.6392</v>
      </c>
      <c r="I54" s="51">
        <f>T63*I53/1000000</f>
        <v>6497.3065079999988</v>
      </c>
      <c r="J54" s="52">
        <v>15170.97</v>
      </c>
      <c r="K54" s="52">
        <f>K53*V63/1000000</f>
        <v>4489.6300680000004</v>
      </c>
      <c r="L54" s="52">
        <f>L53*W63/1000000</f>
        <v>4191.8732239999999</v>
      </c>
    </row>
    <row r="55" spans="2:32">
      <c r="B55" s="22" t="s">
        <v>80</v>
      </c>
      <c r="C55" s="37" t="e">
        <f>#REF!</f>
        <v>#REF!</v>
      </c>
      <c r="D55" s="37" t="e">
        <f>#REF!</f>
        <v>#REF!</v>
      </c>
      <c r="E55" s="37" t="e">
        <f>#REF!</f>
        <v>#REF!</v>
      </c>
      <c r="F55" s="37" t="e">
        <f>#REF!</f>
        <v>#REF!</v>
      </c>
      <c r="G55" s="53">
        <f>SUM(R8,R9)</f>
        <v>778.88599999999997</v>
      </c>
      <c r="H55" s="53">
        <f>SUM(S8,S9)</f>
        <v>1356.2050000000002</v>
      </c>
      <c r="I55" s="53">
        <f t="shared" ref="I55:K55" si="41">SUM(T8,T9)</f>
        <v>2211.5009999999997</v>
      </c>
      <c r="J55" s="53">
        <f t="shared" si="41"/>
        <v>3090.5790000000002</v>
      </c>
      <c r="K55" s="53">
        <f t="shared" si="41"/>
        <v>3128.0129999999999</v>
      </c>
      <c r="L55" s="53">
        <f>SUM(W8,W9)</f>
        <v>3013.0050000000001</v>
      </c>
    </row>
    <row r="56" spans="2:32">
      <c r="B56" s="22" t="s">
        <v>81</v>
      </c>
      <c r="C56" s="29">
        <f>P29</f>
        <v>0</v>
      </c>
      <c r="D56" s="29">
        <f>Q29</f>
        <v>0</v>
      </c>
      <c r="E56" s="29" t="e">
        <f>#REF!</f>
        <v>#REF!</v>
      </c>
      <c r="F56" s="29" t="e">
        <f>#REF!</f>
        <v>#REF!</v>
      </c>
      <c r="G56" s="29">
        <f>R29</f>
        <v>3.39</v>
      </c>
      <c r="H56" s="29">
        <f t="shared" ref="H56:K57" si="42">S29</f>
        <v>471.85700000000003</v>
      </c>
      <c r="I56" s="29">
        <f t="shared" si="42"/>
        <v>1.55</v>
      </c>
      <c r="J56" s="29">
        <f t="shared" si="42"/>
        <v>0.54200000000000004</v>
      </c>
      <c r="K56" s="29">
        <f>V29</f>
        <v>0.79700000000000004</v>
      </c>
      <c r="L56" s="29">
        <f>W29</f>
        <v>0.59099999999999997</v>
      </c>
    </row>
    <row r="57" spans="2:32">
      <c r="B57" s="22" t="s">
        <v>82</v>
      </c>
      <c r="C57" s="29">
        <f>P30</f>
        <v>0</v>
      </c>
      <c r="D57" s="29">
        <f>Q30</f>
        <v>0</v>
      </c>
      <c r="E57" s="29" t="e">
        <f>#REF!</f>
        <v>#REF!</v>
      </c>
      <c r="F57" s="29" t="e">
        <f>#REF!</f>
        <v>#REF!</v>
      </c>
      <c r="G57" s="29">
        <f>R30</f>
        <v>58.963999999999999</v>
      </c>
      <c r="H57" s="29">
        <f t="shared" si="42"/>
        <v>128.184</v>
      </c>
      <c r="I57" s="29">
        <f t="shared" si="42"/>
        <v>162.24299999999999</v>
      </c>
      <c r="J57" s="29">
        <f t="shared" si="42"/>
        <v>36.540999999999997</v>
      </c>
      <c r="K57" s="29">
        <f t="shared" si="42"/>
        <v>161.56399999999999</v>
      </c>
      <c r="L57" s="29">
        <f>W30</f>
        <v>137.108</v>
      </c>
    </row>
    <row r="58" spans="2:32">
      <c r="B58" s="3" t="s">
        <v>83</v>
      </c>
      <c r="C58" s="14" t="e">
        <f t="shared" ref="C58:L58" si="43">C54+C55-C56-C57</f>
        <v>#REF!</v>
      </c>
      <c r="D58" s="14" t="e">
        <f t="shared" si="43"/>
        <v>#REF!</v>
      </c>
      <c r="E58" s="14" t="e">
        <f t="shared" si="43"/>
        <v>#REF!</v>
      </c>
      <c r="F58" s="14" t="e">
        <f t="shared" si="43"/>
        <v>#REF!</v>
      </c>
      <c r="G58" s="14">
        <f>G54+G55-G56-G57</f>
        <v>2753.3052000000002</v>
      </c>
      <c r="H58" s="14">
        <f>H54+H55-H56-H57</f>
        <v>12976.8032</v>
      </c>
      <c r="I58" s="14">
        <f t="shared" si="43"/>
        <v>8545.0145079999984</v>
      </c>
      <c r="J58" s="14">
        <f t="shared" si="43"/>
        <v>18224.465999999997</v>
      </c>
      <c r="K58" s="14">
        <f t="shared" si="43"/>
        <v>7455.2820680000004</v>
      </c>
      <c r="L58" s="14">
        <f t="shared" si="43"/>
        <v>7067.1792239999995</v>
      </c>
    </row>
    <row r="61" spans="2:32">
      <c r="N61" s="71" t="s">
        <v>91</v>
      </c>
      <c r="O61" s="72"/>
      <c r="P61" s="72"/>
      <c r="Q61" s="72"/>
      <c r="R61" s="72"/>
      <c r="S61" s="72"/>
      <c r="T61" s="72"/>
      <c r="U61" s="72"/>
      <c r="V61" s="72"/>
      <c r="W61" s="73"/>
    </row>
    <row r="62" spans="2:32">
      <c r="N62" s="12"/>
      <c r="O62" s="12"/>
      <c r="P62" s="21" t="s">
        <v>2</v>
      </c>
      <c r="Q62" s="21" t="s">
        <v>3</v>
      </c>
      <c r="R62" s="21" t="s">
        <v>6</v>
      </c>
      <c r="S62" s="21" t="s">
        <v>103</v>
      </c>
      <c r="T62" s="21" t="s">
        <v>105</v>
      </c>
      <c r="U62" s="2" t="s">
        <v>112</v>
      </c>
      <c r="V62" s="2" t="s">
        <v>115</v>
      </c>
      <c r="W62" s="49" t="s">
        <v>128</v>
      </c>
      <c r="AA62" t="s">
        <v>119</v>
      </c>
    </row>
    <row r="63" spans="2:32">
      <c r="N63" s="12" t="s">
        <v>92</v>
      </c>
      <c r="O63" s="12"/>
      <c r="P63" s="18"/>
      <c r="Q63" s="18"/>
      <c r="R63" s="29">
        <v>21</v>
      </c>
      <c r="S63" s="29">
        <v>126</v>
      </c>
      <c r="T63" s="56">
        <v>66.989999999999995</v>
      </c>
      <c r="U63" s="56">
        <v>64.239999999999995</v>
      </c>
      <c r="V63" s="50">
        <v>46.29</v>
      </c>
      <c r="W63" s="56">
        <v>43.22</v>
      </c>
      <c r="AB63" t="s">
        <v>118</v>
      </c>
      <c r="AC63" t="s">
        <v>117</v>
      </c>
      <c r="AD63" t="s">
        <v>116</v>
      </c>
      <c r="AE63" t="s">
        <v>129</v>
      </c>
      <c r="AF63" t="s">
        <v>130</v>
      </c>
    </row>
    <row r="64" spans="2:32">
      <c r="N64" s="12" t="s">
        <v>93</v>
      </c>
      <c r="O64" s="12"/>
      <c r="P64" s="18">
        <f>C35</f>
        <v>0</v>
      </c>
      <c r="Q64" s="18">
        <f>D35</f>
        <v>1</v>
      </c>
      <c r="R64" s="18">
        <f t="shared" ref="R64:U64" si="44">G35</f>
        <v>2.56</v>
      </c>
      <c r="S64" s="18">
        <f t="shared" si="44"/>
        <v>8.1999999999999993</v>
      </c>
      <c r="T64" s="18">
        <f t="shared" si="44"/>
        <v>4.34</v>
      </c>
      <c r="U64" s="18">
        <f t="shared" si="44"/>
        <v>-7.27</v>
      </c>
      <c r="V64" s="18">
        <f>K35</f>
        <v>0.14000000000000001</v>
      </c>
      <c r="W64" s="64">
        <v>6.66</v>
      </c>
      <c r="X64" s="65" t="s">
        <v>113</v>
      </c>
      <c r="Y64" s="39"/>
      <c r="AA64" s="39"/>
      <c r="AB64" s="39">
        <v>1.29</v>
      </c>
      <c r="AC64" s="39">
        <v>0.89</v>
      </c>
      <c r="AD64" s="39">
        <f>L35</f>
        <v>6.66</v>
      </c>
      <c r="AE64" s="63">
        <v>2.21</v>
      </c>
      <c r="AF64" s="39">
        <v>2.11</v>
      </c>
    </row>
    <row r="65" spans="3:26">
      <c r="N65" s="12" t="s">
        <v>94</v>
      </c>
      <c r="O65" s="12"/>
      <c r="P65" s="9">
        <f>P6*1000000/C53</f>
        <v>0</v>
      </c>
      <c r="Q65" s="9">
        <f>Q6*1000000/D53</f>
        <v>0</v>
      </c>
      <c r="R65" s="9">
        <f t="shared" ref="R65:V65" si="45">R6*1000000/G53</f>
        <v>17.962969072845222</v>
      </c>
      <c r="S65" s="9">
        <f t="shared" si="45"/>
        <v>26.0086174543145</v>
      </c>
      <c r="T65" s="9">
        <f t="shared" si="45"/>
        <v>30.28789803400791</v>
      </c>
      <c r="U65" s="9">
        <f t="shared" si="45"/>
        <v>22.73336618922519</v>
      </c>
      <c r="V65" s="9">
        <f t="shared" si="45"/>
        <v>22.954968182024391</v>
      </c>
      <c r="W65" s="9">
        <f>W6*1000000/L53</f>
        <v>29.967130360906161</v>
      </c>
    </row>
    <row r="66" spans="3:26">
      <c r="N66" s="12" t="s">
        <v>101</v>
      </c>
      <c r="O66" s="22"/>
      <c r="P66" s="29"/>
      <c r="Q66" s="29"/>
      <c r="R66" s="29">
        <v>0</v>
      </c>
      <c r="S66" s="29">
        <v>0</v>
      </c>
      <c r="T66" s="40">
        <v>0</v>
      </c>
      <c r="U66" s="45" t="s">
        <v>104</v>
      </c>
      <c r="V66" s="32">
        <v>0</v>
      </c>
      <c r="W66" s="32">
        <v>0.05</v>
      </c>
    </row>
    <row r="67" spans="3:26">
      <c r="N67" s="12" t="s">
        <v>99</v>
      </c>
      <c r="O67" s="12"/>
      <c r="P67" s="29" t="e">
        <f t="shared" ref="P67:Q67" si="46">P63/P64</f>
        <v>#DIV/0!</v>
      </c>
      <c r="Q67" s="29">
        <f t="shared" si="46"/>
        <v>0</v>
      </c>
      <c r="R67" s="29">
        <f t="shared" ref="R67:T67" si="47">R63/R64</f>
        <v>8.203125</v>
      </c>
      <c r="S67" s="29">
        <f t="shared" si="47"/>
        <v>15.365853658536587</v>
      </c>
      <c r="T67" s="29">
        <f t="shared" si="47"/>
        <v>15.435483870967742</v>
      </c>
      <c r="U67" s="29" t="s">
        <v>126</v>
      </c>
      <c r="V67" s="32">
        <f>V63/V64</f>
        <v>330.64285714285711</v>
      </c>
      <c r="W67" s="32">
        <f>W63/W64</f>
        <v>6.4894894894894888</v>
      </c>
      <c r="X67" t="s">
        <v>114</v>
      </c>
      <c r="Y67" s="39"/>
    </row>
    <row r="68" spans="3:26">
      <c r="N68" s="12" t="s">
        <v>84</v>
      </c>
      <c r="O68" s="12"/>
      <c r="P68" s="23" t="e">
        <f t="shared" ref="P68:S68" si="48">P63/P65</f>
        <v>#DIV/0!</v>
      </c>
      <c r="Q68" s="23" t="e">
        <f t="shared" si="48"/>
        <v>#DIV/0!</v>
      </c>
      <c r="R68" s="23">
        <f t="shared" si="48"/>
        <v>1.1690717673029836</v>
      </c>
      <c r="S68" s="23">
        <f t="shared" si="48"/>
        <v>4.8445481664423573</v>
      </c>
      <c r="T68" s="23">
        <f t="shared" ref="T68" si="49">T63/T65</f>
        <v>2.2117744824940369</v>
      </c>
      <c r="U68" s="23">
        <f>U63/U65</f>
        <v>2.8258023675546773</v>
      </c>
      <c r="V68" s="23">
        <f>W63/V65</f>
        <v>1.8828168114754686</v>
      </c>
      <c r="W68" s="23">
        <f>W63/W65</f>
        <v>1.4422468711379508</v>
      </c>
    </row>
    <row r="69" spans="3:26">
      <c r="N69" s="12" t="s">
        <v>85</v>
      </c>
      <c r="O69" s="12"/>
      <c r="P69" s="29" t="e">
        <f>C58/C13</f>
        <v>#REF!</v>
      </c>
      <c r="Q69" s="29" t="e">
        <f>D58/D13</f>
        <v>#REF!</v>
      </c>
      <c r="R69" s="29">
        <f>G58/G13</f>
        <v>4.4874773654435733</v>
      </c>
      <c r="S69" s="29">
        <f>H58/H13</f>
        <v>10.672643503463302</v>
      </c>
      <c r="T69" s="29">
        <f>I58/I13</f>
        <v>10.965029389308572</v>
      </c>
      <c r="U69" s="29">
        <f>J58/(J13+995+1015)</f>
        <v>10.66950609716473</v>
      </c>
      <c r="V69" s="29">
        <f>K58/(K13+995+1015)</f>
        <v>3.3273819417696719</v>
      </c>
      <c r="W69" s="29">
        <f>L58/L13</f>
        <v>5.3137564861975193</v>
      </c>
    </row>
    <row r="70" spans="3:26" ht="14.45" hidden="1" customHeight="1">
      <c r="C70" s="38">
        <f>P24-P35</f>
        <v>0</v>
      </c>
      <c r="D70" s="38">
        <f>Q24-Q35</f>
        <v>0</v>
      </c>
      <c r="E70" s="38" t="e">
        <f>#REF!-#REF!</f>
        <v>#REF!</v>
      </c>
      <c r="F70" s="38" t="e">
        <f>#REF!-#REF!</f>
        <v>#REF!</v>
      </c>
      <c r="G70" s="38">
        <f>R24-R35</f>
        <v>1047.085</v>
      </c>
      <c r="H70" s="38">
        <f>S24-S35</f>
        <v>1529.6500000000005</v>
      </c>
      <c r="I70" s="38"/>
      <c r="J70" s="38"/>
      <c r="K70" s="38"/>
      <c r="L70" s="38"/>
      <c r="N70" s="12" t="s">
        <v>95</v>
      </c>
      <c r="O70" s="12"/>
      <c r="P70" s="19" t="e">
        <f>C22/P6</f>
        <v>#DIV/0!</v>
      </c>
      <c r="Q70" s="19" t="e">
        <f>D22/Q6</f>
        <v>#DIV/0!</v>
      </c>
      <c r="R70" s="19">
        <f>G22/R6</f>
        <v>0.15466240083020796</v>
      </c>
      <c r="S70" s="19">
        <f>H22/S6</f>
        <v>0.31780714394730714</v>
      </c>
      <c r="T70" s="19">
        <f>I22/T6</f>
        <v>0.12717120342156965</v>
      </c>
      <c r="U70" s="46" t="s">
        <v>104</v>
      </c>
      <c r="V70" s="46" t="s">
        <v>104</v>
      </c>
      <c r="W70" s="46" t="s">
        <v>104</v>
      </c>
    </row>
    <row r="71" spans="3:26">
      <c r="N71" s="12" t="s">
        <v>96</v>
      </c>
      <c r="O71" s="12"/>
      <c r="P71" s="19" t="e">
        <f>(C20+C18)/P10</f>
        <v>#DIV/0!</v>
      </c>
      <c r="Q71" s="19" t="e">
        <f>(D20+D18)/Q10</f>
        <v>#DIV/0!</v>
      </c>
      <c r="R71" s="19">
        <f t="shared" ref="R71:U71" si="50">(G20+G18)/R10</f>
        <v>0.26290247995471722</v>
      </c>
      <c r="S71" s="19">
        <f t="shared" si="50"/>
        <v>0.41618746405980434</v>
      </c>
      <c r="T71" s="19">
        <f t="shared" si="50"/>
        <v>0.21013580564814313</v>
      </c>
      <c r="U71" s="19">
        <f t="shared" si="50"/>
        <v>-0.15844739941176855</v>
      </c>
      <c r="V71" s="19">
        <f>(K20+K18)/V10</f>
        <v>5.1074694130240642E-2</v>
      </c>
      <c r="W71" s="19">
        <f>(L20+L18)/W10</f>
        <v>0.39088239057940255</v>
      </c>
      <c r="Z71" s="39"/>
    </row>
    <row r="72" spans="3:26">
      <c r="N72" s="12" t="s">
        <v>97</v>
      </c>
      <c r="O72" s="12"/>
      <c r="P72" s="18" t="e">
        <f>#REF!/P6</f>
        <v>#REF!</v>
      </c>
      <c r="Q72" s="18" t="e">
        <f>#REF!/Q6</f>
        <v>#REF!</v>
      </c>
      <c r="R72" s="18">
        <f>SUM(R8:R9)/R6</f>
        <v>0.4470667782488259</v>
      </c>
      <c r="S72" s="18">
        <f>SUM(S8:S9)/S6</f>
        <v>0.53763148870886868</v>
      </c>
      <c r="T72" s="18">
        <f t="shared" ref="S72:V72" si="51">SUM(T8:T9)/T6</f>
        <v>0.75282603241626911</v>
      </c>
      <c r="U72" s="18">
        <f t="shared" si="51"/>
        <v>1.4016924192624489</v>
      </c>
      <c r="V72" s="18">
        <f>SUM(V8:V9)/V6</f>
        <v>1.4049746135437553</v>
      </c>
      <c r="W72" s="18">
        <f>SUM(W8:W9)/W6</f>
        <v>1.0366480095565509</v>
      </c>
    </row>
    <row r="73" spans="3:26">
      <c r="N73" s="12" t="s">
        <v>86</v>
      </c>
      <c r="O73" s="12"/>
      <c r="P73" s="18" t="e">
        <f>(#REF!-SUM(P27,P29:P30))/P6</f>
        <v>#REF!</v>
      </c>
      <c r="Q73" s="18" t="e">
        <f>(#REF!-SUM(Q27,Q29:Q30))/Q6</f>
        <v>#REF!</v>
      </c>
      <c r="R73" s="18">
        <f>(SUM(R8:R9) - SUM(R29:R30))/R6</f>
        <v>0.41127668587211441</v>
      </c>
      <c r="S73" s="18">
        <f>(SUM(S8:S9) - SUM(S29:S30))/S6</f>
        <v>0.29976115486084554</v>
      </c>
      <c r="T73" s="18">
        <f t="shared" ref="T73:V73" si="52">(SUM(T8:T9) - SUM(T29:T30))/T6</f>
        <v>0.69706859241169383</v>
      </c>
      <c r="U73" s="18">
        <f t="shared" si="52"/>
        <v>1.3848739007960031</v>
      </c>
      <c r="V73" s="18">
        <f t="shared" si="52"/>
        <v>1.3320487391213736</v>
      </c>
      <c r="W73" s="18">
        <f t="shared" ref="W73" si="53">(SUM(W8:W9) - SUM(W29:W30))/W6</f>
        <v>0.98927158825358996</v>
      </c>
    </row>
    <row r="74" spans="3:26">
      <c r="N74" s="12" t="s">
        <v>102</v>
      </c>
      <c r="O74" s="22"/>
      <c r="P74" s="41" t="e">
        <f>P66/P63</f>
        <v>#DIV/0!</v>
      </c>
      <c r="Q74" s="41" t="e">
        <f t="shared" ref="Q74:S74" si="54">Q66/Q63</f>
        <v>#DIV/0!</v>
      </c>
      <c r="R74" s="41">
        <f t="shared" si="54"/>
        <v>0</v>
      </c>
      <c r="S74" s="41">
        <f t="shared" si="54"/>
        <v>0</v>
      </c>
      <c r="T74" s="41">
        <f>T66/T63</f>
        <v>0</v>
      </c>
      <c r="U74" s="41" t="s">
        <v>104</v>
      </c>
      <c r="V74" s="41">
        <f>V66/W63</f>
        <v>0</v>
      </c>
      <c r="W74" s="41">
        <f>W66/W63</f>
        <v>1.156871818602499E-3</v>
      </c>
    </row>
    <row r="75" spans="3:26">
      <c r="N75" s="12" t="s">
        <v>87</v>
      </c>
      <c r="O75" s="12"/>
      <c r="P75" s="42">
        <f>AVERAGE(O28:P28/C4)*365</f>
        <v>0</v>
      </c>
      <c r="Q75" s="42">
        <f>AVERAGE(P28:Q28/D4)*365</f>
        <v>0</v>
      </c>
      <c r="R75" s="42">
        <f>AVERAGE(R28:R28/G4)*365</f>
        <v>33.1137553131178</v>
      </c>
      <c r="S75" s="42">
        <f>AVERAGE(R28:S28/H4)*365</f>
        <v>16.84463919219003</v>
      </c>
      <c r="T75" s="42">
        <f>AVERAGE(S28:T28/I4)*365</f>
        <v>26.758027366252989</v>
      </c>
      <c r="U75" s="42">
        <f>AVERAGE(T28:U28/J4)*365</f>
        <v>33.346919907824542</v>
      </c>
      <c r="V75" s="42">
        <f>AVERAGE(U28:V28/K4)*365</f>
        <v>36.639088367889876</v>
      </c>
      <c r="W75" s="42">
        <f>AVERAGE(V28:W28/L4)*365</f>
        <v>22.733300859579401</v>
      </c>
    </row>
    <row r="76" spans="3:26">
      <c r="N76" s="22" t="s">
        <v>88</v>
      </c>
      <c r="O76" s="22"/>
      <c r="P76" s="42">
        <f>(AVERAGE(O37:P37)/C7)*365</f>
        <v>412.13666721289638</v>
      </c>
      <c r="Q76" s="42" t="e">
        <f>(AVERAGE(P37:Q37)/D7)*365</f>
        <v>#DIV/0!</v>
      </c>
      <c r="R76" s="42">
        <f>((AVERAGE(R37:R37)/SUM(G8:G10))*365)</f>
        <v>65.980113485567472</v>
      </c>
      <c r="S76" s="42">
        <f>((AVERAGE(R37:S37)/SUM(H8:H10))*365)</f>
        <v>55.217701767686769</v>
      </c>
      <c r="T76" s="42">
        <f t="shared" ref="T76:W76" si="55">((AVERAGE(S37:T37)/SUM(I8:I10))*365)</f>
        <v>68.240953673598412</v>
      </c>
      <c r="U76" s="42">
        <f t="shared" si="55"/>
        <v>76.967969388752209</v>
      </c>
      <c r="V76" s="42">
        <f t="shared" si="55"/>
        <v>33.854220907359981</v>
      </c>
      <c r="W76" s="42">
        <f t="shared" si="55"/>
        <v>27.668629464641917</v>
      </c>
    </row>
    <row r="77" spans="3:26">
      <c r="N77" s="22" t="s">
        <v>89</v>
      </c>
      <c r="O77" s="22"/>
      <c r="P77" s="42">
        <f>(AVERAGE(O25:P25)/C7)*365</f>
        <v>181.17809157563372</v>
      </c>
      <c r="Q77" s="42" t="e">
        <f>(AVERAGE(P25:Q25)/D7)*365</f>
        <v>#DIV/0!</v>
      </c>
      <c r="R77" s="42">
        <f>(AVERAGE(R25:R25)/SUM(G8:G10)*365)</f>
        <v>155.22874932322685</v>
      </c>
      <c r="S77" s="42">
        <f>(AVERAGE(R25:S25)/SUM(H8:H10)*365)</f>
        <v>121.12380796350986</v>
      </c>
      <c r="T77" s="42">
        <f t="shared" ref="T77:W77" si="56">(AVERAGE(S25:T25)/SUM(I8:I10)*365)</f>
        <v>145.01278874456145</v>
      </c>
      <c r="U77" s="42">
        <f t="shared" si="56"/>
        <v>241.5123988664883</v>
      </c>
      <c r="V77" s="42">
        <f t="shared" si="56"/>
        <v>179.53298172234702</v>
      </c>
      <c r="W77" s="42">
        <f t="shared" si="56"/>
        <v>125.41433769504297</v>
      </c>
    </row>
    <row r="78" spans="3:26">
      <c r="N78" s="22" t="s">
        <v>90</v>
      </c>
      <c r="O78" s="22"/>
      <c r="P78" s="42">
        <f>P75+P77-P76</f>
        <v>-230.95857563726267</v>
      </c>
      <c r="Q78" s="42" t="e">
        <f>Q75+Q77-Q76</f>
        <v>#DIV/0!</v>
      </c>
      <c r="R78" s="42">
        <f>R75+R77-R76</f>
        <v>122.36239115077717</v>
      </c>
      <c r="S78" s="42">
        <f t="shared" ref="S78" si="57">S75+S77-S76</f>
        <v>82.750745388013115</v>
      </c>
      <c r="T78" s="42">
        <f t="shared" ref="T78:U78" si="58">T75+T77-T76</f>
        <v>103.52986243721604</v>
      </c>
      <c r="U78" s="42">
        <f t="shared" si="58"/>
        <v>197.89134938556063</v>
      </c>
      <c r="V78" s="42">
        <f t="shared" ref="V78:W78" si="59">V75+V77-V76</f>
        <v>182.31784918287693</v>
      </c>
      <c r="W78" s="42">
        <f t="shared" si="59"/>
        <v>120.47900908998045</v>
      </c>
    </row>
    <row r="79" spans="3:26">
      <c r="N79" s="12" t="s">
        <v>98</v>
      </c>
      <c r="O79" s="12"/>
      <c r="P79" s="20">
        <f>C4/(AVERAGE(O15:P15))</f>
        <v>1.0996643167024927</v>
      </c>
      <c r="Q79" s="20" t="e">
        <f>D4/(AVERAGE(P15:Q15))</f>
        <v>#DIV/0!</v>
      </c>
      <c r="R79" s="20">
        <f>G4/(AVERAGE(R15:R15))</f>
        <v>4.8550095113469762</v>
      </c>
      <c r="S79" s="20">
        <f>H4/(AVERAGE(R15:S15))</f>
        <v>8.4728497432774912</v>
      </c>
      <c r="T79" s="20">
        <f>I4/(AVERAGE(S15:T15))</f>
        <v>8.1397960320359974</v>
      </c>
      <c r="U79" s="20">
        <f>J4/(AVERAGE(T15:U15))</f>
        <v>4.2968181672386692</v>
      </c>
      <c r="V79" s="20">
        <f>K4/(AVERAGE(U15:V15))</f>
        <v>5.7645443808580046</v>
      </c>
      <c r="W79" s="20">
        <f>L4/(AVERAGE(V15:W15))</f>
        <v>8.4123880872793233</v>
      </c>
    </row>
    <row r="92" spans="16:16"/>
  </sheetData>
  <mergeCells count="3">
    <mergeCell ref="B2:L2"/>
    <mergeCell ref="N61:W61"/>
    <mergeCell ref="N2:W2"/>
  </mergeCells>
  <pageMargins left="0.7" right="0.7" top="0.75" bottom="0.75" header="0.3" footer="0.3"/>
  <pageSetup orientation="portrait" r:id="rId1"/>
  <ignoredErrors>
    <ignoredError sqref="F13 V75:V77 S79:V79 S75:U75 T73:V73 U76:U77 T76:T77 R73:S73 R76:R77 S76:S7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admin</cp:lastModifiedBy>
  <dcterms:created xsi:type="dcterms:W3CDTF">2022-03-25T06:39:15Z</dcterms:created>
  <dcterms:modified xsi:type="dcterms:W3CDTF">2026-05-04T07:32:10Z</dcterms:modified>
</cp:coreProperties>
</file>