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ELL\Desktop\Q4-FY26\patel engineering\"/>
    </mc:Choice>
  </mc:AlternateContent>
  <xr:revisionPtr revIDLastSave="0" documentId="13_ncr:1_{D9DEAB8E-EBBC-428E-A8CB-F732DD2E5332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Summary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N8" i="1"/>
  <c r="O8" i="1"/>
  <c r="P8" i="1"/>
  <c r="P88" i="1"/>
  <c r="M8" i="1"/>
  <c r="P7" i="1"/>
  <c r="P90" i="1"/>
  <c r="P84" i="1"/>
  <c r="P85" i="1" l="1"/>
  <c r="H55" i="1"/>
  <c r="H64" i="1"/>
  <c r="H63" i="1"/>
  <c r="H62" i="1"/>
  <c r="H61" i="1"/>
  <c r="P79" i="1"/>
  <c r="P78" i="1"/>
  <c r="P74" i="1"/>
  <c r="P73" i="1"/>
  <c r="P72" i="1"/>
  <c r="P70" i="1"/>
  <c r="P56" i="1"/>
  <c r="P31" i="1"/>
  <c r="P14" i="1"/>
  <c r="P86" i="1" s="1"/>
  <c r="P12" i="1"/>
  <c r="P11" i="1"/>
  <c r="H56" i="1" l="1"/>
  <c r="H54" i="1"/>
  <c r="H51" i="1"/>
  <c r="H50" i="1"/>
  <c r="H43" i="1"/>
  <c r="H42" i="1"/>
  <c r="H38" i="1"/>
  <c r="H37" i="1"/>
  <c r="H32" i="1"/>
  <c r="H31" i="1"/>
  <c r="H30" i="1"/>
  <c r="H29" i="1"/>
  <c r="H25" i="1"/>
  <c r="H24" i="1"/>
  <c r="H23" i="1"/>
  <c r="H22" i="1"/>
  <c r="H17" i="1"/>
  <c r="H16" i="1"/>
  <c r="H15" i="1"/>
  <c r="H14" i="1"/>
  <c r="G55" i="1"/>
  <c r="F55" i="1" l="1"/>
  <c r="L11" i="1"/>
  <c r="M11" i="1"/>
  <c r="N11" i="1"/>
  <c r="O11" i="1"/>
  <c r="K11" i="1"/>
  <c r="L10" i="1"/>
  <c r="M10" i="1"/>
  <c r="N10" i="1"/>
  <c r="O10" i="1"/>
  <c r="P10" i="1"/>
  <c r="K10" i="1"/>
  <c r="P93" i="1"/>
  <c r="P92" i="1"/>
  <c r="P91" i="1"/>
  <c r="H7" i="1"/>
  <c r="H6" i="1"/>
  <c r="K8" i="1"/>
  <c r="K7" i="1"/>
  <c r="D23" i="1"/>
  <c r="D14" i="1"/>
  <c r="D15" i="1" s="1"/>
  <c r="D6" i="1"/>
  <c r="C55" i="1"/>
  <c r="C54" i="1"/>
  <c r="C50" i="1"/>
  <c r="C63" i="1"/>
  <c r="K44" i="1"/>
  <c r="C14" i="1"/>
  <c r="C22" i="1" s="1"/>
  <c r="K12" i="1" l="1"/>
  <c r="C62" i="1" s="1"/>
  <c r="C56" i="1"/>
  <c r="D16" i="1"/>
  <c r="D22" i="1"/>
  <c r="D24" i="1" s="1"/>
  <c r="C15" i="1"/>
  <c r="P94" i="1"/>
  <c r="P44" i="1"/>
  <c r="O44" i="1"/>
  <c r="N44" i="1"/>
  <c r="L44" i="1"/>
  <c r="K78" i="1"/>
  <c r="F63" i="1"/>
  <c r="E63" i="1"/>
  <c r="H59" i="1"/>
  <c r="G59" i="1"/>
  <c r="F59" i="1"/>
  <c r="E59" i="1"/>
  <c r="D59" i="1"/>
  <c r="C59" i="1"/>
  <c r="C61" i="1" s="1"/>
  <c r="K68" i="1"/>
  <c r="K70" i="1" s="1"/>
  <c r="L68" i="1"/>
  <c r="P68" i="1"/>
  <c r="O68" i="1"/>
  <c r="N68" i="1"/>
  <c r="M68" i="1"/>
  <c r="M44" i="1"/>
  <c r="N56" i="1"/>
  <c r="M56" i="1"/>
  <c r="L56" i="1"/>
  <c r="K56" i="1"/>
  <c r="O56" i="1"/>
  <c r="C23" i="1"/>
  <c r="C24" i="1" s="1"/>
  <c r="E23" i="1"/>
  <c r="F23" i="1"/>
  <c r="G23" i="1"/>
  <c r="C64" i="1" l="1"/>
  <c r="K14" i="1"/>
  <c r="K73" i="1"/>
  <c r="K74" i="1" s="1"/>
  <c r="K79" i="1"/>
  <c r="C25" i="1"/>
  <c r="C29" i="1" s="1"/>
  <c r="C30" i="1" s="1"/>
  <c r="P82" i="1"/>
  <c r="P15" i="1"/>
  <c r="P87" i="1"/>
  <c r="O93" i="1"/>
  <c r="O92" i="1"/>
  <c r="O91" i="1"/>
  <c r="G63" i="1"/>
  <c r="G61" i="1"/>
  <c r="O31" i="1"/>
  <c r="P83" i="1" l="1"/>
  <c r="O94" i="1"/>
  <c r="G7" i="1"/>
  <c r="G6" i="1"/>
  <c r="G14" i="1"/>
  <c r="O78" i="1"/>
  <c r="O12" i="1"/>
  <c r="G54" i="1"/>
  <c r="G50" i="1"/>
  <c r="H36" i="1" l="1"/>
  <c r="G22" i="1"/>
  <c r="G24" i="1" s="1"/>
  <c r="O79" i="1"/>
  <c r="O82" i="1" s="1"/>
  <c r="P81" i="1"/>
  <c r="G43" i="1"/>
  <c r="O87" i="1"/>
  <c r="O88" i="1"/>
  <c r="G62" i="1"/>
  <c r="G64" i="1" s="1"/>
  <c r="O83" i="1" s="1"/>
  <c r="G42" i="1"/>
  <c r="G56" i="1"/>
  <c r="G15" i="1"/>
  <c r="O14" i="1"/>
  <c r="O72" i="1"/>
  <c r="O73" i="1"/>
  <c r="O7" i="1"/>
  <c r="O86" i="1" l="1"/>
  <c r="O15" i="1"/>
  <c r="O74" i="1"/>
  <c r="O70" i="1"/>
  <c r="P95" i="1" s="1"/>
  <c r="O90" i="1"/>
  <c r="F14" i="1"/>
  <c r="F22" i="1" s="1"/>
  <c r="E14" i="1"/>
  <c r="L12" i="1"/>
  <c r="D63" i="1"/>
  <c r="N12" i="1"/>
  <c r="F62" i="1" s="1"/>
  <c r="L31" i="1"/>
  <c r="M31" i="1"/>
  <c r="N31" i="1"/>
  <c r="K31" i="1"/>
  <c r="K72" i="1" s="1"/>
  <c r="N73" i="1"/>
  <c r="F43" i="1"/>
  <c r="F42" i="1"/>
  <c r="M93" i="1"/>
  <c r="N93" i="1"/>
  <c r="L93" i="1"/>
  <c r="K93" i="1"/>
  <c r="N92" i="1"/>
  <c r="M92" i="1"/>
  <c r="L92" i="1"/>
  <c r="K92" i="1"/>
  <c r="N7" i="1"/>
  <c r="M91" i="1"/>
  <c r="N91" i="1"/>
  <c r="L91" i="1"/>
  <c r="K91" i="1"/>
  <c r="N78" i="1"/>
  <c r="O81" i="1" s="1"/>
  <c r="F54" i="1"/>
  <c r="F56" i="1" s="1"/>
  <c r="E54" i="1"/>
  <c r="E56" i="1" s="1"/>
  <c r="D54" i="1"/>
  <c r="D56" i="1" s="1"/>
  <c r="F50" i="1"/>
  <c r="C51" i="1"/>
  <c r="D46" i="1" s="1"/>
  <c r="D50" i="1"/>
  <c r="E50" i="1"/>
  <c r="M7" i="1"/>
  <c r="F61" i="1"/>
  <c r="L7" i="1"/>
  <c r="D61" i="1"/>
  <c r="E61" i="1"/>
  <c r="E6" i="1"/>
  <c r="F7" i="1"/>
  <c r="F6" i="1"/>
  <c r="K81" i="1"/>
  <c r="L78" i="1"/>
  <c r="L81" i="1" s="1"/>
  <c r="M78" i="1"/>
  <c r="M81" i="1" s="1"/>
  <c r="D42" i="1"/>
  <c r="E42" i="1"/>
  <c r="C36" i="1" l="1"/>
  <c r="K90" i="1"/>
  <c r="L73" i="1"/>
  <c r="L74" i="1" s="1"/>
  <c r="E22" i="1"/>
  <c r="E25" i="1" s="1"/>
  <c r="E29" i="1" s="1"/>
  <c r="L70" i="1"/>
  <c r="F25" i="1"/>
  <c r="G16" i="1"/>
  <c r="F15" i="1"/>
  <c r="L94" i="1"/>
  <c r="G17" i="1"/>
  <c r="L72" i="1"/>
  <c r="L15" i="1" s="1"/>
  <c r="L90" i="1"/>
  <c r="D25" i="1"/>
  <c r="D29" i="1" s="1"/>
  <c r="E15" i="1"/>
  <c r="E16" i="1"/>
  <c r="N81" i="1"/>
  <c r="N87" i="1"/>
  <c r="G25" i="1"/>
  <c r="K84" i="1"/>
  <c r="N70" i="1"/>
  <c r="O95" i="1" s="1"/>
  <c r="N94" i="1"/>
  <c r="L14" i="1"/>
  <c r="F64" i="1"/>
  <c r="N83" i="1" s="1"/>
  <c r="K87" i="1"/>
  <c r="N88" i="1"/>
  <c r="M94" i="1"/>
  <c r="K94" i="1"/>
  <c r="M72" i="1"/>
  <c r="M14" i="1"/>
  <c r="F16" i="1"/>
  <c r="N74" i="1"/>
  <c r="O84" i="1" s="1"/>
  <c r="N72" i="1"/>
  <c r="N15" i="1" s="1"/>
  <c r="K88" i="1"/>
  <c r="D51" i="1"/>
  <c r="E46" i="1" s="1"/>
  <c r="E51" i="1" s="1"/>
  <c r="F46" i="1" s="1"/>
  <c r="F51" i="1" s="1"/>
  <c r="G46" i="1" s="1"/>
  <c r="N14" i="1"/>
  <c r="L88" i="1"/>
  <c r="K15" i="1"/>
  <c r="K82" i="1"/>
  <c r="L79" i="1"/>
  <c r="L82" i="1" s="1"/>
  <c r="M79" i="1"/>
  <c r="M82" i="1" s="1"/>
  <c r="F17" i="1"/>
  <c r="D62" i="1"/>
  <c r="D64" i="1" s="1"/>
  <c r="L87" i="1"/>
  <c r="N79" i="1"/>
  <c r="N82" i="1" s="1"/>
  <c r="E36" i="1" l="1"/>
  <c r="E31" i="1"/>
  <c r="D36" i="1"/>
  <c r="E37" i="1" s="1"/>
  <c r="D31" i="1"/>
  <c r="D30" i="1"/>
  <c r="E24" i="1"/>
  <c r="M86" i="1"/>
  <c r="M90" i="1"/>
  <c r="G29" i="1"/>
  <c r="F29" i="1"/>
  <c r="N86" i="1"/>
  <c r="F24" i="1"/>
  <c r="N90" i="1"/>
  <c r="L86" i="1"/>
  <c r="G51" i="1"/>
  <c r="H46" i="1" s="1"/>
  <c r="L95" i="1"/>
  <c r="K95" i="1"/>
  <c r="L84" i="1"/>
  <c r="K86" i="1"/>
  <c r="M85" i="1"/>
  <c r="E30" i="1"/>
  <c r="L85" i="1"/>
  <c r="G31" i="1" l="1"/>
  <c r="G30" i="1"/>
  <c r="G36" i="1"/>
  <c r="F36" i="1"/>
  <c r="F38" i="1" s="1"/>
  <c r="F31" i="1"/>
  <c r="O85" i="1"/>
  <c r="N85" i="1"/>
  <c r="G32" i="1"/>
  <c r="F30" i="1"/>
  <c r="G38" i="1"/>
  <c r="D37" i="1"/>
  <c r="K85" i="1"/>
  <c r="F32" i="1"/>
  <c r="G37" i="1" l="1"/>
  <c r="F37" i="1"/>
  <c r="M12" i="1"/>
  <c r="M88" i="1" s="1"/>
  <c r="E62" i="1" l="1"/>
  <c r="E64" i="1" s="1"/>
  <c r="M15" i="1"/>
  <c r="M73" i="1"/>
  <c r="M74" i="1" s="1"/>
  <c r="M70" i="1"/>
  <c r="M87" i="1"/>
  <c r="M95" i="1" l="1"/>
  <c r="N95" i="1"/>
  <c r="M84" i="1"/>
  <c r="N84" i="1"/>
</calcChain>
</file>

<file path=xl/sharedStrings.xml><?xml version="1.0" encoding="utf-8"?>
<sst xmlns="http://schemas.openxmlformats.org/spreadsheetml/2006/main" count="183" uniqueCount="141">
  <si>
    <t>March Year Ended (INR Mn)</t>
  </si>
  <si>
    <t>FY21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</si>
  <si>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</si>
  <si>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</si>
  <si>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</si>
  <si>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</si>
  <si>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</si>
  <si>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</si>
  <si>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</si>
  <si>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</si>
  <si>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</si>
  <si>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</si>
  <si>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</si>
  <si>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a) Property Plant &amp; Equipment </t>
  </si>
  <si>
    <t xml:space="preserve">i)   Investments </t>
  </si>
  <si>
    <t>Total Non Current Assets</t>
  </si>
  <si>
    <t>Current Assets:</t>
  </si>
  <si>
    <t>Non-Current Assets:</t>
  </si>
  <si>
    <t xml:space="preserve">a) Inventories </t>
  </si>
  <si>
    <t>b) Financial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</si>
  <si>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</si>
  <si>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</si>
  <si>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</si>
  <si>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</si>
  <si>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Total Non-current Liabilities </t>
  </si>
  <si>
    <t>Current Liabilities:</t>
  </si>
  <si>
    <t>Total Outstanding Dues of Micro &amp; Small Enterprises</t>
  </si>
  <si>
    <t>Total Outstanding Dues of Creditors Other Than
 Micro &amp; Small Enterprises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</si>
  <si>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</si>
  <si>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</si>
  <si>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</si>
  <si>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</si>
  <si>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</si>
  <si>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</si>
  <si>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</si>
  <si>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 xml:space="preserve">Revenue from Operations </t>
  </si>
  <si>
    <t>Growth (%)</t>
  </si>
  <si>
    <t xml:space="preserve">CAGR % - 3 Years </t>
  </si>
  <si>
    <t>Cost of Materials Consumed</t>
  </si>
  <si>
    <t>Changes in Inventories of FG, SIT and WIP</t>
  </si>
  <si>
    <t>Employee Benefit Expense</t>
  </si>
  <si>
    <t>Other Expenses</t>
  </si>
  <si>
    <t>R&amp;D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</si>
  <si>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</si>
  <si>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</si>
  <si>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</si>
  <si>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</si>
  <si>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</si>
  <si>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</si>
  <si>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</si>
  <si>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 Expense</t>
  </si>
  <si>
    <t>Effective tax rate (%)</t>
  </si>
  <si>
    <t>Net Profit for the Year</t>
  </si>
  <si>
    <t>PAT margin (%)</t>
  </si>
  <si>
    <t>Total Comprehensive Income for the Year</t>
  </si>
  <si>
    <t>Basic EPS</t>
  </si>
  <si>
    <t xml:space="preserve">Diluted EPS </t>
  </si>
  <si>
    <t>Earning Per Share: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</si>
  <si>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</si>
  <si>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</si>
  <si>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</si>
  <si>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</si>
  <si>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</si>
  <si>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</si>
  <si>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</si>
  <si>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</si>
  <si>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</si>
  <si>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</si>
  <si>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</si>
  <si>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</si>
  <si>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</si>
  <si>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</si>
  <si>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</si>
  <si>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</si>
  <si>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</si>
  <si>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</si>
  <si>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</si>
  <si>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</si>
  <si>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</si>
  <si>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</si>
  <si>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</si>
  <si>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</si>
  <si>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</si>
  <si>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</si>
  <si>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</si>
  <si>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</si>
  <si>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 xml:space="preserve">Market Cap </t>
  </si>
  <si>
    <t xml:space="preserve">Face Value per share </t>
  </si>
  <si>
    <t xml:space="preserve">No. of Shares </t>
  </si>
  <si>
    <t>BVPS (₹)</t>
  </si>
  <si>
    <t>DPS (₹)</t>
  </si>
  <si>
    <t>CMP (As per Stock Price at BSE) (₹)</t>
  </si>
  <si>
    <t>Asset Tunover</t>
  </si>
  <si>
    <t>Ratios</t>
  </si>
  <si>
    <t xml:space="preserve">Construction Expense </t>
  </si>
  <si>
    <t>d) Other Current Assets</t>
  </si>
  <si>
    <t>FY24</t>
  </si>
  <si>
    <t>FY 24</t>
  </si>
  <si>
    <t>Net Change in Cash and Cash Equivalent</t>
  </si>
  <si>
    <t>EPS (₹)</t>
  </si>
  <si>
    <t xml:space="preserve">Other Comprehensive Income </t>
  </si>
  <si>
    <t>FY25</t>
  </si>
  <si>
    <t>NA</t>
  </si>
  <si>
    <t xml:space="preserve">Exceptional Item </t>
  </si>
  <si>
    <t>Patel Engineering LTD.</t>
  </si>
  <si>
    <t xml:space="preserve">Share in profit / (loss) in associates (net) </t>
  </si>
  <si>
    <t>Profit from discontinucd operations after tax and non controlling interest</t>
  </si>
  <si>
    <t>PAT before share in associates</t>
  </si>
  <si>
    <t>b) Capital Work in Progress</t>
  </si>
  <si>
    <t>c) Other Intangible Assets</t>
  </si>
  <si>
    <t xml:space="preserve">d) Right to use </t>
  </si>
  <si>
    <t>e) Financial Assets:</t>
  </si>
  <si>
    <t>ii) Trade Receivables</t>
  </si>
  <si>
    <t>iii) Loans</t>
  </si>
  <si>
    <t>iv) Other Financial Assets</t>
  </si>
  <si>
    <t>h) Other Non Current Assets</t>
  </si>
  <si>
    <t xml:space="preserve">g) Current tax assets (net) </t>
  </si>
  <si>
    <t xml:space="preserve">f) Deferred tax assets (net) </t>
  </si>
  <si>
    <t xml:space="preserve">i) Current Investments </t>
  </si>
  <si>
    <t xml:space="preserve">iii) Cash &amp; Cash Equivalents </t>
  </si>
  <si>
    <t xml:space="preserve">iv) Other Bank Balances </t>
  </si>
  <si>
    <t>v) Loans</t>
  </si>
  <si>
    <t>vi)Other Financial Assets</t>
  </si>
  <si>
    <t xml:space="preserve">ii) Lease Liability  </t>
  </si>
  <si>
    <t>iii) Trade payables</t>
  </si>
  <si>
    <t xml:space="preserve">a) Total Outstanding dues of micro enterprises and Small enterprises </t>
  </si>
  <si>
    <t xml:space="preserve"> b) Total Outstanding dues of creditors other than micro enterprises and Small enterprises </t>
  </si>
  <si>
    <t xml:space="preserve">iv) Other financial liabilities </t>
  </si>
  <si>
    <t xml:space="preserve">b) Long-term provisions </t>
  </si>
  <si>
    <t xml:space="preserve">c) Other non current liabilities </t>
  </si>
  <si>
    <t xml:space="preserve">d) Deferred revenue </t>
  </si>
  <si>
    <t>ii) Lease Liabilities</t>
  </si>
  <si>
    <t>iii) Trade Payables</t>
  </si>
  <si>
    <t>iiv) Other Financial Liabilities</t>
  </si>
  <si>
    <t xml:space="preserve">b) Short Term Provisions </t>
  </si>
  <si>
    <t>c) Other Current Liabilities</t>
  </si>
  <si>
    <t>d) Goodwill on consolidation</t>
  </si>
  <si>
    <t xml:space="preserve">c) Current Tax Assets </t>
  </si>
  <si>
    <t xml:space="preserve">e) Assets classified as held for sale </t>
  </si>
  <si>
    <t>d) Liabilities for assets classified as held for sale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</si>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</sst>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#,##0.0_ ;\-#,##0.0\ "/>
    <numFmt numFmtId="166" formatCode="0.0%"/>
    <numFmt numFmtId="167" formatCode="_ * #,##0.0_ ;_ * \-#,##0.0_ ;_ * &quot;-&quot;??_ ;_ @_ "/>
  </numFmts>
  <fonts count="1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theme="1"/>
      <name val="Calibri"/>
      <family val="2"/>
    </font>
    <font>
      <b/>
      <i/>
      <sz val="11"/>
      <name val="Calibri"/>
      <family val="2"/>
    </font>
    <font>
      <i/>
      <sz val="11"/>
      <color rgb="FF0070C0"/>
      <name val="Calibri"/>
      <family val="2"/>
    </font>
    <font>
      <b/>
      <i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2" borderId="1" xfId="0" applyFont="1" applyFill="1" applyBorder="1"/>
    <xf numFmtId="43" fontId="0" fillId="2" borderId="1" xfId="1" applyFont="1" applyFill="1" applyBorder="1"/>
    <xf numFmtId="0" fontId="2" fillId="3" borderId="1" xfId="0" applyFont="1" applyFill="1" applyBorder="1"/>
    <xf numFmtId="0" fontId="0" fillId="4" borderId="1" xfId="0" applyFill="1" applyBorder="1"/>
    <xf numFmtId="0" fontId="4" fillId="5" borderId="1" xfId="0" applyFont="1" applyFill="1" applyBorder="1"/>
    <xf numFmtId="0" fontId="6" fillId="5" borderId="1" xfId="0" applyFont="1" applyFill="1" applyBorder="1"/>
    <xf numFmtId="167" fontId="2" fillId="2" borderId="1" xfId="1" applyNumberFormat="1" applyFont="1" applyFill="1" applyBorder="1"/>
    <xf numFmtId="167" fontId="0" fillId="0" borderId="1" xfId="1" applyNumberFormat="1" applyFont="1" applyFill="1" applyBorder="1"/>
    <xf numFmtId="10" fontId="5" fillId="5" borderId="1" xfId="0" applyNumberFormat="1" applyFont="1" applyFill="1" applyBorder="1" applyAlignment="1">
      <alignment horizontal="right"/>
    </xf>
    <xf numFmtId="10" fontId="5" fillId="5" borderId="1" xfId="0" applyNumberFormat="1" applyFont="1" applyFill="1" applyBorder="1"/>
    <xf numFmtId="0" fontId="0" fillId="4" borderId="1" xfId="0" applyFill="1" applyBorder="1" applyAlignment="1">
      <alignment horizontal="left"/>
    </xf>
    <xf numFmtId="167" fontId="0" fillId="0" borderId="1" xfId="1" applyNumberFormat="1" applyFont="1" applyFill="1" applyBorder="1" applyAlignment="1">
      <alignment horizontal="center"/>
    </xf>
    <xf numFmtId="0" fontId="7" fillId="5" borderId="1" xfId="0" applyFont="1" applyFill="1" applyBorder="1"/>
    <xf numFmtId="10" fontId="0" fillId="5" borderId="1" xfId="0" applyNumberFormat="1" applyFill="1" applyBorder="1"/>
    <xf numFmtId="164" fontId="0" fillId="0" borderId="1" xfId="0" applyNumberFormat="1" applyBorder="1"/>
    <xf numFmtId="43" fontId="0" fillId="0" borderId="1" xfId="1" applyFont="1" applyFill="1" applyBorder="1" applyAlignment="1">
      <alignment horizontal="right"/>
    </xf>
    <xf numFmtId="0" fontId="0" fillId="0" borderId="1" xfId="0" applyBorder="1" applyAlignment="1">
      <alignment horizontal="left" indent="1"/>
    </xf>
    <xf numFmtId="167" fontId="8" fillId="5" borderId="1" xfId="1" applyNumberFormat="1" applyFont="1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2" fillId="3" borderId="1" xfId="0" applyFont="1" applyFill="1" applyBorder="1" applyAlignment="1">
      <alignment horizontal="center"/>
    </xf>
    <xf numFmtId="9" fontId="2" fillId="3" borderId="1" xfId="2" applyFont="1" applyFill="1" applyBorder="1" applyAlignment="1">
      <alignment horizontal="center"/>
    </xf>
    <xf numFmtId="10" fontId="0" fillId="0" borderId="0" xfId="2" applyNumberFormat="1" applyFont="1"/>
    <xf numFmtId="165" fontId="9" fillId="0" borderId="0" xfId="0" applyNumberFormat="1" applyFont="1"/>
    <xf numFmtId="0" fontId="10" fillId="3" borderId="1" xfId="0" applyFont="1" applyFill="1" applyBorder="1" applyAlignment="1">
      <alignment horizontal="center"/>
    </xf>
    <xf numFmtId="167" fontId="10" fillId="2" borderId="1" xfId="1" applyNumberFormat="1" applyFont="1" applyFill="1" applyBorder="1"/>
    <xf numFmtId="10" fontId="11" fillId="5" borderId="1" xfId="0" applyNumberFormat="1" applyFont="1" applyFill="1" applyBorder="1" applyAlignment="1">
      <alignment horizontal="right"/>
    </xf>
    <xf numFmtId="10" fontId="11" fillId="5" borderId="1" xfId="0" applyNumberFormat="1" applyFont="1" applyFill="1" applyBorder="1"/>
    <xf numFmtId="167" fontId="9" fillId="0" borderId="1" xfId="1" applyNumberFormat="1" applyFont="1" applyFill="1" applyBorder="1"/>
    <xf numFmtId="167" fontId="9" fillId="0" borderId="1" xfId="1" applyNumberFormat="1" applyFont="1" applyFill="1" applyBorder="1" applyAlignment="1">
      <alignment horizontal="center"/>
    </xf>
    <xf numFmtId="10" fontId="9" fillId="5" borderId="1" xfId="0" applyNumberFormat="1" applyFont="1" applyFill="1" applyBorder="1"/>
    <xf numFmtId="43" fontId="9" fillId="0" borderId="1" xfId="1" applyFont="1" applyFill="1" applyBorder="1" applyAlignment="1">
      <alignment horizontal="right"/>
    </xf>
    <xf numFmtId="43" fontId="9" fillId="2" borderId="1" xfId="1" applyFont="1" applyFill="1" applyBorder="1"/>
    <xf numFmtId="0" fontId="9" fillId="0" borderId="1" xfId="0" applyFont="1" applyBorder="1"/>
    <xf numFmtId="164" fontId="10" fillId="2" borderId="1" xfId="0" applyNumberFormat="1" applyFont="1" applyFill="1" applyBorder="1"/>
    <xf numFmtId="164" fontId="9" fillId="0" borderId="1" xfId="0" applyNumberFormat="1" applyFont="1" applyBorder="1"/>
    <xf numFmtId="164" fontId="9" fillId="0" borderId="0" xfId="0" applyNumberFormat="1" applyFont="1"/>
    <xf numFmtId="167" fontId="6" fillId="5" borderId="1" xfId="1" applyNumberFormat="1" applyFont="1" applyFill="1" applyBorder="1"/>
    <xf numFmtId="0" fontId="9" fillId="0" borderId="0" xfId="0" applyFont="1"/>
    <xf numFmtId="167" fontId="9" fillId="0" borderId="2" xfId="1" applyNumberFormat="1" applyFont="1" applyFill="1" applyBorder="1"/>
    <xf numFmtId="167" fontId="9" fillId="0" borderId="1" xfId="1" applyNumberFormat="1" applyFont="1" applyFill="1" applyBorder="1" applyAlignment="1">
      <alignment horizontal="center" vertical="center"/>
    </xf>
    <xf numFmtId="167" fontId="9" fillId="0" borderId="1" xfId="1" applyNumberFormat="1" applyFont="1" applyBorder="1"/>
    <xf numFmtId="167" fontId="9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10" fontId="9" fillId="2" borderId="1" xfId="2" applyNumberFormat="1" applyFont="1" applyFill="1" applyBorder="1"/>
    <xf numFmtId="43" fontId="9" fillId="0" borderId="0" xfId="1" applyFont="1" applyFill="1" applyAlignment="1">
      <alignment horizontal="right"/>
    </xf>
    <xf numFmtId="43" fontId="9" fillId="0" borderId="0" xfId="1" applyFont="1" applyFill="1"/>
    <xf numFmtId="166" fontId="9" fillId="0" borderId="0" xfId="2" applyNumberFormat="1" applyFont="1" applyFill="1"/>
    <xf numFmtId="10" fontId="9" fillId="0" borderId="0" xfId="2" applyNumberFormat="1" applyFont="1" applyFill="1"/>
    <xf numFmtId="9" fontId="9" fillId="0" borderId="0" xfId="2" applyFont="1" applyFill="1"/>
    <xf numFmtId="43" fontId="9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9" fillId="2" borderId="1" xfId="1" applyNumberFormat="1" applyFont="1" applyFill="1" applyBorder="1" applyAlignment="1">
      <alignment horizontal="right"/>
    </xf>
    <xf numFmtId="10" fontId="5" fillId="0" borderId="1" xfId="0" applyNumberFormat="1" applyFont="1" applyBorder="1" applyAlignment="1">
      <alignment horizontal="right"/>
    </xf>
    <xf numFmtId="10" fontId="11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0" fontId="9" fillId="0" borderId="1" xfId="1" applyNumberFormat="1" applyFont="1" applyFill="1" applyBorder="1"/>
    <xf numFmtId="167" fontId="0" fillId="0" borderId="1" xfId="1" applyNumberFormat="1" applyFont="1" applyFill="1" applyBorder="1" applyAlignment="1">
      <alignment horizontal="right"/>
    </xf>
    <xf numFmtId="10" fontId="9" fillId="2" borderId="1" xfId="2" applyNumberFormat="1" applyFont="1" applyFill="1" applyBorder="1" applyAlignment="1">
      <alignment horizontal="right"/>
    </xf>
    <xf numFmtId="167" fontId="10" fillId="6" borderId="1" xfId="1" applyNumberFormat="1" applyFont="1" applyFill="1" applyBorder="1"/>
    <xf numFmtId="167" fontId="9" fillId="6" borderId="1" xfId="1" applyNumberFormat="1" applyFont="1" applyFill="1" applyBorder="1"/>
    <xf numFmtId="43" fontId="9" fillId="6" borderId="1" xfId="1" applyFont="1" applyFill="1" applyBorder="1" applyAlignment="1">
      <alignment horizontal="right"/>
    </xf>
    <xf numFmtId="167" fontId="9" fillId="6" borderId="1" xfId="1" applyNumberFormat="1" applyFont="1" applyFill="1" applyBorder="1" applyAlignment="1">
      <alignment horizontal="center" vertical="center"/>
    </xf>
    <xf numFmtId="167" fontId="0" fillId="4" borderId="1" xfId="1" applyNumberFormat="1" applyFont="1" applyFill="1" applyBorder="1"/>
    <xf numFmtId="167" fontId="9" fillId="4" borderId="2" xfId="1" applyNumberFormat="1" applyFont="1" applyFill="1" applyBorder="1"/>
    <xf numFmtId="167" fontId="9" fillId="6" borderId="2" xfId="1" applyNumberFormat="1" applyFont="1" applyFill="1" applyBorder="1"/>
    <xf numFmtId="2" fontId="12" fillId="6" borderId="0" xfId="0" applyNumberFormat="1" applyFont="1" applyFill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5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07"/>
  <sheetViews>
    <sheetView tabSelected="1" zoomScale="85" zoomScaleNormal="85" workbookViewId="0">
      <pane ySplit="4" topLeftCell="A53" activePane="bottomLeft" state="frozen"/>
      <selection pane="bottomLeft" activeCell="H67" sqref="H67:H69"/>
    </sheetView>
  </sheetViews>
  <sheetFormatPr defaultRowHeight="14.4" x14ac:dyDescent="0.3"/>
  <cols>
    <col min="2" max="2" width="68.6640625" bestFit="1" customWidth="1"/>
    <col min="3" max="5" width="10" bestFit="1" customWidth="1"/>
    <col min="6" max="8" width="10.5546875" style="42" bestFit="1" customWidth="1"/>
    <col min="9" max="9" width="8.109375" bestFit="1" customWidth="1"/>
    <col min="10" max="10" width="49.33203125" bestFit="1" customWidth="1"/>
    <col min="11" max="15" width="10" style="42" bestFit="1" customWidth="1"/>
    <col min="16" max="16" width="10" bestFit="1" customWidth="1"/>
    <col min="17" max="21" width="9" bestFit="1" customWidth="1"/>
  </cols>
  <sheetData>
    <row r="1" spans="2:16" x14ac:dyDescent="0.3">
      <c r="F1" s="40"/>
      <c r="G1" s="27"/>
      <c r="H1" s="27"/>
    </row>
    <row r="2" spans="2:16" ht="21" x14ac:dyDescent="0.4">
      <c r="B2" s="74" t="s">
        <v>104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2:16" x14ac:dyDescent="0.3">
      <c r="B3" s="71" t="s">
        <v>34</v>
      </c>
      <c r="C3" s="71"/>
      <c r="D3" s="71"/>
      <c r="E3" s="71"/>
      <c r="F3" s="71"/>
      <c r="G3" s="71"/>
      <c r="H3" s="55"/>
      <c r="J3" s="72" t="s">
        <v>33</v>
      </c>
      <c r="K3" s="73"/>
      <c r="L3" s="73"/>
      <c r="M3" s="73"/>
      <c r="N3" s="73"/>
      <c r="O3" s="73"/>
      <c r="P3" s="73"/>
    </row>
    <row r="4" spans="2:16" x14ac:dyDescent="0.3">
      <c r="B4" s="6" t="s">
        <v>0</v>
      </c>
      <c r="C4" s="24" t="s">
        <v>1</v>
      </c>
      <c r="D4" s="24" t="s">
        <v>2</v>
      </c>
      <c r="E4" s="24" t="s">
        <v>3</v>
      </c>
      <c r="F4" s="28" t="s">
        <v>96</v>
      </c>
      <c r="G4" s="28" t="s">
        <v>101</v>
      </c>
      <c r="H4" s="28" t="s">
        <v>140</v>
      </c>
      <c r="J4" s="6" t="s">
        <v>0</v>
      </c>
      <c r="K4" s="28" t="s">
        <v>1</v>
      </c>
      <c r="L4" s="28" t="s">
        <v>2</v>
      </c>
      <c r="M4" s="28" t="s">
        <v>3</v>
      </c>
      <c r="N4" s="28" t="s">
        <v>96</v>
      </c>
      <c r="O4" s="28" t="s">
        <v>101</v>
      </c>
      <c r="P4" s="28" t="s">
        <v>140</v>
      </c>
    </row>
    <row r="5" spans="2:16" x14ac:dyDescent="0.3">
      <c r="B5" s="4" t="s">
        <v>35</v>
      </c>
      <c r="C5" s="10">
        <v>19947.93</v>
      </c>
      <c r="D5" s="10">
        <v>33803.050000000003</v>
      </c>
      <c r="E5" s="10">
        <v>38911.47</v>
      </c>
      <c r="F5" s="29">
        <v>45441.08</v>
      </c>
      <c r="G5" s="29">
        <v>50933.59</v>
      </c>
      <c r="H5" s="63">
        <v>51027.42</v>
      </c>
      <c r="J5" s="1" t="s">
        <v>4</v>
      </c>
      <c r="K5" s="32">
        <v>465.45</v>
      </c>
      <c r="L5" s="32">
        <v>479.2</v>
      </c>
      <c r="M5" s="32">
        <v>773.62</v>
      </c>
      <c r="N5" s="32">
        <v>773.62</v>
      </c>
      <c r="O5" s="32">
        <v>844.38</v>
      </c>
      <c r="P5" s="64">
        <v>992.14</v>
      </c>
    </row>
    <row r="6" spans="2:16" x14ac:dyDescent="0.3">
      <c r="B6" s="8" t="s">
        <v>36</v>
      </c>
      <c r="C6" s="12"/>
      <c r="D6" s="12">
        <f>IF(D5/C5-1&gt;100%,"N.A.",IF(D5/C5-1&lt;-100%,"N.A.",(D5/C5-1)))</f>
        <v>0.69456429815023424</v>
      </c>
      <c r="E6" s="12">
        <f>IF(E5/D5-1&gt;100%,"N.A.",IF(E5/D5-1&lt;-100%,"N.A.",(E5/D5-1)))</f>
        <v>0.15112304954730416</v>
      </c>
      <c r="F6" s="30">
        <f>IF(F5/E5-1&gt;100%,"N.A.",IF(F5/E5-1&lt;-100%,"N.A.",(F5/E5-1)))</f>
        <v>0.16780681891483407</v>
      </c>
      <c r="G6" s="30">
        <f>IF(G5/F5-1&gt;100%,"N.A.",IF(G5/F5-1&lt;-100%,"N.A.",(G5/F5-1)))</f>
        <v>0.12087102683298889</v>
      </c>
      <c r="H6" s="30">
        <f>IF(H5/G5-1&gt;100%,"N.A.",IF(H5/G5-1&lt;-100%,"N.A.",(H5/G5-1)))</f>
        <v>1.8422027585331957E-3</v>
      </c>
      <c r="J6" s="1" t="s">
        <v>8</v>
      </c>
      <c r="K6" s="32">
        <v>22730.21</v>
      </c>
      <c r="L6" s="32">
        <v>23357.1</v>
      </c>
      <c r="M6" s="32">
        <v>28105.94</v>
      </c>
      <c r="N6" s="32">
        <v>30762.57</v>
      </c>
      <c r="O6" s="32">
        <v>37002.35</v>
      </c>
      <c r="P6" s="64">
        <v>43407.58</v>
      </c>
    </row>
    <row r="7" spans="2:16" x14ac:dyDescent="0.3">
      <c r="B7" s="8" t="s">
        <v>37</v>
      </c>
      <c r="C7" s="13"/>
      <c r="D7" s="13"/>
      <c r="E7" s="13"/>
      <c r="F7" s="31">
        <f>IF((F5/C5)^(1/3)-1&gt;100%,"N.A.",IF((F5/C5)^(1/3)-1&lt;-100%,"N.A.",((F5/C5)^(1/3)-1)))</f>
        <v>0.31578097637691416</v>
      </c>
      <c r="G7" s="31">
        <f>IF((G5/D5)^(1/3)-1&gt;100%,"N.A.",IF((G5/D5)^(1/3)-1&lt;-100%,"N.A.",((G5/D5)^(1/3)-1)))</f>
        <v>0.14643508023108209</v>
      </c>
      <c r="H7" s="31">
        <f>IF((H5/E5)^(1/3)-1&gt;100%,"N.A.",IF((H5/E5)^(1/3)-1&lt;-100%,"N.A.",((H5/E5)^(1/3)-1)))</f>
        <v>9.456609359197099E-2</v>
      </c>
      <c r="I7" s="26"/>
      <c r="J7" s="4" t="s">
        <v>9</v>
      </c>
      <c r="K7" s="29">
        <f>SUM(K5:K6)</f>
        <v>23195.66</v>
      </c>
      <c r="L7" s="29">
        <f>SUM(L5:L6)</f>
        <v>23836.3</v>
      </c>
      <c r="M7" s="29">
        <f>SUM(M5:M6)</f>
        <v>28879.559999999998</v>
      </c>
      <c r="N7" s="29">
        <f>SUM(N5:N6)+N9</f>
        <v>31617.289999999997</v>
      </c>
      <c r="O7" s="29">
        <f>SUM(O5:O6)+O9</f>
        <v>37768.539999999994</v>
      </c>
      <c r="P7" s="29">
        <f>SUM(P5:P6)+P9</f>
        <v>44420.49</v>
      </c>
    </row>
    <row r="8" spans="2:16" x14ac:dyDescent="0.3">
      <c r="B8" s="14" t="s">
        <v>38</v>
      </c>
      <c r="C8" s="11"/>
      <c r="D8" s="11">
        <v>0</v>
      </c>
      <c r="E8" s="11">
        <v>9057.0499999999993</v>
      </c>
      <c r="F8" s="32">
        <v>9051.25</v>
      </c>
      <c r="G8" s="32">
        <v>9019.4699999999993</v>
      </c>
      <c r="H8" s="64">
        <v>12821.54</v>
      </c>
      <c r="J8" s="4" t="s">
        <v>10</v>
      </c>
      <c r="K8" s="29">
        <f>SUM(K5:K6)</f>
        <v>23195.66</v>
      </c>
      <c r="L8" s="29">
        <f>SUM(L5:L6)</f>
        <v>23836.3</v>
      </c>
      <c r="M8" s="29">
        <f>SUM(M5:M6)</f>
        <v>28879.559999999998</v>
      </c>
      <c r="N8" s="29">
        <f>SUM(N5:N6)+N9</f>
        <v>31617.289999999997</v>
      </c>
      <c r="O8" s="29">
        <f>SUM(O5:O6)+O9</f>
        <v>37768.539999999994</v>
      </c>
      <c r="P8" s="29">
        <f>SUM(P5:P6)+P9</f>
        <v>44420.49</v>
      </c>
    </row>
    <row r="9" spans="2:16" x14ac:dyDescent="0.3">
      <c r="B9" s="14" t="s">
        <v>94</v>
      </c>
      <c r="C9" s="11">
        <v>14589.99</v>
      </c>
      <c r="D9" s="11">
        <v>24440.5</v>
      </c>
      <c r="E9" s="11">
        <v>19430.52</v>
      </c>
      <c r="F9" s="32">
        <v>23868.43</v>
      </c>
      <c r="G9" s="32">
        <v>27926.76</v>
      </c>
      <c r="H9" s="64">
        <v>24843.46</v>
      </c>
      <c r="J9" s="1" t="s">
        <v>11</v>
      </c>
      <c r="K9" s="44">
        <v>612.9</v>
      </c>
      <c r="L9" s="44">
        <v>714.1</v>
      </c>
      <c r="M9" s="44">
        <v>878.2</v>
      </c>
      <c r="N9" s="44">
        <v>81.099999999999994</v>
      </c>
      <c r="O9" s="44">
        <v>-78.19</v>
      </c>
      <c r="P9" s="66">
        <v>20.77</v>
      </c>
    </row>
    <row r="10" spans="2:16" x14ac:dyDescent="0.3">
      <c r="B10" s="14" t="s">
        <v>39</v>
      </c>
      <c r="C10" s="11"/>
      <c r="D10" s="11">
        <v>0</v>
      </c>
      <c r="E10" s="11"/>
      <c r="F10" s="32"/>
      <c r="G10" s="32"/>
      <c r="H10" s="32"/>
      <c r="J10" s="1" t="s">
        <v>5</v>
      </c>
      <c r="K10" s="32">
        <f>K47</f>
        <v>7533.37</v>
      </c>
      <c r="L10" s="32">
        <f t="shared" ref="L10:P10" si="0">L47</f>
        <v>7607.14</v>
      </c>
      <c r="M10" s="32">
        <f t="shared" si="0"/>
        <v>5324.96</v>
      </c>
      <c r="N10" s="32">
        <f t="shared" si="0"/>
        <v>5572.64</v>
      </c>
      <c r="O10" s="32">
        <f t="shared" si="0"/>
        <v>3883.81</v>
      </c>
      <c r="P10" s="64">
        <f t="shared" si="0"/>
        <v>2563.2399999999998</v>
      </c>
    </row>
    <row r="11" spans="2:16" x14ac:dyDescent="0.3">
      <c r="B11" s="14" t="s">
        <v>40</v>
      </c>
      <c r="C11" s="11">
        <v>2013.32</v>
      </c>
      <c r="D11" s="11">
        <v>2665.24</v>
      </c>
      <c r="E11" s="11">
        <v>3260.29</v>
      </c>
      <c r="F11" s="32">
        <v>3540.36</v>
      </c>
      <c r="G11" s="32">
        <v>3827.91</v>
      </c>
      <c r="H11" s="64">
        <v>4035.6</v>
      </c>
      <c r="J11" s="1" t="s">
        <v>6</v>
      </c>
      <c r="K11" s="32">
        <f>K59</f>
        <v>15130.52</v>
      </c>
      <c r="L11" s="32">
        <f t="shared" ref="L11:P11" si="1">L59</f>
        <v>15008.99</v>
      </c>
      <c r="M11" s="32">
        <f t="shared" si="1"/>
        <v>12082.8</v>
      </c>
      <c r="N11" s="32">
        <f t="shared" si="1"/>
        <v>13282.28</v>
      </c>
      <c r="O11" s="32">
        <f t="shared" si="1"/>
        <v>12567.28</v>
      </c>
      <c r="P11" s="64">
        <f>P59</f>
        <v>9306.1</v>
      </c>
    </row>
    <row r="12" spans="2:16" x14ac:dyDescent="0.3">
      <c r="B12" s="7" t="s">
        <v>42</v>
      </c>
      <c r="C12" s="15">
        <v>0</v>
      </c>
      <c r="D12" s="15">
        <v>0</v>
      </c>
      <c r="E12" s="15">
        <v>0</v>
      </c>
      <c r="F12" s="33">
        <v>0</v>
      </c>
      <c r="G12" s="33">
        <v>0</v>
      </c>
      <c r="H12" s="33">
        <v>0</v>
      </c>
      <c r="J12" s="4" t="s">
        <v>12</v>
      </c>
      <c r="K12" s="29">
        <f>SUM(K10:K11)</f>
        <v>22663.89</v>
      </c>
      <c r="L12" s="29">
        <f t="shared" ref="L12:N12" si="2">SUM(L10:L11)</f>
        <v>22616.13</v>
      </c>
      <c r="M12" s="29">
        <f t="shared" si="2"/>
        <v>17407.759999999998</v>
      </c>
      <c r="N12" s="29">
        <f t="shared" si="2"/>
        <v>18854.920000000002</v>
      </c>
      <c r="O12" s="29">
        <f>SUM(O10:O11)</f>
        <v>16451.09</v>
      </c>
      <c r="P12" s="29">
        <f>SUM(P10:P11)</f>
        <v>11869.34</v>
      </c>
    </row>
    <row r="13" spans="2:16" x14ac:dyDescent="0.3">
      <c r="B13" s="14" t="s">
        <v>41</v>
      </c>
      <c r="C13" s="11">
        <v>998.26</v>
      </c>
      <c r="D13" s="11">
        <v>1419.99</v>
      </c>
      <c r="E13" s="11">
        <v>1547.96</v>
      </c>
      <c r="F13" s="32">
        <v>2078.1</v>
      </c>
      <c r="G13" s="32">
        <v>2827.55</v>
      </c>
      <c r="H13" s="64">
        <v>2486.48</v>
      </c>
      <c r="J13" s="1"/>
      <c r="K13" s="32"/>
      <c r="L13" s="32"/>
      <c r="M13" s="32"/>
      <c r="N13" s="32"/>
      <c r="O13" s="32"/>
      <c r="P13" s="32"/>
    </row>
    <row r="14" spans="2:16" x14ac:dyDescent="0.3">
      <c r="B14" s="4" t="s">
        <v>43</v>
      </c>
      <c r="C14" s="10">
        <f>C5-SUM(C8:C13)</f>
        <v>2346.3600000000006</v>
      </c>
      <c r="D14" s="10">
        <f>D5-SUM(D8:D13)</f>
        <v>5277.3200000000033</v>
      </c>
      <c r="E14" s="10">
        <f t="shared" ref="E14:G14" si="3">E5-SUM(E8:E13)</f>
        <v>5615.6500000000015</v>
      </c>
      <c r="F14" s="29">
        <f t="shared" si="3"/>
        <v>6902.9400000000023</v>
      </c>
      <c r="G14" s="29">
        <f t="shared" si="3"/>
        <v>7331.8999999999942</v>
      </c>
      <c r="H14" s="29">
        <f>H5-SUM(H8:H13)</f>
        <v>6840.3399999999965</v>
      </c>
      <c r="I14" s="26"/>
      <c r="J14" s="4" t="s">
        <v>7</v>
      </c>
      <c r="K14" s="29">
        <f>K8+K56+K9</f>
        <v>45785.840000000004</v>
      </c>
      <c r="L14" s="29">
        <f t="shared" ref="L14:P14" si="4">L8+L56+L9</f>
        <v>47067.98</v>
      </c>
      <c r="M14" s="29">
        <f t="shared" si="4"/>
        <v>49338.59</v>
      </c>
      <c r="N14" s="29">
        <f t="shared" si="4"/>
        <v>49876.79</v>
      </c>
      <c r="O14" s="29">
        <f t="shared" si="4"/>
        <v>54194.569999999992</v>
      </c>
      <c r="P14" s="29">
        <f>P8+P56+P9</f>
        <v>57767.179999999993</v>
      </c>
    </row>
    <row r="15" spans="2:16" x14ac:dyDescent="0.3">
      <c r="B15" s="16" t="s">
        <v>44</v>
      </c>
      <c r="C15" s="17">
        <f>IF(C14/C5&gt;100%,"N.A",IF(C14/C5&lt;-100%,"N.A.",(C14/C5)))</f>
        <v>0.11762423469502853</v>
      </c>
      <c r="D15" s="17">
        <f>IF(D14/D5&gt;100%,"N.A",IF(D14/D5&lt;-100%,"N.A.",(D14/D5)))</f>
        <v>0.15611964009164861</v>
      </c>
      <c r="E15" s="17">
        <f t="shared" ref="E15:G15" si="5">IF(E14/E5&gt;100%,"N.A",IF(E14/E5&lt;-100%,"N.A.",(E14/E5)))</f>
        <v>0.14431862892869382</v>
      </c>
      <c r="F15" s="34">
        <f t="shared" si="5"/>
        <v>0.15190968172411401</v>
      </c>
      <c r="G15" s="34">
        <f t="shared" si="5"/>
        <v>0.14395019082691785</v>
      </c>
      <c r="H15" s="34">
        <f>IF(H14/H5&gt;100%,"N.A",IF(H14/H5&lt;-100%,"N.A.",(H14/H5)))</f>
        <v>0.1340522409324241</v>
      </c>
      <c r="J15" s="4" t="s">
        <v>7</v>
      </c>
      <c r="K15" s="29">
        <f>K72-K68</f>
        <v>45785.839999999989</v>
      </c>
      <c r="L15" s="29">
        <f>L72-L68</f>
        <v>47068.75</v>
      </c>
      <c r="M15" s="29">
        <f t="shared" ref="M15:N15" si="6">M72-M68</f>
        <v>49338.590000000004</v>
      </c>
      <c r="N15" s="29">
        <f t="shared" si="6"/>
        <v>49795.69</v>
      </c>
      <c r="O15" s="29">
        <f>O72-O68</f>
        <v>54272.760000000009</v>
      </c>
      <c r="P15" s="29">
        <f>P72-P68</f>
        <v>57746.41</v>
      </c>
    </row>
    <row r="16" spans="2:16" x14ac:dyDescent="0.3">
      <c r="B16" s="16" t="s">
        <v>36</v>
      </c>
      <c r="C16" s="13"/>
      <c r="D16" s="13">
        <f>D14/C14-1</f>
        <v>1.2491518778022135</v>
      </c>
      <c r="E16" s="13">
        <f>IF(E14/D14-1&gt;100%,("N.A."),IF(E14/D14-1&lt;-100%,("N.A."),(E14/D14-1)))</f>
        <v>6.4110192294573265E-2</v>
      </c>
      <c r="F16" s="31">
        <f>IF(F14/E14-1&gt;100%,("N.A."),IF(F14/E14-1&lt;-100%,("N.A."),(F14/E14-1)))</f>
        <v>0.22923259106247729</v>
      </c>
      <c r="G16" s="31">
        <f>IF(G14/F14-1&gt;100%,("N.A."),IF(G14/F14-1&lt;-100%,("N.A."),(G14/F14-1)))</f>
        <v>6.2141638200533533E-2</v>
      </c>
      <c r="H16" s="31">
        <f>IF(H14/G14-1&gt;100%,("N.A."),IF(H14/G14-1&lt;-100%,("N.A."),(H14/G14-1)))</f>
        <v>-6.7044013148024106E-2</v>
      </c>
      <c r="I16" s="26"/>
      <c r="J16" s="1"/>
      <c r="K16" s="45"/>
      <c r="L16" s="45"/>
      <c r="M16" s="45"/>
      <c r="N16" s="45"/>
      <c r="O16" s="45"/>
      <c r="P16" s="45"/>
    </row>
    <row r="17" spans="2:16" x14ac:dyDescent="0.3">
      <c r="B17" s="16" t="s">
        <v>45</v>
      </c>
      <c r="C17" s="12"/>
      <c r="D17" s="12"/>
      <c r="E17" s="12"/>
      <c r="F17" s="30">
        <f>IF((F14/C14)^(1/3)-1&lt;-100%,"N.A.",IF((F14/C14)^(1/3)-1&gt;100%,"N.A.",((F14/C14)^(1/3)-1)))</f>
        <v>0.43289098634470613</v>
      </c>
      <c r="G17" s="30">
        <f>IF((G14/D14)^(1/3)-1&lt;-100%,"N.A.",IF((G14/D14)^(1/3)-1&gt;100%,"N.A.",((G14/D14)^(1/3)-1)))</f>
        <v>0.1158377104568058</v>
      </c>
      <c r="H17" s="30">
        <f>IF((H14/E14)^(1/3)-1&lt;-100%,"N.A.",IF((H14/E14)^(1/3)-1&gt;100%,"N.A.",((H14/E14)^(1/3)-1)))</f>
        <v>6.7970407391408694E-2</v>
      </c>
      <c r="I17" s="26"/>
      <c r="J17" s="3" t="s">
        <v>17</v>
      </c>
      <c r="K17" s="32"/>
      <c r="L17" s="32"/>
      <c r="M17" s="32"/>
      <c r="N17" s="32"/>
      <c r="O17" s="32"/>
      <c r="P17" s="32"/>
    </row>
    <row r="18" spans="2:16" x14ac:dyDescent="0.3">
      <c r="B18" s="7" t="s">
        <v>46</v>
      </c>
      <c r="C18" s="11">
        <v>1091.3499999999999</v>
      </c>
      <c r="D18" s="11">
        <v>1162.06</v>
      </c>
      <c r="E18" s="11">
        <v>1149.3800000000001</v>
      </c>
      <c r="F18" s="32">
        <v>889.08</v>
      </c>
      <c r="G18" s="32">
        <v>1662.65</v>
      </c>
      <c r="H18" s="64">
        <v>1657.62</v>
      </c>
      <c r="J18" s="1" t="s">
        <v>13</v>
      </c>
      <c r="K18" s="32">
        <v>6537.69</v>
      </c>
      <c r="L18" s="32">
        <v>11318.69</v>
      </c>
      <c r="M18" s="32">
        <v>11904.59</v>
      </c>
      <c r="N18" s="32">
        <v>12646.54</v>
      </c>
      <c r="O18" s="32">
        <v>12827.44</v>
      </c>
      <c r="P18" s="64">
        <v>12549.53</v>
      </c>
    </row>
    <row r="19" spans="2:16" x14ac:dyDescent="0.3">
      <c r="B19" s="7" t="s">
        <v>47</v>
      </c>
      <c r="C19" s="11">
        <v>720.25</v>
      </c>
      <c r="D19" s="11">
        <v>818.99</v>
      </c>
      <c r="E19" s="11">
        <v>808.99</v>
      </c>
      <c r="F19" s="32">
        <v>976.14</v>
      </c>
      <c r="G19" s="32">
        <v>997.86</v>
      </c>
      <c r="H19" s="64">
        <v>1036.6600000000001</v>
      </c>
      <c r="J19" s="1" t="s">
        <v>108</v>
      </c>
      <c r="K19" s="32">
        <v>6786.06</v>
      </c>
      <c r="L19" s="32">
        <v>2826.38</v>
      </c>
      <c r="M19" s="32">
        <v>2944.44</v>
      </c>
      <c r="N19" s="32">
        <v>2326.87</v>
      </c>
      <c r="O19" s="32">
        <v>1710.1</v>
      </c>
      <c r="P19" s="64">
        <v>1260.3900000000001</v>
      </c>
    </row>
    <row r="20" spans="2:16" x14ac:dyDescent="0.3">
      <c r="B20" s="7" t="s">
        <v>48</v>
      </c>
      <c r="C20" s="11">
        <v>4013.92</v>
      </c>
      <c r="D20" s="11">
        <v>4195.2700000000004</v>
      </c>
      <c r="E20" s="11">
        <v>4122.2299999999996</v>
      </c>
      <c r="F20" s="32">
        <v>3620.94</v>
      </c>
      <c r="G20" s="32">
        <v>3224.18</v>
      </c>
      <c r="H20" s="64">
        <v>2964.44</v>
      </c>
      <c r="J20" s="1" t="s">
        <v>109</v>
      </c>
      <c r="K20" s="32">
        <v>3.87</v>
      </c>
      <c r="L20" s="32">
        <v>9.31</v>
      </c>
      <c r="M20" s="32">
        <v>12.16</v>
      </c>
      <c r="N20" s="32">
        <v>7.64</v>
      </c>
      <c r="O20" s="32">
        <v>5.14</v>
      </c>
      <c r="P20" s="64">
        <v>2.33</v>
      </c>
    </row>
    <row r="21" spans="2:16" x14ac:dyDescent="0.3">
      <c r="B21" s="7" t="s">
        <v>103</v>
      </c>
      <c r="C21" s="11">
        <v>2141.66</v>
      </c>
      <c r="D21" s="61">
        <v>304.94</v>
      </c>
      <c r="E21" s="11">
        <v>8.14</v>
      </c>
      <c r="F21" s="32">
        <v>-856.18</v>
      </c>
      <c r="G21" s="32">
        <v>1515.8</v>
      </c>
      <c r="H21" s="64">
        <v>1620.54</v>
      </c>
      <c r="J21" s="1" t="s">
        <v>136</v>
      </c>
      <c r="K21" s="32">
        <v>283.86</v>
      </c>
      <c r="L21" s="32">
        <v>282</v>
      </c>
      <c r="M21" s="32">
        <v>252.61</v>
      </c>
      <c r="N21" s="32">
        <v>252.61</v>
      </c>
      <c r="O21" s="32">
        <v>229.69</v>
      </c>
      <c r="P21" s="64">
        <v>229.69</v>
      </c>
    </row>
    <row r="22" spans="2:16" x14ac:dyDescent="0.3">
      <c r="B22" s="4" t="s">
        <v>49</v>
      </c>
      <c r="C22" s="29">
        <f>C14+C18-SUM(C19:C20)-C21</f>
        <v>-3438.1199999999994</v>
      </c>
      <c r="D22" s="29">
        <f>D14+D18-SUM(D19:D20)-D21</f>
        <v>1120.1800000000026</v>
      </c>
      <c r="E22" s="29">
        <f t="shared" ref="E22:G22" si="7">E14+E18-SUM(E19:E20)-E21</f>
        <v>1825.6700000000021</v>
      </c>
      <c r="F22" s="29">
        <f t="shared" si="7"/>
        <v>4051.1200000000022</v>
      </c>
      <c r="G22" s="29">
        <f t="shared" si="7"/>
        <v>3256.7099999999937</v>
      </c>
      <c r="H22" s="29">
        <f>H14+H18-SUM(H19:H20)-H21</f>
        <v>2876.3199999999952</v>
      </c>
      <c r="J22" s="1" t="s">
        <v>110</v>
      </c>
      <c r="K22" s="32">
        <v>0</v>
      </c>
      <c r="L22" s="32">
        <v>195.05</v>
      </c>
      <c r="M22" s="32">
        <v>142.09</v>
      </c>
      <c r="N22" s="32">
        <v>281.60000000000002</v>
      </c>
      <c r="O22" s="32">
        <v>216.71</v>
      </c>
      <c r="P22" s="64">
        <v>599.29999999999995</v>
      </c>
    </row>
    <row r="23" spans="2:16" x14ac:dyDescent="0.3">
      <c r="B23" s="7" t="s">
        <v>50</v>
      </c>
      <c r="C23" s="11">
        <f>110.48+1.49-820.83</f>
        <v>-708.86</v>
      </c>
      <c r="D23" s="11">
        <f>382.32+1.57+47.54</f>
        <v>431.43</v>
      </c>
      <c r="E23" s="11">
        <f>719.58-184.36-146.59</f>
        <v>388.63</v>
      </c>
      <c r="F23" s="32">
        <f>615.17-45.41+465.35</f>
        <v>1035.1100000000001</v>
      </c>
      <c r="G23" s="32">
        <f>945.89-50.77</f>
        <v>895.12</v>
      </c>
      <c r="H23" s="64">
        <f>1012.66-655.58-179.95</f>
        <v>177.12999999999994</v>
      </c>
      <c r="J23" s="1" t="s">
        <v>111</v>
      </c>
      <c r="K23" s="32"/>
      <c r="L23" s="32"/>
      <c r="M23" s="32"/>
      <c r="N23" s="32"/>
      <c r="O23" s="32"/>
      <c r="P23" s="32"/>
    </row>
    <row r="24" spans="2:16" x14ac:dyDescent="0.3">
      <c r="B24" s="16" t="s">
        <v>51</v>
      </c>
      <c r="C24" s="13">
        <f t="shared" ref="C24:H24" si="8">C23/C22</f>
        <v>0.20617663141484302</v>
      </c>
      <c r="D24" s="13">
        <f t="shared" si="8"/>
        <v>0.38514345908693159</v>
      </c>
      <c r="E24" s="13">
        <f t="shared" si="8"/>
        <v>0.21286979574621895</v>
      </c>
      <c r="F24" s="31">
        <f t="shared" si="8"/>
        <v>0.25551205592527487</v>
      </c>
      <c r="G24" s="31">
        <f t="shared" si="8"/>
        <v>0.27485407051902128</v>
      </c>
      <c r="H24" s="31">
        <f t="shared" si="8"/>
        <v>6.1582160538465901E-2</v>
      </c>
      <c r="J24" s="1" t="s">
        <v>14</v>
      </c>
      <c r="K24" s="32">
        <v>678.9</v>
      </c>
      <c r="L24" s="32">
        <v>816.08</v>
      </c>
      <c r="M24" s="32">
        <v>1354.12</v>
      </c>
      <c r="N24" s="32">
        <v>1554.72</v>
      </c>
      <c r="O24" s="32">
        <v>696.88</v>
      </c>
      <c r="P24" s="64">
        <v>428.08</v>
      </c>
    </row>
    <row r="25" spans="2:16" x14ac:dyDescent="0.3">
      <c r="B25" s="4" t="s">
        <v>107</v>
      </c>
      <c r="C25" s="10">
        <f>C22-C23</f>
        <v>-2729.2599999999993</v>
      </c>
      <c r="D25" s="10">
        <f t="shared" ref="D25:G25" si="9">D22-D23</f>
        <v>688.7500000000025</v>
      </c>
      <c r="E25" s="10">
        <f t="shared" si="9"/>
        <v>1437.0400000000022</v>
      </c>
      <c r="F25" s="29">
        <f t="shared" si="9"/>
        <v>3016.010000000002</v>
      </c>
      <c r="G25" s="29">
        <f t="shared" si="9"/>
        <v>2361.5899999999938</v>
      </c>
      <c r="H25" s="29">
        <f>H22-H23</f>
        <v>2699.1899999999951</v>
      </c>
      <c r="J25" s="1" t="s">
        <v>112</v>
      </c>
      <c r="K25" s="32">
        <v>4420.83</v>
      </c>
      <c r="L25" s="32">
        <v>4935.47</v>
      </c>
      <c r="M25" s="32">
        <v>3606.79</v>
      </c>
      <c r="N25" s="32">
        <v>3007.06</v>
      </c>
      <c r="O25" s="32">
        <v>3272.76</v>
      </c>
      <c r="P25" s="64">
        <v>2701.3</v>
      </c>
    </row>
    <row r="26" spans="2:16" x14ac:dyDescent="0.3">
      <c r="B26" s="3" t="s">
        <v>105</v>
      </c>
      <c r="C26" s="19">
        <v>-178.21</v>
      </c>
      <c r="D26">
        <v>32.229999999999997</v>
      </c>
      <c r="E26" s="19">
        <v>46.79</v>
      </c>
      <c r="F26" s="35">
        <v>6.09</v>
      </c>
      <c r="G26" s="35">
        <v>116.93</v>
      </c>
      <c r="H26" s="65">
        <v>-7.54</v>
      </c>
      <c r="J26" s="1" t="s">
        <v>113</v>
      </c>
      <c r="K26" s="32">
        <v>704.41</v>
      </c>
      <c r="L26" s="32">
        <v>766.19</v>
      </c>
      <c r="M26" s="32">
        <v>887.94</v>
      </c>
      <c r="N26" s="32">
        <v>813.54</v>
      </c>
      <c r="O26" s="32">
        <v>949.88</v>
      </c>
      <c r="P26" s="64">
        <v>1117.57</v>
      </c>
    </row>
    <row r="27" spans="2:16" x14ac:dyDescent="0.3">
      <c r="B27" s="1"/>
      <c r="C27" s="19"/>
      <c r="D27" s="19"/>
      <c r="E27" s="19"/>
      <c r="F27" s="35"/>
      <c r="G27" s="35"/>
      <c r="H27" s="35"/>
      <c r="J27" s="1" t="s">
        <v>114</v>
      </c>
      <c r="K27" s="32">
        <v>1367.34</v>
      </c>
      <c r="L27" s="32">
        <v>5726.65</v>
      </c>
      <c r="M27" s="32">
        <v>6166.75</v>
      </c>
      <c r="N27" s="32">
        <v>6477.01</v>
      </c>
      <c r="O27" s="32">
        <v>6126.21</v>
      </c>
      <c r="P27" s="64">
        <v>5063.04</v>
      </c>
    </row>
    <row r="28" spans="2:16" x14ac:dyDescent="0.3">
      <c r="B28" s="4"/>
      <c r="C28" s="5"/>
      <c r="D28" s="5"/>
      <c r="E28" s="5"/>
      <c r="F28" s="36"/>
      <c r="G28" s="36"/>
      <c r="H28" s="36"/>
      <c r="J28" s="1" t="s">
        <v>117</v>
      </c>
      <c r="K28" s="32">
        <v>2002.8</v>
      </c>
      <c r="L28" s="32">
        <v>1973.68</v>
      </c>
      <c r="M28" s="32">
        <v>2073.52</v>
      </c>
      <c r="N28" s="32">
        <v>943.91</v>
      </c>
      <c r="O28" s="32">
        <v>1278.67</v>
      </c>
      <c r="P28" s="64">
        <v>1302.3399999999999</v>
      </c>
    </row>
    <row r="29" spans="2:16" x14ac:dyDescent="0.3">
      <c r="B29" s="4" t="s">
        <v>52</v>
      </c>
      <c r="C29" s="29">
        <f>C25+C28+C26</f>
        <v>-2907.4699999999993</v>
      </c>
      <c r="D29" s="29">
        <f t="shared" ref="D29:G29" si="10">D25+D28+D26</f>
        <v>720.98000000000252</v>
      </c>
      <c r="E29" s="29">
        <f t="shared" si="10"/>
        <v>1483.8300000000022</v>
      </c>
      <c r="F29" s="29">
        <f t="shared" si="10"/>
        <v>3022.1000000000022</v>
      </c>
      <c r="G29" s="29">
        <f t="shared" si="10"/>
        <v>2478.5199999999936</v>
      </c>
      <c r="H29" s="29">
        <f>H25+H28+H26</f>
        <v>2691.6499999999951</v>
      </c>
      <c r="J29" s="1" t="s">
        <v>116</v>
      </c>
      <c r="K29" s="32">
        <v>130.97999999999999</v>
      </c>
      <c r="L29" s="32">
        <v>554.5</v>
      </c>
      <c r="M29" s="32">
        <v>886.97</v>
      </c>
      <c r="N29" s="32">
        <v>1442.39</v>
      </c>
      <c r="O29" s="32">
        <v>536.42999999999995</v>
      </c>
      <c r="P29" s="64">
        <v>709.33</v>
      </c>
    </row>
    <row r="30" spans="2:16" x14ac:dyDescent="0.3">
      <c r="B30" s="16" t="s">
        <v>53</v>
      </c>
      <c r="C30" s="13">
        <f>IF(C29/C5&gt;100%,"N.A.",IF(C29/C5&lt;-100%,"N.A.",(C29/C5)))</f>
        <v>-0.14575296785180214</v>
      </c>
      <c r="D30" s="13">
        <f>IF(D29/D5&gt;100%,"N.A.",IF(D29/D5&lt;-100%,"N.A.",(D29/D5)))</f>
        <v>2.1328844586509278E-2</v>
      </c>
      <c r="E30" s="13">
        <f t="shared" ref="E30:G30" si="11">IF(E29/E5&gt;100%,"N.A.",IF(E29/E5&lt;-100%,"N.A.",(E29/E5)))</f>
        <v>3.8133486090348223E-2</v>
      </c>
      <c r="F30" s="31">
        <f t="shared" si="11"/>
        <v>6.6505901708322115E-2</v>
      </c>
      <c r="G30" s="31">
        <f t="shared" si="11"/>
        <v>4.8661796665029775E-2</v>
      </c>
      <c r="H30" s="31">
        <f>IF(H29/H5&gt;100%,"N.A.",IF(H29/H5&lt;-100%,"N.A.",(H29/H5)))</f>
        <v>5.2749090586982357E-2</v>
      </c>
      <c r="I30" s="26"/>
      <c r="J30" s="1" t="s">
        <v>115</v>
      </c>
      <c r="K30" s="32">
        <v>6618.17</v>
      </c>
      <c r="L30" s="32">
        <v>2113.0500000000002</v>
      </c>
      <c r="M30" s="32">
        <v>2094.79</v>
      </c>
      <c r="N30" s="32">
        <v>2033.13</v>
      </c>
      <c r="O30" s="32">
        <v>11641.84</v>
      </c>
      <c r="P30" s="64">
        <v>14941.47</v>
      </c>
    </row>
    <row r="31" spans="2:16" x14ac:dyDescent="0.3">
      <c r="B31" s="16" t="s">
        <v>36</v>
      </c>
      <c r="C31" s="12"/>
      <c r="D31" s="12">
        <f>D29/C29-1</f>
        <v>-1.2479750435946038</v>
      </c>
      <c r="E31" s="12">
        <f>E29/D29-1</f>
        <v>1.0580737329745582</v>
      </c>
      <c r="F31" s="12">
        <f>F29/E29-1</f>
        <v>1.0366888390179452</v>
      </c>
      <c r="G31" s="30">
        <f>IF(G29/F29-1&gt;100%,"N.A.",IF(G29/F29-1&lt;-100%,"N.A.",G29/F29-1))</f>
        <v>-0.17986830349757066</v>
      </c>
      <c r="H31" s="30">
        <f>IF(H29/G29-1&gt;100%,"N.A.",IF(H29/G29-1&lt;-100%,"N.A.",H29/G29-1))</f>
        <v>8.5990833239191877E-2</v>
      </c>
      <c r="J31" s="4" t="s">
        <v>15</v>
      </c>
      <c r="K31" s="29">
        <f t="shared" ref="K31:P31" si="12">SUM(K18:K30)</f>
        <v>29534.909999999996</v>
      </c>
      <c r="L31" s="29">
        <f t="shared" si="12"/>
        <v>31517.05</v>
      </c>
      <c r="M31" s="29">
        <f t="shared" si="12"/>
        <v>32326.770000000004</v>
      </c>
      <c r="N31" s="29">
        <f t="shared" si="12"/>
        <v>31787.020000000004</v>
      </c>
      <c r="O31" s="29">
        <f t="shared" si="12"/>
        <v>39491.75</v>
      </c>
      <c r="P31" s="29">
        <f>SUM(P18:P30)</f>
        <v>40904.370000000003</v>
      </c>
    </row>
    <row r="32" spans="2:16" x14ac:dyDescent="0.3">
      <c r="B32" s="16" t="s">
        <v>45</v>
      </c>
      <c r="C32" s="12"/>
      <c r="D32" s="12"/>
      <c r="E32" s="12"/>
      <c r="F32" s="30" t="str">
        <f>IF((F29/C29)^(1/3)-1&lt;-100%,"N.A.",IF((F29/C29)^(1/3)-1&gt;100%,"N.A.",((F29/C29)^(1/3)-1)))</f>
        <v>N.A.</v>
      </c>
      <c r="G32" s="30">
        <f>IF((G29/D29)^(1/3)-1&lt;-100%,"N.A.",IF((G29/D29)^(1/3)-1&gt;100%,"N.A.",((G29/D29)^(1/3)-1)))</f>
        <v>0.50923338480475011</v>
      </c>
      <c r="H32" s="30">
        <f>IF((H29/E29)^(1/3)-1&lt;-100%,"N.A.",IF((H29/E29)^(1/3)-1&gt;100%,"N.A.",((H29/E29)^(1/3)-1)))</f>
        <v>0.21958333108777817</v>
      </c>
      <c r="J32" s="3" t="s">
        <v>16</v>
      </c>
      <c r="K32" s="32"/>
      <c r="L32" s="32"/>
      <c r="M32" s="32"/>
      <c r="N32" s="32"/>
      <c r="O32" s="32"/>
      <c r="P32" s="32"/>
    </row>
    <row r="33" spans="2:16" x14ac:dyDescent="0.3">
      <c r="B33" s="1" t="s">
        <v>106</v>
      </c>
      <c r="C33" s="57"/>
      <c r="D33" s="57"/>
      <c r="E33" s="59">
        <v>178.69</v>
      </c>
      <c r="F33" s="59">
        <v>-119.73</v>
      </c>
      <c r="G33" s="58"/>
      <c r="H33" s="58"/>
      <c r="J33" s="1" t="s">
        <v>18</v>
      </c>
      <c r="K33" s="32">
        <v>36302.81</v>
      </c>
      <c r="L33" s="32">
        <v>35905.949999999997</v>
      </c>
      <c r="M33" s="32">
        <v>36762.97</v>
      </c>
      <c r="N33" s="32">
        <v>37918.589999999997</v>
      </c>
      <c r="O33" s="32">
        <v>10923.58</v>
      </c>
      <c r="P33" s="64">
        <v>9783.3700000000008</v>
      </c>
    </row>
    <row r="34" spans="2:16" x14ac:dyDescent="0.3">
      <c r="B34" s="1" t="s">
        <v>100</v>
      </c>
      <c r="C34" s="11">
        <v>45.28</v>
      </c>
      <c r="D34" s="11">
        <v>-72.430000000000007</v>
      </c>
      <c r="E34" s="11">
        <v>-123.96</v>
      </c>
      <c r="F34" s="32">
        <v>-56.9</v>
      </c>
      <c r="G34" s="32">
        <v>0.66</v>
      </c>
      <c r="H34" s="64">
        <v>337.64</v>
      </c>
      <c r="J34" s="1" t="s">
        <v>19</v>
      </c>
      <c r="K34" s="32"/>
      <c r="L34" s="32"/>
      <c r="M34" s="32"/>
      <c r="N34" s="32"/>
      <c r="O34" s="32"/>
      <c r="P34" s="32"/>
    </row>
    <row r="35" spans="2:16" x14ac:dyDescent="0.3">
      <c r="B35" s="1"/>
      <c r="C35" s="1"/>
      <c r="D35" s="1"/>
      <c r="E35" s="1"/>
      <c r="F35" s="37"/>
      <c r="G35" s="37"/>
      <c r="H35" s="37"/>
      <c r="J35" s="1" t="s">
        <v>118</v>
      </c>
      <c r="K35" s="32">
        <v>0</v>
      </c>
      <c r="L35" s="32">
        <v>0</v>
      </c>
      <c r="M35" s="32">
        <v>0</v>
      </c>
      <c r="N35" s="32">
        <v>0</v>
      </c>
      <c r="O35" s="42">
        <v>1109.4100000000001</v>
      </c>
      <c r="P35" s="64">
        <v>97.69</v>
      </c>
    </row>
    <row r="36" spans="2:16" x14ac:dyDescent="0.3">
      <c r="B36" s="4" t="s">
        <v>54</v>
      </c>
      <c r="C36" s="38">
        <f>C29+C33+C34</f>
        <v>-2862.1899999999991</v>
      </c>
      <c r="D36" s="38">
        <f>D29+D33+D34</f>
        <v>648.55000000000246</v>
      </c>
      <c r="E36" s="38">
        <f>E29+E33+E34</f>
        <v>1538.5600000000022</v>
      </c>
      <c r="F36" s="38">
        <f>F29+F33+F34</f>
        <v>2845.4700000000021</v>
      </c>
      <c r="G36" s="38">
        <f>G29+G34</f>
        <v>2479.1799999999935</v>
      </c>
      <c r="H36" s="38">
        <f>H29+H34</f>
        <v>3029.289999999995</v>
      </c>
      <c r="I36" s="26"/>
      <c r="J36" s="1" t="s">
        <v>112</v>
      </c>
      <c r="K36" s="32">
        <v>4336.3500000000004</v>
      </c>
      <c r="L36" s="32">
        <v>5619.27</v>
      </c>
      <c r="M36" s="32">
        <v>5038.74</v>
      </c>
      <c r="N36" s="32">
        <v>5539.21</v>
      </c>
      <c r="O36" s="32">
        <v>7537.47</v>
      </c>
      <c r="P36" s="64">
        <v>5979.22</v>
      </c>
    </row>
    <row r="37" spans="2:16" x14ac:dyDescent="0.3">
      <c r="B37" s="16" t="s">
        <v>36</v>
      </c>
      <c r="C37" s="13"/>
      <c r="D37" s="12" t="str">
        <f>IF(D36/C36-1&gt;100%,"N.A.",IF(D36/C36-1&lt;-100%,"N.A.",(D36/C36-1)))</f>
        <v>N.A.</v>
      </c>
      <c r="E37" s="12" t="str">
        <f>IF(E36/D36-1&gt;100%,"N.A.",IF(E36/D36-1&lt;-100%,"N.A.",(E36/D36-1)))</f>
        <v>N.A.</v>
      </c>
      <c r="F37" s="31">
        <f>IF(F36/E36-1&gt;100%,"N.A.",IF(F36/E36-1&lt;-100%,"N.A.",(F36/E36-1)))</f>
        <v>0.84943713602329329</v>
      </c>
      <c r="G37" s="31">
        <f>IF(G36/F36-1&gt;100%,"N.A.",IF(G36/F36-1&lt;-100%,"N.A.",(G36/F36-1)))</f>
        <v>-0.1287274158574887</v>
      </c>
      <c r="H37" s="31">
        <f>IF(H36/G36-1&gt;100%,"N.A.",IF(H36/G36-1&lt;-100%,"N.A.",(H36/G36-1)))</f>
        <v>0.22189191587541157</v>
      </c>
      <c r="J37" s="1" t="s">
        <v>119</v>
      </c>
      <c r="K37" s="32">
        <v>1949.22</v>
      </c>
      <c r="L37" s="32">
        <v>2605.7800000000002</v>
      </c>
      <c r="M37" s="32">
        <v>2083.0100000000002</v>
      </c>
      <c r="N37" s="32">
        <v>3387.54</v>
      </c>
      <c r="O37" s="32">
        <v>2579.1799999999998</v>
      </c>
      <c r="P37" s="64">
        <v>3796.22</v>
      </c>
    </row>
    <row r="38" spans="2:16" x14ac:dyDescent="0.3">
      <c r="B38" s="16" t="s">
        <v>45</v>
      </c>
      <c r="C38" s="13"/>
      <c r="D38" s="13"/>
      <c r="E38" s="13"/>
      <c r="F38" s="30" t="str">
        <f>IF((F36/C36)^(1/3)-1&lt;-100%,"N.A.",IF((F36/C36)^(1/3)-1&gt;100%,"N.A.",((F36/C36)^(1/3)-1)))</f>
        <v>N.A.</v>
      </c>
      <c r="G38" s="30">
        <f>IF((G36/D36)^(1/3)-1&lt;-100%,"N.A.",IF((G36/D36)^(1/3)-1&gt;100%,"N.A.",((G36/D36)^(1/3)-1)))</f>
        <v>0.56358513165542989</v>
      </c>
      <c r="H38" s="30">
        <f>IF((H36/E36)^(1/3)-1&lt;-100%,"N.A.",IF((H36/E36)^(1/3)-1&gt;100%,"N.A.",((H36/E36)^(1/3)-1)))</f>
        <v>0.25335896358746934</v>
      </c>
      <c r="J38" s="1" t="s">
        <v>120</v>
      </c>
      <c r="K38" s="32">
        <v>10.88</v>
      </c>
      <c r="L38" s="32">
        <v>7.15</v>
      </c>
      <c r="M38" s="32">
        <v>0</v>
      </c>
      <c r="N38" s="32">
        <v>0</v>
      </c>
      <c r="O38" s="32">
        <v>1949.33</v>
      </c>
      <c r="P38" s="64">
        <v>1607.15</v>
      </c>
    </row>
    <row r="39" spans="2:16" x14ac:dyDescent="0.3">
      <c r="B39" s="1" t="s">
        <v>57</v>
      </c>
      <c r="C39" s="18"/>
      <c r="D39" s="18"/>
      <c r="E39" s="18"/>
      <c r="F39" s="39"/>
      <c r="G39" s="39"/>
      <c r="H39" s="39"/>
      <c r="J39" s="1" t="s">
        <v>121</v>
      </c>
      <c r="K39" s="32">
        <v>297.37</v>
      </c>
      <c r="L39" s="32">
        <v>106.08</v>
      </c>
      <c r="M39" s="32">
        <v>59.58</v>
      </c>
      <c r="N39" s="32">
        <v>35.4</v>
      </c>
      <c r="O39" s="32">
        <v>30.82</v>
      </c>
      <c r="P39" s="64">
        <v>53.93</v>
      </c>
    </row>
    <row r="40" spans="2:16" x14ac:dyDescent="0.3">
      <c r="B40" s="20" t="s">
        <v>55</v>
      </c>
      <c r="C40" s="11">
        <v>-6.78</v>
      </c>
      <c r="D40" s="11">
        <v>1.52</v>
      </c>
      <c r="E40" s="11">
        <v>2.85</v>
      </c>
      <c r="F40" s="32">
        <v>3.64</v>
      </c>
      <c r="G40" s="32">
        <v>2.81</v>
      </c>
      <c r="H40" s="64">
        <v>2.92</v>
      </c>
      <c r="J40" s="1" t="s">
        <v>122</v>
      </c>
      <c r="K40" s="32">
        <v>775.01</v>
      </c>
      <c r="L40" s="32">
        <v>1950.13</v>
      </c>
      <c r="M40" s="32">
        <v>1407.35</v>
      </c>
      <c r="N40" s="32">
        <v>4143.34</v>
      </c>
      <c r="O40" s="32">
        <v>1303.9100000000001</v>
      </c>
      <c r="P40" s="64">
        <v>2145.4</v>
      </c>
    </row>
    <row r="41" spans="2:16" x14ac:dyDescent="0.3">
      <c r="B41" s="20" t="s">
        <v>56</v>
      </c>
      <c r="C41" s="11">
        <v>-6.78</v>
      </c>
      <c r="D41" s="11">
        <v>1.49</v>
      </c>
      <c r="E41" s="11">
        <v>2.0299999999999998</v>
      </c>
      <c r="F41" s="32">
        <v>3.54</v>
      </c>
      <c r="G41" s="32">
        <v>2.8</v>
      </c>
      <c r="H41" s="64">
        <v>2.84</v>
      </c>
      <c r="I41" s="26"/>
      <c r="J41" s="1" t="s">
        <v>137</v>
      </c>
      <c r="K41" s="32">
        <v>120.42</v>
      </c>
      <c r="L41" s="32">
        <v>125.58</v>
      </c>
      <c r="M41" s="32">
        <v>78.400000000000006</v>
      </c>
      <c r="N41" s="32">
        <v>13.75</v>
      </c>
      <c r="O41" s="32">
        <v>60.88</v>
      </c>
      <c r="P41" s="64">
        <v>54.96</v>
      </c>
    </row>
    <row r="42" spans="2:16" ht="13.5" customHeight="1" x14ac:dyDescent="0.3">
      <c r="B42" s="16" t="s">
        <v>36</v>
      </c>
      <c r="C42" s="12"/>
      <c r="D42" s="12" t="str">
        <f>IF(D41/C41-1&gt;100%,"N.A.",IF(D41/C41-1&lt;-100%,"N.A.",(D41/C41-1)))</f>
        <v>N.A.</v>
      </c>
      <c r="E42" s="12">
        <f>IF(E41/D41-1&gt;100%,"N.A.",IF(E41/D41-1&lt;-100%,"N.A.",(E41/D41-1)))</f>
        <v>0.36241610738255026</v>
      </c>
      <c r="F42" s="30">
        <f>IF(F41/E41-1&gt;100%,"N.A.",IF(F41/E41-1&lt;-100%,"N.A.",(F41/E41-1)))</f>
        <v>0.7438423645320198</v>
      </c>
      <c r="G42" s="30">
        <f>IF(G41/F41-1&gt;100%,"N.A.",IF(G41/F41-1&lt;-100%,"N.A.",(G41/F41-1)))</f>
        <v>-0.20903954802259894</v>
      </c>
      <c r="H42" s="30">
        <f>IF(H41/G41-1&gt;100%,"N.A.",IF(H41/G41-1&lt;-100%,"N.A.",(H41/G41-1)))</f>
        <v>1.4285714285714235E-2</v>
      </c>
      <c r="J42" s="1" t="s">
        <v>95</v>
      </c>
      <c r="K42" s="32">
        <v>7428.05</v>
      </c>
      <c r="L42" s="32">
        <v>7265.02</v>
      </c>
      <c r="M42" s="32">
        <v>6921</v>
      </c>
      <c r="N42" s="32">
        <v>7136.4</v>
      </c>
      <c r="O42" s="32">
        <v>30808.93</v>
      </c>
      <c r="P42" s="64">
        <v>30535.69</v>
      </c>
    </row>
    <row r="43" spans="2:16" x14ac:dyDescent="0.3">
      <c r="B43" s="16" t="s">
        <v>45</v>
      </c>
      <c r="C43" s="13"/>
      <c r="D43" s="12"/>
      <c r="E43" s="13"/>
      <c r="F43" s="30" t="str">
        <f>IF((F41/C41)^(1/3)-1&lt;-100%,"N.A.",IF((F41/C41)^(1/3)-1&gt;100%,"N.A.",((F41/C41)^(1/3)-1)))</f>
        <v>N.A.</v>
      </c>
      <c r="G43" s="30">
        <f>IF((G41/D41)^(1/3)-1&lt;-100%,"N.A.",IF((G41/D41)^(1/3)-1&gt;100%,"N.A.",((G41/D41)^(1/3)-1)))</f>
        <v>0.2340248944628931</v>
      </c>
      <c r="H43" s="30">
        <f>IF((H41/E41)^(1/3)-1&lt;-100%,"N.A.",IF((H41/E41)^(1/3)-1&gt;100%,"N.A.",((H41/E41)^(1/3)-1)))</f>
        <v>0.11842646226367193</v>
      </c>
      <c r="J43" s="1" t="s">
        <v>138</v>
      </c>
      <c r="K43" s="32">
        <v>116</v>
      </c>
      <c r="L43" s="32">
        <v>0</v>
      </c>
      <c r="M43" s="32">
        <v>2893.08</v>
      </c>
      <c r="N43" s="32">
        <v>0</v>
      </c>
      <c r="O43" s="32">
        <v>0</v>
      </c>
      <c r="P43" s="64">
        <v>260.25</v>
      </c>
    </row>
    <row r="44" spans="2:16" x14ac:dyDescent="0.3">
      <c r="F44" s="40"/>
      <c r="G44" s="40"/>
      <c r="H44" s="40"/>
      <c r="J44" s="4" t="s">
        <v>20</v>
      </c>
      <c r="K44" s="29">
        <f>SUM(K33:K43)</f>
        <v>51336.11</v>
      </c>
      <c r="L44" s="29">
        <f t="shared" ref="L44:P44" si="13">SUM(L33:L43)</f>
        <v>53584.960000000006</v>
      </c>
      <c r="M44" s="29">
        <f t="shared" si="13"/>
        <v>55244.130000000005</v>
      </c>
      <c r="N44" s="29">
        <f t="shared" si="13"/>
        <v>58174.23</v>
      </c>
      <c r="O44" s="29">
        <f t="shared" si="13"/>
        <v>56303.51</v>
      </c>
      <c r="P44" s="29">
        <f t="shared" si="13"/>
        <v>54313.880000000005</v>
      </c>
    </row>
    <row r="45" spans="2:16" x14ac:dyDescent="0.3">
      <c r="B45" s="6" t="s">
        <v>67</v>
      </c>
      <c r="C45" s="24" t="s">
        <v>1</v>
      </c>
      <c r="D45" s="24" t="s">
        <v>2</v>
      </c>
      <c r="E45" s="24" t="s">
        <v>3</v>
      </c>
      <c r="F45" s="28" t="s">
        <v>97</v>
      </c>
      <c r="G45" s="28" t="s">
        <v>101</v>
      </c>
      <c r="H45" s="28" t="s">
        <v>140</v>
      </c>
      <c r="J45" s="3" t="s">
        <v>21</v>
      </c>
      <c r="K45" s="45"/>
      <c r="L45" s="45"/>
      <c r="M45" s="45"/>
      <c r="N45" s="45"/>
      <c r="O45" s="45"/>
      <c r="P45" s="45"/>
    </row>
    <row r="46" spans="2:16" x14ac:dyDescent="0.3">
      <c r="B46" s="3" t="s">
        <v>62</v>
      </c>
      <c r="C46" s="11">
        <v>1132.49</v>
      </c>
      <c r="D46" s="11">
        <f>C51</f>
        <v>1980.61</v>
      </c>
      <c r="E46" s="11">
        <f t="shared" ref="E46:G46" si="14">D51</f>
        <v>2518.5099999999993</v>
      </c>
      <c r="F46" s="32">
        <f t="shared" si="14"/>
        <v>1885.4099999999989</v>
      </c>
      <c r="G46" s="32">
        <f t="shared" si="14"/>
        <v>3148.3999999999987</v>
      </c>
      <c r="H46" s="32">
        <f t="shared" ref="H46" si="15">G51</f>
        <v>2334.9799999999987</v>
      </c>
      <c r="J46" s="1" t="s">
        <v>22</v>
      </c>
      <c r="K46" s="45"/>
      <c r="L46" s="45"/>
      <c r="M46" s="45"/>
      <c r="N46" s="45"/>
      <c r="O46" s="45"/>
      <c r="P46" s="45"/>
    </row>
    <row r="47" spans="2:16" x14ac:dyDescent="0.3">
      <c r="B47" s="20" t="s">
        <v>58</v>
      </c>
      <c r="C47" s="11">
        <v>3887.04</v>
      </c>
      <c r="D47" s="11">
        <v>5373.24</v>
      </c>
      <c r="E47" s="11">
        <v>7023.19</v>
      </c>
      <c r="F47" s="32">
        <v>6878.25</v>
      </c>
      <c r="G47" s="32">
        <v>2789.87</v>
      </c>
      <c r="H47" s="64">
        <v>5601.02</v>
      </c>
      <c r="J47" s="1" t="s">
        <v>23</v>
      </c>
      <c r="K47" s="32">
        <v>7533.37</v>
      </c>
      <c r="L47" s="32">
        <v>7607.14</v>
      </c>
      <c r="M47" s="32">
        <v>5324.96</v>
      </c>
      <c r="N47" s="32">
        <v>5572.64</v>
      </c>
      <c r="O47" s="32">
        <v>3883.81</v>
      </c>
      <c r="P47" s="64">
        <v>2563.2399999999998</v>
      </c>
    </row>
    <row r="48" spans="2:16" x14ac:dyDescent="0.3">
      <c r="B48" s="20" t="s">
        <v>59</v>
      </c>
      <c r="C48" s="11">
        <v>68.790000000000006</v>
      </c>
      <c r="D48" s="11">
        <v>-1437.47</v>
      </c>
      <c r="E48" s="11">
        <v>-2241.41</v>
      </c>
      <c r="F48" s="32">
        <v>-1323.37</v>
      </c>
      <c r="G48" s="32">
        <v>-148.25</v>
      </c>
      <c r="H48" s="64">
        <v>849.86</v>
      </c>
      <c r="J48" s="1" t="s">
        <v>123</v>
      </c>
      <c r="K48" s="32">
        <v>270.83999999999997</v>
      </c>
      <c r="L48" s="32">
        <v>191.83</v>
      </c>
      <c r="M48" s="32">
        <v>78.19</v>
      </c>
      <c r="N48" s="32">
        <v>123.52</v>
      </c>
      <c r="O48" s="32">
        <v>123.44</v>
      </c>
      <c r="P48" s="64">
        <v>241.67</v>
      </c>
    </row>
    <row r="49" spans="2:16" x14ac:dyDescent="0.3">
      <c r="B49" s="20" t="s">
        <v>60</v>
      </c>
      <c r="C49" s="11">
        <v>-3107.71</v>
      </c>
      <c r="D49" s="11">
        <v>-3397.87</v>
      </c>
      <c r="E49" s="11">
        <v>-5414.88</v>
      </c>
      <c r="F49" s="32">
        <v>-4291.8900000000003</v>
      </c>
      <c r="G49" s="32">
        <v>-3455.04</v>
      </c>
      <c r="H49" s="64">
        <v>-5162.78</v>
      </c>
      <c r="J49" s="1" t="s">
        <v>124</v>
      </c>
      <c r="K49" s="46"/>
      <c r="L49" s="32"/>
      <c r="M49" s="32"/>
      <c r="N49" s="32"/>
      <c r="O49" s="32"/>
      <c r="P49" s="32"/>
    </row>
    <row r="50" spans="2:16" ht="28.8" x14ac:dyDescent="0.3">
      <c r="B50" s="9" t="s">
        <v>98</v>
      </c>
      <c r="C50" s="21">
        <f>SUM(C47:C49)</f>
        <v>848.11999999999989</v>
      </c>
      <c r="D50" s="21">
        <f t="shared" ref="D50:F50" si="16">SUM(D47:D49)</f>
        <v>537.89999999999964</v>
      </c>
      <c r="E50" s="21">
        <f t="shared" si="16"/>
        <v>-633.10000000000036</v>
      </c>
      <c r="F50" s="41">
        <f t="shared" si="16"/>
        <v>1262.9899999999998</v>
      </c>
      <c r="G50" s="41">
        <f>SUM(G47:G49)</f>
        <v>-813.42000000000007</v>
      </c>
      <c r="H50" s="41">
        <f>SUM(H47:H49)</f>
        <v>1288.1000000000004</v>
      </c>
      <c r="J50" s="2" t="s">
        <v>125</v>
      </c>
      <c r="K50" s="46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</row>
    <row r="51" spans="2:16" ht="28.8" x14ac:dyDescent="0.3">
      <c r="B51" s="22" t="s">
        <v>61</v>
      </c>
      <c r="C51" s="10">
        <f>C46+C50</f>
        <v>1980.61</v>
      </c>
      <c r="D51" s="10">
        <f t="shared" ref="D51:E51" si="17">D46+D50</f>
        <v>2518.5099999999993</v>
      </c>
      <c r="E51" s="10">
        <f t="shared" si="17"/>
        <v>1885.4099999999989</v>
      </c>
      <c r="F51" s="29">
        <f>F46+F50</f>
        <v>3148.3999999999987</v>
      </c>
      <c r="G51" s="29">
        <f>G46+G50</f>
        <v>2334.9799999999987</v>
      </c>
      <c r="H51" s="29">
        <f>H46+H50</f>
        <v>3623.079999999999</v>
      </c>
      <c r="J51" s="2" t="s">
        <v>126</v>
      </c>
      <c r="K51" s="46">
        <v>4779.22</v>
      </c>
      <c r="L51" s="32">
        <v>5771.25</v>
      </c>
      <c r="M51" s="32">
        <v>6182.14</v>
      </c>
      <c r="N51" s="32">
        <v>6391.52</v>
      </c>
      <c r="O51" s="32">
        <v>7166.32</v>
      </c>
      <c r="P51" s="64">
        <v>6630.68</v>
      </c>
    </row>
    <row r="52" spans="2:16" x14ac:dyDescent="0.3">
      <c r="J52" s="1" t="s">
        <v>127</v>
      </c>
      <c r="K52" s="46">
        <v>1478.17</v>
      </c>
      <c r="L52" s="32">
        <v>1912.39</v>
      </c>
      <c r="M52" s="32">
        <v>2042.57</v>
      </c>
      <c r="N52" s="32">
        <v>2266.9699999999998</v>
      </c>
      <c r="O52" s="32">
        <v>2397.86</v>
      </c>
      <c r="P52" s="64">
        <v>770.74</v>
      </c>
    </row>
    <row r="53" spans="2:16" x14ac:dyDescent="0.3">
      <c r="B53" s="6" t="s">
        <v>66</v>
      </c>
      <c r="C53" s="24" t="s">
        <v>1</v>
      </c>
      <c r="D53" s="25" t="s">
        <v>2</v>
      </c>
      <c r="E53" s="24" t="s">
        <v>3</v>
      </c>
      <c r="F53" s="28" t="s">
        <v>97</v>
      </c>
      <c r="G53" s="28" t="s">
        <v>101</v>
      </c>
      <c r="H53" s="28" t="s">
        <v>140</v>
      </c>
      <c r="J53" s="1" t="s">
        <v>128</v>
      </c>
      <c r="K53" s="46">
        <v>119.96</v>
      </c>
      <c r="L53" s="32">
        <v>148.54</v>
      </c>
      <c r="M53" s="32">
        <v>163.55000000000001</v>
      </c>
      <c r="N53" s="32">
        <v>100.69</v>
      </c>
      <c r="O53" s="32">
        <v>190.79</v>
      </c>
      <c r="P53" s="64">
        <v>227.48</v>
      </c>
    </row>
    <row r="54" spans="2:16" x14ac:dyDescent="0.3">
      <c r="B54" s="1" t="s">
        <v>63</v>
      </c>
      <c r="C54" s="11">
        <f>C47</f>
        <v>3887.04</v>
      </c>
      <c r="D54" s="11">
        <f>D47</f>
        <v>5373.24</v>
      </c>
      <c r="E54" s="11">
        <f t="shared" ref="E54" si="18">E47</f>
        <v>7023.19</v>
      </c>
      <c r="F54" s="32">
        <f>F47</f>
        <v>6878.25</v>
      </c>
      <c r="G54" s="32">
        <f>G47</f>
        <v>2789.87</v>
      </c>
      <c r="H54" s="64">
        <f>H47</f>
        <v>5601.02</v>
      </c>
      <c r="J54" s="1" t="s">
        <v>129</v>
      </c>
      <c r="K54" s="46">
        <v>7727.71</v>
      </c>
      <c r="L54" s="32">
        <v>6821.7</v>
      </c>
      <c r="M54" s="32">
        <v>5710.5</v>
      </c>
      <c r="N54" s="32">
        <v>3694.72</v>
      </c>
      <c r="O54" s="32">
        <v>2742</v>
      </c>
      <c r="P54" s="64">
        <v>2892.11</v>
      </c>
    </row>
    <row r="55" spans="2:16" x14ac:dyDescent="0.3">
      <c r="B55" s="1" t="s">
        <v>64</v>
      </c>
      <c r="C55" s="11">
        <f>-1334.76+197.22</f>
        <v>-1137.54</v>
      </c>
      <c r="D55" s="11">
        <v>-1664.79</v>
      </c>
      <c r="E55" s="67">
        <v>-1723.58</v>
      </c>
      <c r="F55" s="68">
        <f>-1592.77-196.68</f>
        <v>-1789.45</v>
      </c>
      <c r="G55" s="68">
        <f>-904.31+17.59</f>
        <v>-886.71999999999991</v>
      </c>
      <c r="H55" s="69">
        <f>-1098.33+17.07</f>
        <v>-1081.26</v>
      </c>
      <c r="J55" s="1" t="s">
        <v>130</v>
      </c>
      <c r="K55" s="46">
        <v>68.010000000000005</v>
      </c>
      <c r="L55" s="32">
        <v>64.73</v>
      </c>
      <c r="M55" s="32">
        <v>78.92</v>
      </c>
      <c r="N55" s="32">
        <v>28.34</v>
      </c>
      <c r="O55" s="32">
        <v>0</v>
      </c>
      <c r="P55" s="32">
        <v>0</v>
      </c>
    </row>
    <row r="56" spans="2:16" x14ac:dyDescent="0.3">
      <c r="B56" s="4" t="s">
        <v>65</v>
      </c>
      <c r="C56" s="10">
        <f t="shared" ref="C56:H56" si="19">C54+C55</f>
        <v>2749.5</v>
      </c>
      <c r="D56" s="10">
        <f t="shared" si="19"/>
        <v>3708.45</v>
      </c>
      <c r="E56" s="10">
        <f t="shared" si="19"/>
        <v>5299.61</v>
      </c>
      <c r="F56" s="29">
        <f t="shared" si="19"/>
        <v>5088.8</v>
      </c>
      <c r="G56" s="29">
        <f t="shared" si="19"/>
        <v>1903.15</v>
      </c>
      <c r="H56" s="29">
        <f t="shared" si="19"/>
        <v>4519.76</v>
      </c>
      <c r="J56" s="4" t="s">
        <v>24</v>
      </c>
      <c r="K56" s="29">
        <f t="shared" ref="K56:N56" si="20">SUM(K47:K55)</f>
        <v>21977.279999999999</v>
      </c>
      <c r="L56" s="29">
        <f t="shared" si="20"/>
        <v>22517.58</v>
      </c>
      <c r="M56" s="29">
        <f t="shared" si="20"/>
        <v>19580.829999999998</v>
      </c>
      <c r="N56" s="29">
        <f t="shared" si="20"/>
        <v>18178.400000000001</v>
      </c>
      <c r="O56" s="29">
        <f>SUM(O47:O55)</f>
        <v>16504.22</v>
      </c>
      <c r="P56" s="29">
        <f>SUM(P47:P55)</f>
        <v>13325.92</v>
      </c>
    </row>
    <row r="57" spans="2:16" x14ac:dyDescent="0.3">
      <c r="J57" s="3" t="s">
        <v>25</v>
      </c>
      <c r="K57" s="32"/>
      <c r="L57" s="32"/>
      <c r="M57" s="32"/>
      <c r="N57" s="32"/>
      <c r="O57" s="32"/>
      <c r="P57" s="32"/>
    </row>
    <row r="58" spans="2:16" x14ac:dyDescent="0.3">
      <c r="B58" s="6" t="s">
        <v>85</v>
      </c>
      <c r="C58" s="24" t="s">
        <v>1</v>
      </c>
      <c r="D58" s="24" t="s">
        <v>2</v>
      </c>
      <c r="E58" s="24" t="s">
        <v>3</v>
      </c>
      <c r="F58" s="28" t="s">
        <v>97</v>
      </c>
      <c r="G58" s="28" t="s">
        <v>101</v>
      </c>
      <c r="H58" s="28" t="s">
        <v>140</v>
      </c>
      <c r="J58" s="1" t="s">
        <v>22</v>
      </c>
      <c r="K58" s="32"/>
      <c r="L58" s="32"/>
      <c r="M58" s="32"/>
      <c r="N58" s="32"/>
      <c r="O58" s="32"/>
      <c r="P58" s="32"/>
    </row>
    <row r="59" spans="2:16" x14ac:dyDescent="0.3">
      <c r="B59" s="1" t="s">
        <v>88</v>
      </c>
      <c r="C59" s="11">
        <f>465453024/1000000</f>
        <v>465.45302400000003</v>
      </c>
      <c r="D59" s="11">
        <f>479230494/1000000</f>
        <v>479.23049400000002</v>
      </c>
      <c r="E59" s="11">
        <f>773617228/1000000</f>
        <v>773.61722799999995</v>
      </c>
      <c r="F59" s="32">
        <f>773617228/1000000</f>
        <v>773.61722799999995</v>
      </c>
      <c r="G59" s="32">
        <f>844376117/10^6</f>
        <v>844.37611700000002</v>
      </c>
      <c r="H59" s="32">
        <f>992141937/1000000</f>
        <v>992.14193699999998</v>
      </c>
      <c r="J59" s="1" t="s">
        <v>23</v>
      </c>
      <c r="K59" s="32">
        <v>15130.52</v>
      </c>
      <c r="L59" s="32">
        <v>15008.99</v>
      </c>
      <c r="M59" s="32">
        <v>12082.8</v>
      </c>
      <c r="N59" s="32">
        <v>13282.28</v>
      </c>
      <c r="O59" s="32">
        <v>12567.28</v>
      </c>
      <c r="P59" s="64">
        <v>9306.1</v>
      </c>
    </row>
    <row r="60" spans="2:16" x14ac:dyDescent="0.3">
      <c r="B60" s="1" t="s">
        <v>87</v>
      </c>
      <c r="C60" s="11">
        <v>1</v>
      </c>
      <c r="D60" s="11">
        <v>1</v>
      </c>
      <c r="E60" s="11">
        <v>1</v>
      </c>
      <c r="F60" s="32">
        <v>1</v>
      </c>
      <c r="G60" s="32">
        <v>1</v>
      </c>
      <c r="H60" s="32">
        <v>1</v>
      </c>
      <c r="J60" s="1" t="s">
        <v>131</v>
      </c>
      <c r="K60" s="32">
        <v>27.25</v>
      </c>
      <c r="L60" s="32">
        <v>110.45</v>
      </c>
      <c r="M60" s="32">
        <v>92.67</v>
      </c>
      <c r="N60" s="32">
        <v>120.65</v>
      </c>
      <c r="O60" s="32">
        <v>68.930000000000007</v>
      </c>
      <c r="P60" s="64">
        <v>49.88</v>
      </c>
    </row>
    <row r="61" spans="2:16" x14ac:dyDescent="0.3">
      <c r="B61" s="1" t="s">
        <v>86</v>
      </c>
      <c r="C61" s="11">
        <f>K77*C59</f>
        <v>5473.7275622400002</v>
      </c>
      <c r="D61" s="11">
        <f t="shared" ref="D61:H61" si="21">L77*D59</f>
        <v>11836.9932018</v>
      </c>
      <c r="E61" s="11">
        <f t="shared" si="21"/>
        <v>11596.522247719999</v>
      </c>
      <c r="F61" s="32">
        <f t="shared" si="21"/>
        <v>46618.174159279995</v>
      </c>
      <c r="G61" s="32">
        <f t="shared" si="21"/>
        <v>33994.582470419999</v>
      </c>
      <c r="H61" s="32">
        <f>P77*H59</f>
        <v>22055.31525951</v>
      </c>
      <c r="J61" s="1" t="s">
        <v>132</v>
      </c>
      <c r="K61" s="32"/>
      <c r="L61" s="32"/>
      <c r="M61" s="32"/>
      <c r="N61" s="32"/>
      <c r="O61" s="32"/>
      <c r="P61" s="64"/>
    </row>
    <row r="62" spans="2:16" x14ac:dyDescent="0.3">
      <c r="B62" s="1" t="s">
        <v>68</v>
      </c>
      <c r="C62" s="11">
        <f>K12</f>
        <v>22663.89</v>
      </c>
      <c r="D62" s="11">
        <f t="shared" ref="D62:H62" si="22">L12</f>
        <v>22616.13</v>
      </c>
      <c r="E62" s="11">
        <f t="shared" si="22"/>
        <v>17407.759999999998</v>
      </c>
      <c r="F62" s="32">
        <f t="shared" si="22"/>
        <v>18854.920000000002</v>
      </c>
      <c r="G62" s="32">
        <f t="shared" si="22"/>
        <v>16451.09</v>
      </c>
      <c r="H62" s="32">
        <f>P12</f>
        <v>11869.34</v>
      </c>
      <c r="J62" s="1" t="s">
        <v>26</v>
      </c>
      <c r="K62" s="32">
        <v>45.62</v>
      </c>
      <c r="L62" s="46">
        <v>96.84</v>
      </c>
      <c r="M62" s="32">
        <v>93.81</v>
      </c>
      <c r="N62" s="32">
        <v>274.31</v>
      </c>
      <c r="O62" s="32">
        <v>461.05</v>
      </c>
      <c r="P62" s="64">
        <v>881.28</v>
      </c>
    </row>
    <row r="63" spans="2:16" ht="28.8" x14ac:dyDescent="0.3">
      <c r="B63" s="7" t="s">
        <v>69</v>
      </c>
      <c r="C63" s="11">
        <f>K37+K38</f>
        <v>1960.1000000000001</v>
      </c>
      <c r="D63" s="11">
        <f t="shared" ref="D63:H63" si="23">L37+L38</f>
        <v>2612.9300000000003</v>
      </c>
      <c r="E63" s="11">
        <f>M37+M38</f>
        <v>2083.0100000000002</v>
      </c>
      <c r="F63" s="60">
        <f>N37+N38</f>
        <v>3387.54</v>
      </c>
      <c r="G63" s="32">
        <f t="shared" si="23"/>
        <v>4528.51</v>
      </c>
      <c r="H63" s="32">
        <f>P37+P38</f>
        <v>5403.37</v>
      </c>
      <c r="J63" s="2" t="s">
        <v>27</v>
      </c>
      <c r="K63" s="32">
        <v>12050.97</v>
      </c>
      <c r="L63" s="32">
        <v>13141.2</v>
      </c>
      <c r="M63" s="32">
        <v>14942.4</v>
      </c>
      <c r="N63" s="32">
        <v>18366.64</v>
      </c>
      <c r="O63" s="32">
        <v>20722.93</v>
      </c>
      <c r="P63" s="64">
        <v>20747.990000000002</v>
      </c>
    </row>
    <row r="64" spans="2:16" x14ac:dyDescent="0.3">
      <c r="B64" s="4" t="s">
        <v>70</v>
      </c>
      <c r="C64" s="29">
        <f t="shared" ref="C64:H64" si="24">SUM(C61:C62)-C63</f>
        <v>26177.517562240002</v>
      </c>
      <c r="D64" s="29">
        <f t="shared" si="24"/>
        <v>31840.193201800001</v>
      </c>
      <c r="E64" s="29">
        <f t="shared" si="24"/>
        <v>26921.272247719993</v>
      </c>
      <c r="F64" s="29">
        <f t="shared" si="24"/>
        <v>62085.554159279993</v>
      </c>
      <c r="G64" s="29">
        <f t="shared" si="24"/>
        <v>45917.16247042</v>
      </c>
      <c r="H64" s="29">
        <f>SUM(H61:H62)-H63</f>
        <v>28521.285259510001</v>
      </c>
      <c r="J64" s="1" t="s">
        <v>133</v>
      </c>
      <c r="K64" s="32">
        <v>288.20999999999998</v>
      </c>
      <c r="L64" s="32">
        <v>220.08</v>
      </c>
      <c r="M64" s="32">
        <v>259.33</v>
      </c>
      <c r="N64" s="32">
        <v>333.29</v>
      </c>
      <c r="O64" s="32">
        <v>572.09</v>
      </c>
      <c r="P64" s="64">
        <v>541.19000000000005</v>
      </c>
    </row>
    <row r="65" spans="10:16" x14ac:dyDescent="0.3">
      <c r="J65" s="1" t="s">
        <v>134</v>
      </c>
      <c r="K65" s="32">
        <v>63.77</v>
      </c>
      <c r="L65" s="32">
        <v>59.68</v>
      </c>
      <c r="M65" s="43">
        <v>50.57</v>
      </c>
      <c r="N65" s="32">
        <v>54.96</v>
      </c>
      <c r="O65" s="32">
        <v>91.31</v>
      </c>
      <c r="P65" s="64">
        <v>44.19</v>
      </c>
    </row>
    <row r="66" spans="10:16" x14ac:dyDescent="0.3">
      <c r="J66" s="1" t="s">
        <v>135</v>
      </c>
      <c r="K66" s="32">
        <v>7478.84</v>
      </c>
      <c r="L66" s="32">
        <v>9396.02</v>
      </c>
      <c r="M66" s="32">
        <v>9734.94</v>
      </c>
      <c r="N66" s="32">
        <v>7733.43</v>
      </c>
      <c r="O66" s="32">
        <v>7038.91</v>
      </c>
      <c r="P66" s="64">
        <v>5901.21</v>
      </c>
    </row>
    <row r="67" spans="10:16" x14ac:dyDescent="0.3">
      <c r="J67" s="1" t="s">
        <v>139</v>
      </c>
      <c r="K67" s="32"/>
      <c r="L67" s="32"/>
      <c r="M67" s="32">
        <v>975.79</v>
      </c>
      <c r="N67" s="32"/>
      <c r="O67" s="32">
        <v>0</v>
      </c>
      <c r="P67" s="32">
        <v>0</v>
      </c>
    </row>
    <row r="68" spans="10:16" x14ac:dyDescent="0.3">
      <c r="J68" s="4" t="s">
        <v>28</v>
      </c>
      <c r="K68" s="29">
        <f t="shared" ref="K68:P68" si="25">SUM(K59:K67)</f>
        <v>35085.18</v>
      </c>
      <c r="L68" s="29">
        <f t="shared" si="25"/>
        <v>38033.260000000009</v>
      </c>
      <c r="M68" s="29">
        <f t="shared" si="25"/>
        <v>38232.310000000005</v>
      </c>
      <c r="N68" s="29">
        <f t="shared" si="25"/>
        <v>40165.56</v>
      </c>
      <c r="O68" s="29">
        <f t="shared" si="25"/>
        <v>41522.5</v>
      </c>
      <c r="P68" s="29">
        <f t="shared" si="25"/>
        <v>37471.839999999997</v>
      </c>
    </row>
    <row r="70" spans="10:16" x14ac:dyDescent="0.3">
      <c r="J70" s="4" t="s">
        <v>29</v>
      </c>
      <c r="K70" s="38">
        <f>K44-K68</f>
        <v>16250.93</v>
      </c>
      <c r="L70" s="38">
        <f t="shared" ref="L70:P70" si="26">L44-L68</f>
        <v>15551.699999999997</v>
      </c>
      <c r="M70" s="38">
        <f t="shared" si="26"/>
        <v>17011.82</v>
      </c>
      <c r="N70" s="38">
        <f t="shared" si="26"/>
        <v>18008.670000000006</v>
      </c>
      <c r="O70" s="38">
        <f t="shared" si="26"/>
        <v>14781.010000000002</v>
      </c>
      <c r="P70" s="38">
        <f>P44-P68</f>
        <v>16842.040000000008</v>
      </c>
    </row>
    <row r="71" spans="10:16" x14ac:dyDescent="0.3">
      <c r="J71" s="1"/>
      <c r="K71" s="39"/>
      <c r="L71" s="39"/>
      <c r="M71" s="39"/>
      <c r="N71" s="39"/>
      <c r="O71" s="39"/>
      <c r="P71" s="39"/>
    </row>
    <row r="72" spans="10:16" x14ac:dyDescent="0.3">
      <c r="J72" s="4" t="s">
        <v>30</v>
      </c>
      <c r="K72" s="38">
        <f>K44+K31</f>
        <v>80871.01999999999</v>
      </c>
      <c r="L72" s="38">
        <f t="shared" ref="L72:P72" si="27">L44+L31</f>
        <v>85102.010000000009</v>
      </c>
      <c r="M72" s="38">
        <f t="shared" si="27"/>
        <v>87570.900000000009</v>
      </c>
      <c r="N72" s="38">
        <f t="shared" si="27"/>
        <v>89961.25</v>
      </c>
      <c r="O72" s="38">
        <f t="shared" si="27"/>
        <v>95795.260000000009</v>
      </c>
      <c r="P72" s="38">
        <f>P44+P31</f>
        <v>95218.25</v>
      </c>
    </row>
    <row r="73" spans="10:16" x14ac:dyDescent="0.3">
      <c r="J73" s="4" t="s">
        <v>31</v>
      </c>
      <c r="K73" s="38">
        <f>K56+K68</f>
        <v>57062.46</v>
      </c>
      <c r="L73" s="38">
        <f t="shared" ref="L73:P73" si="28">L56+L68</f>
        <v>60550.840000000011</v>
      </c>
      <c r="M73" s="38">
        <f t="shared" si="28"/>
        <v>57813.14</v>
      </c>
      <c r="N73" s="38">
        <f t="shared" si="28"/>
        <v>58343.96</v>
      </c>
      <c r="O73" s="38">
        <f t="shared" si="28"/>
        <v>58026.720000000001</v>
      </c>
      <c r="P73" s="38">
        <f>P56+P68</f>
        <v>50797.759999999995</v>
      </c>
    </row>
    <row r="74" spans="10:16" x14ac:dyDescent="0.3">
      <c r="J74" s="4" t="s">
        <v>32</v>
      </c>
      <c r="K74" s="38">
        <f>K73+K7+K9</f>
        <v>80871.01999999999</v>
      </c>
      <c r="L74" s="38">
        <f>L73+L7+L9</f>
        <v>85101.24000000002</v>
      </c>
      <c r="M74" s="38">
        <f>M73+M7+M9</f>
        <v>87570.9</v>
      </c>
      <c r="N74" s="38">
        <f>N68+N7+N56</f>
        <v>89961.25</v>
      </c>
      <c r="O74" s="38">
        <f>O68+O7+O56</f>
        <v>95795.26</v>
      </c>
      <c r="P74" s="38">
        <f>P68+P7+P56</f>
        <v>95218.249999999985</v>
      </c>
    </row>
    <row r="75" spans="10:16" x14ac:dyDescent="0.3">
      <c r="K75" s="40"/>
      <c r="L75" s="40"/>
      <c r="M75" s="40"/>
      <c r="N75" s="40"/>
    </row>
    <row r="76" spans="10:16" x14ac:dyDescent="0.3">
      <c r="J76" s="6" t="s">
        <v>93</v>
      </c>
      <c r="K76" s="28" t="s">
        <v>1</v>
      </c>
      <c r="L76" s="28" t="s">
        <v>2</v>
      </c>
      <c r="M76" s="28" t="s">
        <v>3</v>
      </c>
      <c r="N76" s="28" t="s">
        <v>97</v>
      </c>
      <c r="O76" s="28" t="s">
        <v>101</v>
      </c>
      <c r="P76" s="28" t="s">
        <v>140</v>
      </c>
    </row>
    <row r="77" spans="10:16" x14ac:dyDescent="0.3">
      <c r="J77" s="1" t="s">
        <v>91</v>
      </c>
      <c r="K77" s="47">
        <v>11.76</v>
      </c>
      <c r="L77" s="47">
        <v>24.7</v>
      </c>
      <c r="M77" s="47">
        <v>14.99</v>
      </c>
      <c r="N77" s="47">
        <v>60.26</v>
      </c>
      <c r="O77" s="47">
        <v>40.26</v>
      </c>
      <c r="P77" s="70">
        <v>22.23</v>
      </c>
    </row>
    <row r="78" spans="10:16" x14ac:dyDescent="0.3">
      <c r="J78" s="23" t="s">
        <v>99</v>
      </c>
      <c r="K78" s="36">
        <f t="shared" ref="K78:P78" si="29">C41</f>
        <v>-6.78</v>
      </c>
      <c r="L78" s="36">
        <f t="shared" si="29"/>
        <v>1.49</v>
      </c>
      <c r="M78" s="36">
        <f t="shared" si="29"/>
        <v>2.0299999999999998</v>
      </c>
      <c r="N78" s="36">
        <f t="shared" si="29"/>
        <v>3.54</v>
      </c>
      <c r="O78" s="36">
        <f t="shared" si="29"/>
        <v>2.8</v>
      </c>
      <c r="P78" s="36">
        <f>H41</f>
        <v>2.84</v>
      </c>
    </row>
    <row r="79" spans="10:16" x14ac:dyDescent="0.3">
      <c r="J79" s="23" t="s">
        <v>89</v>
      </c>
      <c r="K79" s="36">
        <f>K8/C59</f>
        <v>49.834588678061735</v>
      </c>
      <c r="L79" s="36">
        <f t="shared" ref="L79:P79" si="30">L8/D59</f>
        <v>49.738696302577104</v>
      </c>
      <c r="M79" s="36">
        <f t="shared" si="30"/>
        <v>37.330554381087282</v>
      </c>
      <c r="N79" s="36">
        <f t="shared" si="30"/>
        <v>40.869423347433518</v>
      </c>
      <c r="O79" s="36">
        <f t="shared" si="30"/>
        <v>44.729521879643585</v>
      </c>
      <c r="P79" s="56">
        <f>P8/H59</f>
        <v>44.772313661407097</v>
      </c>
    </row>
    <row r="80" spans="10:16" x14ac:dyDescent="0.3">
      <c r="J80" s="1" t="s">
        <v>90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56" t="s">
        <v>102</v>
      </c>
    </row>
    <row r="81" spans="10:16" x14ac:dyDescent="0.3">
      <c r="J81" s="1" t="s">
        <v>71</v>
      </c>
      <c r="K81" s="47">
        <f t="shared" ref="K81:M81" si="31">K77/K78</f>
        <v>-1.734513274336283</v>
      </c>
      <c r="L81" s="47">
        <f t="shared" si="31"/>
        <v>16.577181208053691</v>
      </c>
      <c r="M81" s="47">
        <f t="shared" si="31"/>
        <v>7.3842364532019715</v>
      </c>
      <c r="N81" s="47">
        <f>N77/N78</f>
        <v>17.022598870056495</v>
      </c>
      <c r="O81" s="47">
        <f>O77/O78</f>
        <v>14.378571428571428</v>
      </c>
      <c r="P81" s="56">
        <f>P77/P78</f>
        <v>7.8274647887323949</v>
      </c>
    </row>
    <row r="82" spans="10:16" x14ac:dyDescent="0.3">
      <c r="J82" s="1" t="s">
        <v>72</v>
      </c>
      <c r="K82" s="47">
        <f t="shared" ref="K82:M82" si="32">K77/K79</f>
        <v>0.23598067751639748</v>
      </c>
      <c r="L82" s="47">
        <f t="shared" si="32"/>
        <v>0.4965952434647995</v>
      </c>
      <c r="M82" s="47">
        <f t="shared" si="32"/>
        <v>0.40154774683963329</v>
      </c>
      <c r="N82" s="47">
        <f>N77/N79</f>
        <v>1.4744519267552658</v>
      </c>
      <c r="O82" s="47">
        <f>O77/O79</f>
        <v>0.90007669002879132</v>
      </c>
      <c r="P82" s="56">
        <f>P77/P79</f>
        <v>0.49651220100251037</v>
      </c>
    </row>
    <row r="83" spans="10:16" x14ac:dyDescent="0.3">
      <c r="J83" s="1" t="s">
        <v>73</v>
      </c>
      <c r="K83" s="47">
        <v>0</v>
      </c>
      <c r="L83" s="47">
        <v>0</v>
      </c>
      <c r="M83" s="47">
        <v>0</v>
      </c>
      <c r="N83" s="47">
        <f>F64/F14</f>
        <v>8.9940741422176593</v>
      </c>
      <c r="O83" s="47">
        <f>G64/G14</f>
        <v>6.262655310413404</v>
      </c>
      <c r="P83" s="56">
        <f>H64/H14</f>
        <v>4.1695712873205153</v>
      </c>
    </row>
    <row r="84" spans="10:16" x14ac:dyDescent="0.3">
      <c r="J84" s="1" t="s">
        <v>92</v>
      </c>
      <c r="K84" s="47">
        <f>C5/AVERAGE(K74:K74)</f>
        <v>0.24666351432194131</v>
      </c>
      <c r="L84" s="47">
        <f>D5/AVERAGE(K74:L74)</f>
        <v>0.40733373155248959</v>
      </c>
      <c r="M84" s="47">
        <f>E5/AVERAGE(L74:M74)</f>
        <v>0.45069772112629169</v>
      </c>
      <c r="N84" s="47">
        <f>F5/AVERAGE(M74:N74)</f>
        <v>0.5119194467030338</v>
      </c>
      <c r="O84" s="47">
        <f>G5/AVERAGE(N74:O74)</f>
        <v>0.54839090161631476</v>
      </c>
      <c r="P84" s="56">
        <f>H5/AVERAGE(O72:P72)</f>
        <v>0.53428074276002779</v>
      </c>
    </row>
    <row r="85" spans="10:16" x14ac:dyDescent="0.3">
      <c r="J85" s="23" t="s">
        <v>74</v>
      </c>
      <c r="K85" s="48">
        <f t="shared" ref="K85:P85" si="33">C29/K8</f>
        <v>-0.12534543099872991</v>
      </c>
      <c r="L85" s="48">
        <f t="shared" si="33"/>
        <v>3.024714406178822E-2</v>
      </c>
      <c r="M85" s="48">
        <f t="shared" si="33"/>
        <v>5.137993792149196E-2</v>
      </c>
      <c r="N85" s="48">
        <f t="shared" si="33"/>
        <v>9.5583777104236392E-2</v>
      </c>
      <c r="O85" s="48">
        <f t="shared" si="33"/>
        <v>6.5623929333778697E-2</v>
      </c>
      <c r="P85" s="62">
        <f>H29/P8</f>
        <v>6.0594784073746043E-2</v>
      </c>
    </row>
    <row r="86" spans="10:16" x14ac:dyDescent="0.3">
      <c r="J86" s="23" t="s">
        <v>75</v>
      </c>
      <c r="K86" s="48">
        <f t="shared" ref="K86:P86" si="34">(C22+C20)/K14</f>
        <v>1.2575940509118116E-2</v>
      </c>
      <c r="L86" s="48">
        <f t="shared" si="34"/>
        <v>0.11293133888473655</v>
      </c>
      <c r="M86" s="48">
        <f t="shared" si="34"/>
        <v>0.12055269516214391</v>
      </c>
      <c r="N86" s="48">
        <f t="shared" si="34"/>
        <v>0.1538202438448826</v>
      </c>
      <c r="O86" s="48">
        <f t="shared" si="34"/>
        <v>0.11958559685961148</v>
      </c>
      <c r="P86" s="62">
        <f>(H22+H20)/P14</f>
        <v>0.10110862257773351</v>
      </c>
    </row>
    <row r="87" spans="10:16" x14ac:dyDescent="0.3">
      <c r="J87" s="1" t="s">
        <v>76</v>
      </c>
      <c r="K87" s="47">
        <f t="shared" ref="K87:P87" si="35">K12/K8</f>
        <v>0.97707459067773883</v>
      </c>
      <c r="L87" s="47">
        <f t="shared" si="35"/>
        <v>0.94881042779290414</v>
      </c>
      <c r="M87" s="47">
        <f t="shared" si="35"/>
        <v>0.60277095634421018</v>
      </c>
      <c r="N87" s="47">
        <f t="shared" si="35"/>
        <v>0.59634839039019483</v>
      </c>
      <c r="O87" s="47">
        <f t="shared" si="35"/>
        <v>0.43557654068703749</v>
      </c>
      <c r="P87" s="56">
        <f t="shared" si="35"/>
        <v>0.26720416636556688</v>
      </c>
    </row>
    <row r="88" spans="10:16" x14ac:dyDescent="0.3">
      <c r="J88" s="23" t="s">
        <v>77</v>
      </c>
      <c r="K88" s="36">
        <f t="shared" ref="K88:P88" si="36">(K12 -C63)/K8</f>
        <v>0.89257171384646961</v>
      </c>
      <c r="L88" s="36">
        <f t="shared" si="36"/>
        <v>0.8391906461992843</v>
      </c>
      <c r="M88" s="36">
        <f t="shared" si="36"/>
        <v>0.53064347240747434</v>
      </c>
      <c r="N88" s="36">
        <f t="shared" si="36"/>
        <v>0.4892063804329847</v>
      </c>
      <c r="O88" s="36">
        <f t="shared" si="36"/>
        <v>0.31567489767939144</v>
      </c>
      <c r="P88" s="36">
        <f>(P12 -H63)/P8</f>
        <v>0.14556277969918838</v>
      </c>
    </row>
    <row r="89" spans="10:16" x14ac:dyDescent="0.3">
      <c r="J89" s="1" t="s">
        <v>78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56" t="s">
        <v>102</v>
      </c>
    </row>
    <row r="90" spans="10:16" x14ac:dyDescent="0.3">
      <c r="J90" s="1" t="s">
        <v>84</v>
      </c>
      <c r="K90" s="47">
        <f>(C22+C20)/C20</f>
        <v>0.14345079124646246</v>
      </c>
      <c r="L90" s="47">
        <f t="shared" ref="L90:P90" si="37">(D22+D20)/D20</f>
        <v>1.2670102281855522</v>
      </c>
      <c r="M90" s="47">
        <f t="shared" si="37"/>
        <v>1.4428840700300571</v>
      </c>
      <c r="N90" s="47">
        <f t="shared" si="37"/>
        <v>2.1188034046407846</v>
      </c>
      <c r="O90" s="47">
        <f t="shared" si="37"/>
        <v>2.0100893870689585</v>
      </c>
      <c r="P90" s="56">
        <f>(H22+H20)/H20</f>
        <v>1.9702743182523494</v>
      </c>
    </row>
    <row r="91" spans="10:16" x14ac:dyDescent="0.3">
      <c r="J91" s="1" t="s">
        <v>79</v>
      </c>
      <c r="K91" s="47">
        <f>AVERAGE(K36:K36)/C5*365</f>
        <v>79.344962108850396</v>
      </c>
      <c r="L91" s="47">
        <f>AVERAGE(K36:L36)/D5*365</f>
        <v>53.749606914168993</v>
      </c>
      <c r="M91" s="47">
        <f>AVERAGE(L35:M35)/E5*365</f>
        <v>0</v>
      </c>
      <c r="N91" s="47">
        <f>AVERAGE(M35:N35)/F5*365</f>
        <v>0</v>
      </c>
      <c r="O91" s="47">
        <f>AVERAGE(N35:P35)/G5*365</f>
        <v>2.8834376947184239</v>
      </c>
      <c r="P91" s="56">
        <f>AVERAGE(O35:P35)/H5*365</f>
        <v>4.3172033781053409</v>
      </c>
    </row>
    <row r="92" spans="10:16" x14ac:dyDescent="0.3">
      <c r="J92" s="1" t="s">
        <v>80</v>
      </c>
      <c r="K92" s="47">
        <f>(AVERAGE(SUM(K62:K63))/SUM(C8:C13))*365</f>
        <v>250.84440478889098</v>
      </c>
      <c r="L92" s="47">
        <f>(AVERAGE(SUM(L62:L63),SUM(K62:K63))/SUM(D8:D13))*365</f>
        <v>162.08419469019725</v>
      </c>
      <c r="M92" s="47">
        <f>(AVERAGE(SUM(M62:M63),SUM(L62:L63))/SUM(E8:E13))*365</f>
        <v>154.97592866011411</v>
      </c>
      <c r="N92" s="47">
        <f>(AVERAGE(SUM(N62:N63),SUM(M62:M63))/SUM(F8:F13))*365</f>
        <v>159.48049646402242</v>
      </c>
      <c r="O92" s="47">
        <f>(AVERAGE(SUM(O62:O63),SUM(N62:N63))/SUM(G8:G13))*365</f>
        <v>166.69192696429886</v>
      </c>
      <c r="P92" s="56">
        <f>(AVERAGE(SUM(P62:P63),SUM(O62:O63))/SUM(H8:H13))*365</f>
        <v>176.82585328109482</v>
      </c>
    </row>
    <row r="93" spans="10:16" x14ac:dyDescent="0.3">
      <c r="J93" s="1" t="s">
        <v>81</v>
      </c>
      <c r="K93" s="47">
        <f t="shared" ref="K93:P93" si="38">AVERAGE(J33:K33)/(SUM(C8:C13))*365</f>
        <v>752.80362206325913</v>
      </c>
      <c r="L93" s="47">
        <f t="shared" si="38"/>
        <v>461.9723561851003</v>
      </c>
      <c r="M93" s="47">
        <f t="shared" si="38"/>
        <v>398.31059574445078</v>
      </c>
      <c r="N93" s="47">
        <f t="shared" si="38"/>
        <v>353.65963951555523</v>
      </c>
      <c r="O93" s="47">
        <f t="shared" si="38"/>
        <v>204.43464519379867</v>
      </c>
      <c r="P93" s="56">
        <f t="shared" si="38"/>
        <v>85.523152355847003</v>
      </c>
    </row>
    <row r="94" spans="10:16" x14ac:dyDescent="0.3">
      <c r="J94" s="23" t="s">
        <v>82</v>
      </c>
      <c r="K94" s="36">
        <f t="shared" ref="K94:P94" si="39">K93+K91-K92</f>
        <v>581.30417938321852</v>
      </c>
      <c r="L94" s="36">
        <f t="shared" si="39"/>
        <v>353.63776840907201</v>
      </c>
      <c r="M94" s="36">
        <f t="shared" si="39"/>
        <v>243.33466708433667</v>
      </c>
      <c r="N94" s="36">
        <f t="shared" si="39"/>
        <v>194.1791430515328</v>
      </c>
      <c r="O94" s="36">
        <f t="shared" si="39"/>
        <v>40.626155924218239</v>
      </c>
      <c r="P94" s="56">
        <f t="shared" si="39"/>
        <v>-86.985497547142472</v>
      </c>
    </row>
    <row r="95" spans="10:16" x14ac:dyDescent="0.3">
      <c r="J95" s="23" t="s">
        <v>83</v>
      </c>
      <c r="K95" s="54">
        <f t="shared" ref="K95:P95" si="40">AVERAGE(J70:K70)/C5*365</f>
        <v>297.35363268268941</v>
      </c>
      <c r="L95" s="54">
        <f t="shared" si="40"/>
        <v>171.69989024659014</v>
      </c>
      <c r="M95" s="54">
        <f t="shared" si="40"/>
        <v>152.72726525109434</v>
      </c>
      <c r="N95" s="54">
        <f t="shared" si="40"/>
        <v>140.6489331899682</v>
      </c>
      <c r="O95" s="54">
        <f t="shared" si="40"/>
        <v>117.48860820531209</v>
      </c>
      <c r="P95" s="56">
        <f t="shared" si="40"/>
        <v>113.10010627619428</v>
      </c>
    </row>
    <row r="96" spans="10:16" x14ac:dyDescent="0.3">
      <c r="N96" s="51"/>
      <c r="O96" s="49"/>
    </row>
    <row r="97" spans="14:15" x14ac:dyDescent="0.3">
      <c r="N97" s="50"/>
      <c r="O97" s="49"/>
    </row>
    <row r="98" spans="14:15" x14ac:dyDescent="0.3">
      <c r="N98" s="50"/>
      <c r="O98" s="49"/>
    </row>
    <row r="99" spans="14:15" x14ac:dyDescent="0.3">
      <c r="N99" s="52"/>
      <c r="O99" s="49"/>
    </row>
    <row r="100" spans="14:15" x14ac:dyDescent="0.3">
      <c r="N100" s="52"/>
      <c r="O100" s="49"/>
    </row>
    <row r="101" spans="14:15" x14ac:dyDescent="0.3">
      <c r="N101" s="50"/>
      <c r="O101" s="49"/>
    </row>
    <row r="102" spans="14:15" x14ac:dyDescent="0.3">
      <c r="N102" s="50"/>
      <c r="O102" s="49"/>
    </row>
    <row r="103" spans="14:15" x14ac:dyDescent="0.3">
      <c r="N103" s="50"/>
      <c r="O103" s="49"/>
    </row>
    <row r="104" spans="14:15" x14ac:dyDescent="0.3">
      <c r="N104" s="50"/>
      <c r="O104" s="49"/>
    </row>
    <row r="105" spans="14:15" x14ac:dyDescent="0.3">
      <c r="N105" s="50"/>
    </row>
    <row r="106" spans="14:15" x14ac:dyDescent="0.3">
      <c r="N106" s="53"/>
      <c r="O106" s="50"/>
    </row>
    <row r="107" spans="14:15" x14ac:dyDescent="0.3">
      <c r="N107" s="50"/>
    </row>
  </sheetData>
  <mergeCells count="3">
    <mergeCell ref="B3:G3"/>
    <mergeCell ref="J3:P3"/>
    <mergeCell ref="B2:P2"/>
  </mergeCells>
  <pageMargins left="0.7" right="0.7" top="0.75" bottom="0.75" header="0.3" footer="0.3"/>
  <pageSetup scale="63" fitToWidth="0" orientation="portrait" r:id="rId1"/>
  <ignoredErrors>
    <ignoredError sqref="L91:N93 K92 L12:N12 O91:O93 P91:P94 C5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DELL</cp:lastModifiedBy>
  <cp:lastPrinted>2023-11-24T05:57:13Z</cp:lastPrinted>
  <dcterms:created xsi:type="dcterms:W3CDTF">2023-11-23T05:15:14Z</dcterms:created>
  <dcterms:modified xsi:type="dcterms:W3CDTF">2026-05-21T06:15:27Z</dcterms:modified>
</cp:coreProperties>
</file>